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D 300 - CONTROL" sheetId="1" r:id="rId5"/>
    <sheet state="visible" name="LOD 300 - OVERVIEW" sheetId="2" r:id="rId6"/>
    <sheet state="visible" name="LOD 300 - ADMN" sheetId="3" r:id="rId7"/>
    <sheet state="visible" name="LOD 300 - COLO1" sheetId="4" r:id="rId8"/>
    <sheet state="visible" name="LOD 300 - COLO2" sheetId="5" r:id="rId9"/>
    <sheet state="visible" name="LOD 300 - COLO3" sheetId="6" r:id="rId10"/>
    <sheet state="visible" name="LOD 300 - COLO4" sheetId="7" r:id="rId11"/>
    <sheet state="visible" name="LOD 300 - SITE" sheetId="8" r:id="rId12"/>
    <sheet state="visible" name="RELATÓRIO ACC" sheetId="9" r:id="rId13"/>
    <sheet state="visible" name="R22 RELATÓRIO ACC" sheetId="10" r:id="rId14"/>
    <sheet state="visible" name="CONTROLE MODELOS APROVADOS " sheetId="11" r:id="rId15"/>
    <sheet state="visible" name="LOD 300 - BASE (OBSOLETO 13-10)" sheetId="12" r:id="rId16"/>
  </sheets>
  <definedNames>
    <definedName hidden="1" localSheetId="0" name="_xlnm._FilterDatabase">'LOD 300 - CONTROL'!$A$3:$GP$112</definedName>
    <definedName hidden="1" localSheetId="1" name="_xlnm._FilterDatabase">'LOD 300 - OVERVIEW'!$A$1:$X$110</definedName>
    <definedName hidden="1" localSheetId="2" name="_xlnm._FilterDatabase">'LOD 300 - ADMN'!$A$3:$EF$68</definedName>
    <definedName hidden="1" localSheetId="3" name="_xlnm._FilterDatabase">'LOD 300 - COLO1'!$A$3:$EF$68</definedName>
    <definedName hidden="1" localSheetId="4" name="_xlnm._FilterDatabase">'LOD 300 - COLO2'!$A$3:$DU$69</definedName>
    <definedName hidden="1" localSheetId="5" name="_xlnm._FilterDatabase">'LOD 300 - COLO3'!$A$3:$BO$68</definedName>
    <definedName hidden="1" localSheetId="6" name="_xlnm._FilterDatabase">'LOD 300 - COLO4'!$A$3:$V$68</definedName>
    <definedName hidden="1" localSheetId="7" name="_xlnm._FilterDatabase">'LOD 300 - SITE'!$A$3:$DZ$82</definedName>
    <definedName hidden="1" localSheetId="8" name="_xlnm._FilterDatabase">'RELATÓRIO ACC'!$A$1:$W$146</definedName>
    <definedName hidden="1" localSheetId="9" name="_xlnm._FilterDatabase">'R22 RELATÓRIO ACC'!$A$1:$W$236</definedName>
    <definedName hidden="1" localSheetId="10" name="_xlnm._FilterDatabase">'CONTROLE MODELOS APROVADOS '!$A$1:$G$109</definedName>
    <definedName hidden="1" localSheetId="11" name="_xlnm._FilterDatabase">'LOD 300 - BASE (OBSOLETO 13-10)'!$A$3:$CI$116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tc={0b6300b5-d7fb-4849-b7af-8f831e210c30}</author>
    <author>tc={24312fc5-2a26-4b8f-9690-2d65e40d1b98}</author>
    <author>tc={29fbc98a-dd6b-4a51-a2ee-7f7a4d3ebb2c}</author>
    <author>tc={2e5a7dad-f338-4f9d-9203-f20f871077f3}</author>
    <author>tc={39659cb1-611d-412a-8233-04be76d6ca4a}</author>
    <author>tc={3a949908-3fe5-4ad7-83be-e208527b1553}</author>
    <author>tc={40dd322e-518d-4078-ac9e-ae6566f351e2}</author>
    <author>tc={47760952-18b9-4f32-8872-7665a22deb83}</author>
    <author>tc={55eb6ba3-ed3f-429c-bb32-990e9a19744b}</author>
    <author>tc={5baec57d-b3f4-4810-94e9-f279d4448e3d}</author>
    <author>tc={749cde26-8915-4432-a585-df83f43962ce}</author>
    <author>tc={75263424-8909-4d9f-bf23-82132f1bc34e}</author>
    <author>tc={7fb1a964-bf7c-479a-afa9-3e0cb29c1924}</author>
    <author>tc={9da3d3eb-8799-4a99-a69c-1e6cbcfe59dd}</author>
    <author>tc={9dac9fbc-8403-451b-9ebc-f1ced9d27601}</author>
    <author>tc={a0b849f4-ab77-4b4f-b5cc-284929f568cd}</author>
    <author>tc={bc70cbfd-1ecb-4f49-b134-a83d35b543d9}</author>
    <author>tc={dbe43b2f-4066-483d-b270-09e08e7cae5b}</author>
    <author>tc={e89fbffa-8934-4edb-b974-e977b7700a2a}</author>
    <author>tc={ea4ebc8a-97fa-4f17-a1a0-86ae3668695c}</author>
    <author>tc={f0e21d63-6440-42db-a5b6-edd99bc4bbb1}</author>
    <author>tc={f858856e-f968-4ee3-a182-e891a81ae909}</author>
  </authors>
  <commentList>
    <comment authorId="0" xr:uid="{0b6300b5-d7fb-4849-b7af-8f831e210c30}" ref="A1">
      <text>
        <t xml:space="preserve">[Threaded comment]
 Your version of Excel allows you to read this threaded comment; however, any edits to it will get removed if the file is opened in a newer version of Excel. Learn more: https://go.microsoft.com/fwlink/?linkid=870924
Comment:
	V23
</t>
      </text>
    </comment>
    <comment authorId="1" xr:uid="{24312fc5-2a26-4b8f-9690-2d65e40d1b98}" ref="GM28">
      <text>
        <t xml:space="preserve">[Threaded comment]
 Your version of Excel allows you to read this threaded comment; however, any edits to it will get removed if the file is opened in a newer version of Excel. Learn more: https://go.microsoft.com/fwlink/?linkid=870924
Comment:
	=SEERRO(
ÍNDICE(
FILTER(DH28:EI28; ÉNÚM(DH28:EI28));
CONT.VALORES(FILTER(DH28:EI28; ÉNÚM(DH28:EI28)))
);
EI28
)
</t>
      </text>
    </comment>
    <comment authorId="2" xr:uid="{29fbc98a-dd6b-4a51-a2ee-7f7a4d3ebb2c}" ref="EH27">
      <text>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FILTER(AK32:BG32; ÉNÚM(AK32:BG32));
CONT.VALORES(FILTER(AK32:BG32; ÉNÚM(AK32:BG32)))
);
BG32
)
</t>
      </text>
    </comment>
    <comment authorId="3" xr:uid="{2e5a7dad-f338-4f9d-9203-f20f871077f3}" ref="A1">
      <text>
        <t xml:space="preserve">[Threaded comment]
 Your version of Excel allows you to read this threaded comment; however, any edits to it will get removed if the file is opened in a newer version of Excel. Learn more: https://go.microsoft.com/fwlink/?linkid=870924
Comment:
	12
</t>
      </text>
    </comment>
    <comment authorId="4" xr:uid="{39659cb1-611d-412a-8233-04be76d6ca4a}" ref="GM63">
      <text>
        <t xml:space="preserve">[Threaded comment]
 Your version of Excel allows you to read this threaded comment; however, any edits to it will get removed if the file is opened in a newer version of Excel. Learn more: https://go.microsoft.com/fwlink/?linkid=870924
Comment:
	=SEERRO(
ÍNDICE(
FILTER(ES63:GA63; ÉNÚM(ES63:GA63));
CONT.VALORES(FILTER(ES63:GA63; ÉNÚM(ES63:GA63)))
);
GA63
)
</t>
      </text>
    </comment>
    <comment authorId="5" xr:uid="{3a949908-3fe5-4ad7-83be-e208527b1553}" ref="A1">
      <text>
        <t xml:space="preserve">[Threaded comment]
 Your version of Excel allows you to read this threaded comment; however, any edits to it will get removed if the file is opened in a newer version of Excel. Learn more: https://go.microsoft.com/fwlink/?linkid=870924
Comment:
	V18
</t>
      </text>
    </comment>
    <comment authorId="6" xr:uid="{40dd322e-518d-4078-ac9e-ae6566f351e2}" ref="GM67">
      <text>
        <t xml:space="preserve">[Threaded comment]
 Your version of Excel allows you to read this threaded comment; however, any edits to it will get removed if the file is opened in a newer version of Excel. Learn more: https://go.microsoft.com/fwlink/?linkid=870924
Comment:
	FÓMULA DIFERENTE:
=SEERRO(
ÍNDICE(
FILTER(CC71:CW71; ÉNÚM(CC71:CW71));
CONT.VALORES(FILTER(CC71:CW71; ÉNÚM(CC71:CW71)))
);
CW71
)
</t>
      </text>
    </comment>
    <comment authorId="7" xr:uid="{47760952-18b9-4f32-8872-7665a22deb83}" ref="A1">
      <text>
        <t xml:space="preserve">[Threaded comment]
 Your version of Excel allows you to read this threaded comment; however, any edits to it will get removed if the file is opened in a newer version of Excel. Learn more: https://go.microsoft.com/fwlink/?linkid=870924
Comment:
	V8
</t>
      </text>
    </comment>
    <comment authorId="8" xr:uid="{55eb6ba3-ed3f-429c-bb32-990e9a19744b}" ref="CX27">
      <text>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FILTER(AK32:BG32; ÉNÚM(AK32:BG32));
CONT.VALORES(FILTER(AK32:BG32; ÉNÚM(AK32:BG32)))
);
BG32
)
</t>
      </text>
    </comment>
    <comment authorId="9" xr:uid="{5baec57d-b3f4-4810-94e9-f279d4448e3d}" ref="GM30">
      <text>
        <t xml:space="preserve">[Threaded comment]
 Your version of Excel allows you to read this threaded comment; however, any edits to it will get removed if the file is opened in a newer version of Excel. Learn more: https://go.microsoft.com/fwlink/?linkid=870924
Comment:
	=SEERRO(
ÍNDICE(
FILTER(DH30:EI30; ÉNÚM(DH30:EI30));
CONT.VALORES(FILTER(DH30:EI30; ÉNÚM(DH30:EI30)))
);
EI30
)
</t>
      </text>
    </comment>
    <comment authorId="10" xr:uid="{749cde26-8915-4432-a585-df83f43962ce}" ref="A1">
      <text>
        <t xml:space="preserve">[Threaded comment]
 Your version of Excel allows you to read this threaded comment; however, any edits to it will get removed if the file is opened in a newer version of Excel. Learn more: https://go.microsoft.com/fwlink/?linkid=870924
Comment:
	v9
</t>
      </text>
    </comment>
    <comment authorId="11" xr:uid="{75263424-8909-4d9f-bf23-82132f1bc34e}" ref="A1">
      <text>
        <t xml:space="preserve">[Threaded comment]
 Your version of Excel allows you to read this threaded comment; however, any edits to it will get removed if the file is opened in a newer version of Excel. Learn more: https://go.microsoft.com/fwlink/?linkid=870924
Comment:
	V1
</t>
      </text>
    </comment>
    <comment authorId="12" xr:uid="{7fb1a964-bf7c-479a-afa9-3e0cb29c1924}" ref="A1">
      <text>
        <t xml:space="preserve">[Threaded comment]
 Your version of Excel allows you to read this threaded comment; however, any edits to it will get removed if the file is opened in a newer version of Excel. Learn more: https://go.microsoft.com/fwlink/?linkid=870924
Comment:
	V19
Reply:
	V22 - 25-06
</t>
      </text>
    </comment>
    <comment authorId="13" xr:uid="{9da3d3eb-8799-4a99-a69c-1e6cbcfe59dd}" ref="A1">
      <text>
        <t xml:space="preserve">[Threaded comment]
 Your version of Excel allows you to read this threaded comment; however, any edits to it will get removed if the file is opened in a newer version of Excel. Learn more: https://go.microsoft.com/fwlink/?linkid=870924
Comment:
	v7
</t>
      </text>
    </comment>
    <comment authorId="14" xr:uid="{9dac9fbc-8403-451b-9ebc-f1ced9d27601}" ref="A1">
      <text>
        <t xml:space="preserve">[Threaded comment]
 Your version of Excel allows you to read this threaded comment; however, any edits to it will get removed if the file is opened in a newer version of Excel. Learn more: https://go.microsoft.com/fwlink/?linkid=870924
Comment:
	V10
Reply:
	V15 - 25-06
</t>
      </text>
    </comment>
    <comment authorId="15" xr:uid="{a0b849f4-ab77-4b4f-b5cc-284929f568cd}" ref="A1">
      <text>
        <t xml:space="preserve">[Threaded comment]
 Your version of Excel allows you to read this threaded comment; however, any edits to it will get removed if the file is opened in a newer version of Excel. Learn more: https://go.microsoft.com/fwlink/?linkid=870924
Comment:
	V27
</t>
      </text>
    </comment>
    <comment authorId="16" xr:uid="{bc70cbfd-1ecb-4f49-b134-a83d35b543d9}" ref="A1">
      <text>
        <t xml:space="preserve">[Threaded comment]
 Your version of Excel allows you to read this threaded comment; however, any edits to it will get removed if the file is opened in a newer version of Excel. Learn more: https://go.microsoft.com/fwlink/?linkid=870924
Comment:
	V15
Reply:
	V18 - 25-06
</t>
      </text>
    </comment>
    <comment authorId="17" xr:uid="{dbe43b2f-4066-483d-b270-09e08e7cae5b}" ref="A1">
      <text>
        <t xml:space="preserve">[Threaded comment]
 Your version of Excel allows you to read this threaded comment; however, any edits to it will get removed if the file is opened in a newer version of Excel. Learn more: https://go.microsoft.com/fwlink/?linkid=870924
Comment:
	V18
</t>
      </text>
    </comment>
    <comment authorId="18" xr:uid="{e89fbffa-8934-4edb-b974-e977b7700a2a}" ref="A1">
      <text>
        <t xml:space="preserve">[Threaded comment]
 Your version of Excel allows you to read this threaded comment; however, any edits to it will get removed if the file is opened in a newer version of Excel. Learn more: https://go.microsoft.com/fwlink/?linkid=870924
Comment:
	V17
</t>
      </text>
    </comment>
    <comment authorId="19" xr:uid="{ea4ebc8a-97fa-4f17-a1a0-86ae3668695c}" ref="A1">
      <text>
        <t xml:space="preserve">[Threaded comment]
 Your version of Excel allows you to read this threaded comment; however, any edits to it will get removed if the file is opened in a newer version of Excel. Learn more: https://go.microsoft.com/fwlink/?linkid=870924
Comment:
	V17
</t>
      </text>
    </comment>
    <comment authorId="20" xr:uid="{f0e21d63-6440-42db-a5b6-edd99bc4bbb1}" ref="A1">
      <text>
        <t xml:space="preserve">[Threaded comment]
 Your version of Excel allows you to read this threaded comment; however, any edits to it will get removed if the file is opened in a newer version of Excel. Learn more: https://go.microsoft.com/fwlink/?linkid=870924
Comment:
	V16
</t>
      </text>
    </comment>
    <comment authorId="21" xr:uid="{f858856e-f968-4ee3-a182-e891a81ae909}" ref="A1">
      <text>
        <t xml:space="preserve">[Threaded comment]
 Your version of Excel allows you to read this threaded comment; however, any edits to it will get removed if the file is opened in a newer version of Excel. Learn more: https://go.microsoft.com/fwlink/?linkid=870924
Comment:
	v8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tc={00231775-c17e-491c-8be1-cf620b3dbcc3}</author>
    <author>tc={3813ad7d-429d-4daa-b2be-14f999262803}</author>
    <author>tc={42d0c331-6d10-45d3-b3d6-dd07085fcd80}</author>
    <author>tc={6ae6a7fd-57e1-4cb4-bfa0-cd5433fe26bf}</author>
    <author>tc={6e723963-6735-4d4c-8704-7f01681eb737}</author>
    <author>tc={96689c1b-c46c-4a80-9cf5-9bed6a51abc2}</author>
    <author>tc={a77c0f2f-4e0a-4e55-8693-d4146bccfb6b}</author>
    <author>tc={ab4de5d1-0a21-45e7-9763-c0c53268cc9f}</author>
    <author>tc={b1d1870e-5917-4172-bb8b-59d1e58ed70c}</author>
    <author>tc={c8a0225c-9a49-4fa0-b758-095a1dff0225}</author>
  </authors>
  <commentList>
    <comment authorId="0" xr:uid="{00231775-c17e-491c-8be1-cf620b3dbcc3}" ref="AS18">
      <text>
        <t xml:space="preserve">[Threaded comment]
 Your version of Excel allows you to read this threaded comment; however, any edits to it will get removed if the file is opened in a newer version of Excel. Learn more: https://go.microsoft.com/fwlink/?linkid=870924
Comment:
	MODELO ESPERANDO O AS BUILT DE MEP PARA FAZER FURAÇÕES NA MODELAGEM
</t>
      </text>
    </comment>
    <comment authorId="1" xr:uid="{3813ad7d-429d-4daa-b2be-14f999262803}" ref="AP79">
      <text>
        <t xml:space="preserve">[Threaded comment]
 Your version of Excel allows you to read this threaded comment; however, any edits to it will get removed if the file is opened in a newer version of Excel. Learn more: https://go.microsoft.com/fwlink/?linkid=870924
Comment:
	ANALISAR PELO TEKLA
</t>
      </text>
    </comment>
    <comment authorId="2" xr:uid="{42d0c331-6d10-45d3-b3d6-dd07085fcd80}" ref="U14">
      <text>
        <t xml:space="preserve">[Threaded comment]
 Your version of Excel allows you to read this threaded comment; however, any edits to it will get removed if the file is opened in a newer version of Excel. Learn more: https://go.microsoft.com/fwlink/?linkid=870924
Comment:
	VERIFICAR V12 QND SUBIR
</t>
      </text>
    </comment>
    <comment authorId="3" xr:uid="{6ae6a7fd-57e1-4cb4-bfa0-cd5433fe26bf}" ref="U57">
      <text>
        <t xml:space="preserve">[Threaded comment]
 Your version of Excel allows you to read this threaded comment; however, any edits to it will get removed if the file is opened in a newer version of Excel. Learn more: https://go.microsoft.com/fwlink/?linkid=870924
Comment:
	VERIFICAR V5 QND POSTADA
</t>
      </text>
    </comment>
    <comment authorId="4" xr:uid="{6e723963-6735-4d4c-8704-7f01681eb737}" ref="AP64">
      <text>
        <t xml:space="preserve">[Threaded comment]
 Your version of Excel allows you to read this threaded comment; however, any edits to it will get removed if the file is opened in a newer version of Excel. Learn more: https://go.microsoft.com/fwlink/?linkid=870924
Comment:
	VERIFICAR V17 QND SUBIR
</t>
      </text>
    </comment>
    <comment authorId="5" xr:uid="{96689c1b-c46c-4a80-9cf5-9bed6a51abc2}" ref="AU66">
      <text>
        <t xml:space="preserve">[Threaded comment]
 Your version of Excel allows you to read this threaded comment; however, any edits to it will get removed if the file is opened in a newer version of Excel. Learn more: https://go.microsoft.com/fwlink/?linkid=870924
Comment:
	90% - aguardando parecer do Francis p/ att assembly code
</t>
      </text>
    </comment>
    <comment authorId="6" xr:uid="{a77c0f2f-4e0a-4e55-8693-d4146bccfb6b}" ref="U55">
      <text>
        <t xml:space="preserve">[Threaded comment]
 Your version of Excel allows you to read this threaded comment; however, any edits to it will get removed if the file is opened in a newer version of Excel. Learn more: https://go.microsoft.com/fwlink/?linkid=870924
Comment:
	VERIFICAR V3 QND POSTADA
</t>
      </text>
    </comment>
    <comment authorId="7" xr:uid="{ab4de5d1-0a21-45e7-9763-c0c53268cc9f}" ref="X18">
      <text>
        <t xml:space="preserve">[Threaded comment]
 Your version of Excel allows you to read this threaded comment; however, any edits to it will get removed if the file is opened in a newer version of Excel. Learn more: https://go.microsoft.com/fwlink/?linkid=870924
Comment:
	MODELO ESPERANDO O AS BUILT DE MEP PARA FAZER FURAÇÕES NA MODELAGEM
</t>
      </text>
    </comment>
    <comment authorId="8" xr:uid="{b1d1870e-5917-4172-bb8b-59d1e58ed70c}" ref="Z66">
      <text>
        <t xml:space="preserve">[Threaded comment]
 Your version of Excel allows you to read this threaded comment; however, any edits to it will get removed if the file is opened in a newer version of Excel. Learn more: https://go.microsoft.com/fwlink/?linkid=870924
Comment:
	90% - aguardando parecer do Francis p/ att assembly code
</t>
      </text>
    </comment>
    <comment authorId="9" xr:uid="{c8a0225c-9a49-4fa0-b758-095a1dff0225}" ref="U78">
      <text>
        <t xml:space="preserve">[Threaded comment]
 Your version of Excel allows you to read this threaded comment; however, any edits to it will get removed if the file is opened in a newer version of Excel. Learn more: https://go.microsoft.com/fwlink/?linkid=870924
Comment:
	ANALISAR PELO TEKLA
</t>
      </text>
    </comment>
  </commentList>
</comments>
</file>

<file path=xl/sharedStrings.xml><?xml version="1.0" encoding="utf-8"?>
<sst xmlns="http://schemas.openxmlformats.org/spreadsheetml/2006/main" count="32780" uniqueCount="2190">
  <si>
    <t>SPECIFIC AUDIT CONTROL | LOD 300</t>
  </si>
  <si>
    <t>META DO DIA 17/07</t>
  </si>
  <si>
    <t>CONTROLE INTERNO (OCULTAR)</t>
  </si>
  <si>
    <t>ADMN</t>
  </si>
  <si>
    <t>COLO1</t>
  </si>
  <si>
    <t>COLO2</t>
  </si>
  <si>
    <t>COLO3</t>
  </si>
  <si>
    <t>COL4</t>
  </si>
  <si>
    <t>ANNEXES</t>
  </si>
  <si>
    <t>FILE NAME (R24)</t>
  </si>
  <si>
    <t>FILE NAME (R22)</t>
  </si>
  <si>
    <t>AREA</t>
  </si>
  <si>
    <t>TRADE COMPANY</t>
  </si>
  <si>
    <t>CODE</t>
  </si>
  <si>
    <t>BIM COMPANY</t>
  </si>
  <si>
    <t xml:space="preserve">ACC VERSION (R22) </t>
  </si>
  <si>
    <t>ACC FILE DATE (R22)</t>
  </si>
  <si>
    <t xml:space="preserve">ACC VERSION (R24) </t>
  </si>
  <si>
    <t>ACC FILE DATE (R24)</t>
  </si>
  <si>
    <t>VERSION (ADMN/COLO1/COLO2 AND ANNEXES)</t>
  </si>
  <si>
    <t>FILE DATE (ADMN/COLO1/COLO2 AND ANNEXES)</t>
  </si>
  <si>
    <t>RVT TYPE APROVAL (ADMN/COL1/COL2/ANNEXES)</t>
  </si>
  <si>
    <t>VERSION (COLO3)</t>
  </si>
  <si>
    <t>FILE DATE (COLO3)</t>
  </si>
  <si>
    <t>RVT TYPE APROVAL (COLO3)</t>
  </si>
  <si>
    <t>VERSION (COLO4)</t>
  </si>
  <si>
    <t>FILE DATE (COLO4)</t>
  </si>
  <si>
    <t>RVT TYPE APROVAL (COLO4)</t>
  </si>
  <si>
    <t>RESPONSÁVEL DA ANÁLISE</t>
  </si>
  <si>
    <t>R1 - APPROVAL (%)</t>
  </si>
  <si>
    <t>R2 - APPROVAL (%)</t>
  </si>
  <si>
    <t>R3 - APPROVAL (%)</t>
  </si>
  <si>
    <t>R4 - APPROVAL (%)</t>
  </si>
  <si>
    <t>R5 - APPROVAL (%)</t>
  </si>
  <si>
    <t>R6 - APPROVAL (%)</t>
  </si>
  <si>
    <t>R7 - APPROVAL (%)</t>
  </si>
  <si>
    <t>R8 - APPROVAL (%)</t>
  </si>
  <si>
    <t>R9 - APPROVAL (%)</t>
  </si>
  <si>
    <t>R10 - APPROVAL (%)</t>
  </si>
  <si>
    <t>R11 - APPROVAL (%)</t>
  </si>
  <si>
    <t>R12 - APPROVAL (%)</t>
  </si>
  <si>
    <t>R13 - APPROVAL (%)</t>
  </si>
  <si>
    <t>R14 - APPROVAL (%)</t>
  </si>
  <si>
    <t>R15 - APPROVAL (%)</t>
  </si>
  <si>
    <t>R16 - APPROVAL (%)</t>
  </si>
  <si>
    <t>R17 - APPROVAL (%)</t>
  </si>
  <si>
    <t>R18 - APPROVAL (%)</t>
  </si>
  <si>
    <t>R19 - APPROVAL (%)</t>
  </si>
  <si>
    <t>R20 - APPROVAL (%)</t>
  </si>
  <si>
    <t>R21 - APPROVAL (%)</t>
  </si>
  <si>
    <t>R22 - APPROVAL (%)</t>
  </si>
  <si>
    <t>R23 - APPROVAL (%)</t>
  </si>
  <si>
    <t>R24 - APPROVAL (%)</t>
  </si>
  <si>
    <t>R25 - APPROVAL (%)</t>
  </si>
  <si>
    <t>R26 - APPROVAL (%)</t>
  </si>
  <si>
    <t>R27 - APPROVAL (%)</t>
  </si>
  <si>
    <t>R28 - APPROVAL (%)</t>
  </si>
  <si>
    <t>R29 - APPROVAL (%)</t>
  </si>
  <si>
    <t>R30 - APPROVAL (%)</t>
  </si>
  <si>
    <t>R31 - APPROVAL (%)</t>
  </si>
  <si>
    <t>R32 - APPROVAL (%)</t>
  </si>
  <si>
    <t>R33 - APPROVAL (%)</t>
  </si>
  <si>
    <t>R34 - APPROVAL (%)</t>
  </si>
  <si>
    <t>R35 - APPROVAL (%)</t>
  </si>
  <si>
    <t>R36 - APPROVAL (%)</t>
  </si>
  <si>
    <t>R37 - APPROVAL (%)</t>
  </si>
  <si>
    <t>R38 - APPROVAL (%)</t>
  </si>
  <si>
    <t>R39 - APPROVAL (%)</t>
  </si>
  <si>
    <t>GERAL</t>
  </si>
  <si>
    <t>R4- APPROVAL (%)</t>
  </si>
  <si>
    <t>R5- APPROVAL (%)</t>
  </si>
  <si>
    <t>R6- APPROVAL (%)</t>
  </si>
  <si>
    <t>R7- APPROVAL (%)</t>
  </si>
  <si>
    <t>R8- APPROVAL (%)</t>
  </si>
  <si>
    <t>R9- APPROVAL (%)</t>
  </si>
  <si>
    <t>R10- APPROVAL (%)</t>
  </si>
  <si>
    <t>R11- APPROVAL (%)</t>
  </si>
  <si>
    <t>R12- APPROVAL (%)</t>
  </si>
  <si>
    <t>R13- APPROVAL (%)</t>
  </si>
  <si>
    <t>R14- APPROVAL (%)</t>
  </si>
  <si>
    <t>R15- APPROVAL (%)</t>
  </si>
  <si>
    <t>R16- APPROVAL (%)</t>
  </si>
  <si>
    <t>ARCH | ARCHITECTURE</t>
  </si>
  <si>
    <t>CPQ11-ARCH-ARCH-DATA-R24.rvt</t>
  </si>
  <si>
    <t>CPQ11-ARCH-ARCH-DATA-R22.rvt</t>
  </si>
  <si>
    <t>DATA</t>
  </si>
  <si>
    <t>ARE ARQUITETURA</t>
  </si>
  <si>
    <t>CICI</t>
  </si>
  <si>
    <t>CPQ11-ARCH-ARCH-SITE-R24.rvt</t>
  </si>
  <si>
    <t>CPQ11-ARCH-ARCH-SITE-R22.rvt</t>
  </si>
  <si>
    <t>SITE</t>
  </si>
  <si>
    <t>ALINNE</t>
  </si>
  <si>
    <t>CPQ11-ARCH-METL-SITE-R24.rvt</t>
  </si>
  <si>
    <t>CPQ11-ARCH-METL-SITE-R22.rvt</t>
  </si>
  <si>
    <t>SERCOP</t>
  </si>
  <si>
    <t>CPQ11-ARCH-WOOD-DATA-R24.rvt</t>
  </si>
  <si>
    <t>CPQ11-ARCH-WOOD-DATA-R22.rvt</t>
  </si>
  <si>
    <t>MADEPISO</t>
  </si>
  <si>
    <t>CPQ11-ARCH-HMET-DATA-R24.rvt</t>
  </si>
  <si>
    <t>CPQ11-ARCH-HMET-DATA-R22.rvt</t>
  </si>
  <si>
    <t>S-VALE</t>
  </si>
  <si>
    <t>SPBIM</t>
  </si>
  <si>
    <t>LETÍCIA</t>
  </si>
  <si>
    <t>CPQ11-ARCH-HMET-SITE-R24.rvt</t>
  </si>
  <si>
    <t>CPQ11-ARCH-HMET-SITE-R22.rvt</t>
  </si>
  <si>
    <t>CPQ11-ARCH-HM90-DATA-R24.rvt</t>
  </si>
  <si>
    <t>CPQ11-ARCH-HM90-DATA-R22.rvt</t>
  </si>
  <si>
    <t>ZEUS/PORTEX</t>
  </si>
  <si>
    <t>CPQ11-ARCH-WMES-DATA-R24.rvt</t>
  </si>
  <si>
    <t>CPQ11-ARCH-WMES-DATA-R22.rvt</t>
  </si>
  <si>
    <t>CPQ11-ARCH-CHAI-SITE-R24.rvt</t>
  </si>
  <si>
    <t>CPQ11-ARCH-CHAI-SITE-R22.rvt</t>
  </si>
  <si>
    <t>CPQ11-ARCH-FURN-DATA-R24.rvt</t>
  </si>
  <si>
    <t>CPQ11-ARCH-FURN-DATA-R22.rvt</t>
  </si>
  <si>
    <t>RACION/AL</t>
  </si>
  <si>
    <t>CONTRACTING</t>
  </si>
  <si>
    <t>CPQ11-ARCH-WTRP-DATA-R24.rvt</t>
  </si>
  <si>
    <t>CPQ11-ARCH-WTRP-DATA-R22.rvt</t>
  </si>
  <si>
    <t>ITS</t>
  </si>
  <si>
    <t>RBV</t>
  </si>
  <si>
    <t>CPQ11-ARCH-WTRP-SITE-R24.rvt</t>
  </si>
  <si>
    <t>CPQ11-ARCH-WTRP-SITE-R22.rvt</t>
  </si>
  <si>
    <t>CPQ11-ARCH-OHCD-DATA-R24.rvt</t>
  </si>
  <si>
    <t>CPQ11-ARCH-OHCD-DATA-R22.rvt</t>
  </si>
  <si>
    <t>MEGADOORS</t>
  </si>
  <si>
    <t>CPQ11-ARCH-BLPR-GUAR-R24.rvt</t>
  </si>
  <si>
    <t>CPQ11-ARCH-BLPR-GUAR-R22.rvt</t>
  </si>
  <si>
    <t>GUAR</t>
  </si>
  <si>
    <t>INOVAGLASS</t>
  </si>
  <si>
    <t>YASMIN</t>
  </si>
  <si>
    <t>CPQ11-ARCH-FACD-DATA-R24.rvt</t>
  </si>
  <si>
    <t>CPQ11-ARCH-FACD-DATA-R22.rvt</t>
  </si>
  <si>
    <t>OMNITRADE</t>
  </si>
  <si>
    <t>CADBIM</t>
  </si>
  <si>
    <t>CPQ11-ARCH-ROOF-DATA-R24.rvt</t>
  </si>
  <si>
    <t>CPQ11-ARCH-ROOF-DATA-R22.rvt</t>
  </si>
  <si>
    <t>CPQ11-ARCH-PART-SITE-R24.rvt</t>
  </si>
  <si>
    <t>CPQ11-ARCH-PART-SITE-R22.rvt</t>
  </si>
  <si>
    <t>IDEIA DRYWALL</t>
  </si>
  <si>
    <t>FCH</t>
  </si>
  <si>
    <t>CPQ11-ARCH-PART-C345-R24.rvt</t>
  </si>
  <si>
    <t>CPQ11-ARCH-PART-C345-R22.rvt</t>
  </si>
  <si>
    <t>C345</t>
  </si>
  <si>
    <t>CPQ11-ARCH-PART-C12A-R24.rvt</t>
  </si>
  <si>
    <t>CPQ11-ARCH-PART-C12A-R22.rvt</t>
  </si>
  <si>
    <t>C12A</t>
  </si>
  <si>
    <t>AIRTON</t>
  </si>
  <si>
    <t>CPQ11-ARCH-COMN-DATA-R24.rvt</t>
  </si>
  <si>
    <t>CPQ11-ARCH-COMN-DATA-R22.rvt</t>
  </si>
  <si>
    <t>CPQ11-ARCH-SGNV-SITE-R24.rvt</t>
  </si>
  <si>
    <t>CPQ11-ARCH-SGNV-SITE-R22.rvt</t>
  </si>
  <si>
    <t>VISUAL GEAC</t>
  </si>
  <si>
    <t>CPQ11-ARCH-SGNH-SITE-R24.rvt</t>
  </si>
  <si>
    <t>CPQ11-ARCH-SGNH-SITE-R22.rvt</t>
  </si>
  <si>
    <t>CPQ11-ARCH-CEIL-DATA-R24.rvt</t>
  </si>
  <si>
    <t>CPQ11-ARCH-CEIL-DATA-R22.rvt</t>
  </si>
  <si>
    <t>IDEA DRYWALL</t>
  </si>
  <si>
    <t>T2B</t>
  </si>
  <si>
    <t>CPQ11-ARCH-CEIL-SITE-R24.rvt</t>
  </si>
  <si>
    <t>CPQ11-ARCH-CEIL-SITE-R22.rvt</t>
  </si>
  <si>
    <t>CPQ11-ARCH-SHLV-DATA-R24.rvt</t>
  </si>
  <si>
    <t>CPQ11-ARCH-SHLV-DATA-R22.rvt</t>
  </si>
  <si>
    <t>ALTAMIRA</t>
  </si>
  <si>
    <t>CPQ11-ARCH-STON-SITE-R24.rvt</t>
  </si>
  <si>
    <t>CPQ11-ARCH-STON-SITE-R23.rvt</t>
  </si>
  <si>
    <t>STONE</t>
  </si>
  <si>
    <t>SYST-SYSTEMS | INFRASTRUCTURE</t>
  </si>
  <si>
    <t>CPQ11-SYST-INFR-DATA-R24.rvt</t>
  </si>
  <si>
    <t>CPQ11-SYST-INFR-DATA-R22.rvt</t>
  </si>
  <si>
    <t>MENDES HOLLER</t>
  </si>
  <si>
    <t>PGMAK</t>
  </si>
  <si>
    <t>CPQ11-SYST-INFR-SITE-R24.rvt</t>
  </si>
  <si>
    <t>CPQ11-SYST-INFR-SITE-R22.rvt</t>
  </si>
  <si>
    <t>DAS-DISTRIBUTED ANTENN/A SYSTEM | DEVICES</t>
  </si>
  <si>
    <t>CPQ11-DASM-DEVS-DATA-R24.rvt</t>
  </si>
  <si>
    <t>CPQ11-DASM-DEVS-DATA-R22.rvt</t>
  </si>
  <si>
    <t>IB TECH</t>
  </si>
  <si>
    <t>EPMS-ELECTRICAL POWER MAN/AGEMENT SYSTEM | DEVICES</t>
  </si>
  <si>
    <t>CPQ11-EPMS-DEVS-DATA-R24.rvt</t>
  </si>
  <si>
    <t>CPQ11-EPMS-DEVS-DATA-R22.rvt</t>
  </si>
  <si>
    <t>BLACKBOX</t>
  </si>
  <si>
    <t>CPQ11-EPMS-DEVS-SITE-R24.rvt</t>
  </si>
  <si>
    <t>CPQ11-EPMS-DEVS-SITE-R22.rvt</t>
  </si>
  <si>
    <t>ROIP-RADIO OVER IP | DEVICES</t>
  </si>
  <si>
    <t>CPQ11-ROIP-DEVS-GUAR-R24.rvt</t>
  </si>
  <si>
    <t>CPQ11-ROIP-DEVS-GUAR-R22.rvt</t>
  </si>
  <si>
    <t>JOÃO</t>
  </si>
  <si>
    <t>CPQ11-ROIP-DEVS-DATA-R24.rvt</t>
  </si>
  <si>
    <t>CPQ11-ROIP-DEVS-DATA-R22.rvt</t>
  </si>
  <si>
    <t>TELECOM | DEVICES</t>
  </si>
  <si>
    <t>CPQ11-TCOM-DEVS-SITE-R24.rvt</t>
  </si>
  <si>
    <t>CPQ11-TCOM-DEVS-SITE-R22.rvt</t>
  </si>
  <si>
    <t>CPQ11-TCOM-DEVS-DATA-R24.rvt</t>
  </si>
  <si>
    <t>CPQ11-TCOM-DEVS-DATA-R22.rvt</t>
  </si>
  <si>
    <t>GUILHERME</t>
  </si>
  <si>
    <t>BAS-BUILDING AUTOMATION SYSTEM | INFRASTRUCTURE</t>
  </si>
  <si>
    <t>CPQ11-BASM-INFR-DATA-R24.rvt</t>
  </si>
  <si>
    <t>CPQ11-BASM-INFR-DATA-R22.rvt</t>
  </si>
  <si>
    <t>CPQ11-BASM-INFR-PUMP-R24.rvt</t>
  </si>
  <si>
    <t>CPQ11-BASM-INFR-PUMP-R22.rvt</t>
  </si>
  <si>
    <t>PUMP</t>
  </si>
  <si>
    <t>BAS | DEVICES</t>
  </si>
  <si>
    <t>CPQ11-BASM-DEVS-PUMP-R24.rvt</t>
  </si>
  <si>
    <t>CPQ11-BASM-DEVS-PUMP-R22.rvt</t>
  </si>
  <si>
    <t>CPQ11-BASM-DEVS-DATA-R24.rvt</t>
  </si>
  <si>
    <t>CPQ11-BASM-DEVS-DATA-R22.rvt</t>
  </si>
  <si>
    <t>SCTY-SECURITY | INFRASTRUCTURE</t>
  </si>
  <si>
    <t>CPQ11-SCTY-INFR-DATA-R24.rvt</t>
  </si>
  <si>
    <t>CPQ11-SCTY-INFR-DATA-R22.rvt</t>
  </si>
  <si>
    <t>CPQ11-SCTY-INFR-SITE-R24.rvt</t>
  </si>
  <si>
    <t>CPQ11-SCTY-INFR-SITE-R22.rvt</t>
  </si>
  <si>
    <t>SCTY | DEVICES</t>
  </si>
  <si>
    <t>CPQ11-SCTY-DEVS-SITE-R24.rvt</t>
  </si>
  <si>
    <t>CPQ11-SCTY-DEVS-SITE-R22.rvt</t>
  </si>
  <si>
    <t>SEGURPRO</t>
  </si>
  <si>
    <t>CPQ11-SCTY-DEVS-DATA-R24.rvt</t>
  </si>
  <si>
    <t>CPQ11-SCTY-DEVS-DATA-R22.rvt</t>
  </si>
  <si>
    <t>CPQ11-SCTY-GATE-SITE-R24.rvt</t>
  </si>
  <si>
    <t>FM SECURITY</t>
  </si>
  <si>
    <t>ELEC-ELETRICAL</t>
  </si>
  <si>
    <t>CPQ11-ELEC-ELEC-SITE-R24.rvt</t>
  </si>
  <si>
    <t>CPQ11-ELEC-ELEC-SITE-R22.rvt</t>
  </si>
  <si>
    <t>CPQ11-ELEC-ELEC-DATA-R24.rvt</t>
  </si>
  <si>
    <t>CPQ11-ELEC-ELEC-DATA-R22.rvt</t>
  </si>
  <si>
    <t xml:space="preserve">SPDA | PROTECTION SYSTEM ATMOSPHERIC DISCHARGE </t>
  </si>
  <si>
    <t>CPQ11-ELEC-SPDA-DATA-R24.rvt</t>
  </si>
  <si>
    <t>CPQ11-ELEC-SPDA-DATA-R22.rvt</t>
  </si>
  <si>
    <t>CPQ11-ELEC-SPDA-SITE-R24.rvt</t>
  </si>
  <si>
    <t>CPQ11-ELEC-SPDA-SITE-R22.rvt</t>
  </si>
  <si>
    <t>DALI-DIGITAL ADDRESSABLE LIGHTING INTERFACE-DEVICES</t>
  </si>
  <si>
    <t>CPQ11-DALI-DEVS-DATA-R24.rvt</t>
  </si>
  <si>
    <t>CPQ11-DALI-DEVS-DATA-R22.rvt</t>
  </si>
  <si>
    <t>AUTOBRÁS</t>
  </si>
  <si>
    <t>FALM-FIRE ALARM</t>
  </si>
  <si>
    <t>CPQ11-FALM-FALM-SITE-R24.rvt</t>
  </si>
  <si>
    <t>CPQ11-FALM-FALM-SITE-R22.rvt</t>
  </si>
  <si>
    <t>CPQ11-FALM-FALM-DATA-R24.rvt</t>
  </si>
  <si>
    <t>CPQ11-FALM-FALM-DATA-R22.rvt</t>
  </si>
  <si>
    <t>FPRT-FIRE PROTECTION</t>
  </si>
  <si>
    <t>CPQ11-FPRT-FPRT-SITE-R24.rvt</t>
  </si>
  <si>
    <t>CPQ11-FPRT-FPRT-SITE-R22.rvt</t>
  </si>
  <si>
    <t>CPQ11-FPRT-FPRT-DATA-R24.rvt</t>
  </si>
  <si>
    <t>CPQ11-FPRT-FPRT-DATA-R22.rvt</t>
  </si>
  <si>
    <t>CPQ11-FPRT-METK-UTLS-R24.rvt</t>
  </si>
  <si>
    <t>CPQ11-FPRT-METK-UTLS-R22.rvt</t>
  </si>
  <si>
    <t>UTLS</t>
  </si>
  <si>
    <t>PETROTANQUE</t>
  </si>
  <si>
    <t>PLMB-PLUMBING</t>
  </si>
  <si>
    <t>CPQ11-PLMB-PLMB-SITE-R24.rvt</t>
  </si>
  <si>
    <t>CPQ11-PLMB-PLMB-SITE-R22.rvt</t>
  </si>
  <si>
    <t>CPQ11-PLMB-PLMB-DATA-R24.rvt</t>
  </si>
  <si>
    <t>CPQ11-PLMB-PLMB-DATA-R22.rvt</t>
  </si>
  <si>
    <t>CPQ11-PLMB-DIES-SITE-R24.rvt</t>
  </si>
  <si>
    <t>CPQ11-PLMB-DIES-SITE-R22.rvt</t>
  </si>
  <si>
    <t>CPQ11-PLMB-NPWT-SITE-R24.rvt</t>
  </si>
  <si>
    <t>CPQ11-PLMB-NPWT-SITE-R22.rvt</t>
  </si>
  <si>
    <t>STARCENTER</t>
  </si>
  <si>
    <t>CPQ11-PLMB-NPWT-DATA-R24.rvt</t>
  </si>
  <si>
    <t>CPQ11-PLMB-NPWT-DATA-R22.rvt</t>
  </si>
  <si>
    <t>CPQ11-PLMB-METK-UTLS-R24.rvt</t>
  </si>
  <si>
    <t>CPQ11-PLMB-METK-UTLS-R22.rvt</t>
  </si>
  <si>
    <t>MECH-MECHANICAL</t>
  </si>
  <si>
    <t>CPQ11-MECH-MECH-DATA-R24.rvt</t>
  </si>
  <si>
    <t>CPQ11-MECH-MECH-DATA-R22.rvt</t>
  </si>
  <si>
    <t>CPQ11-MECH-MECH-GUAR-R24.rvt</t>
  </si>
  <si>
    <t>CPQ11-MECH-MECH-GUAR-R22.rvt</t>
  </si>
  <si>
    <t>LAND-LANDSCAPE</t>
  </si>
  <si>
    <t>CPQ11-LAND-LAND-SITE-R24.rvt</t>
  </si>
  <si>
    <t>CPQ11-LAND-LAND-SITE-R22.rvt</t>
  </si>
  <si>
    <t>ORGANISMO VIVO</t>
  </si>
  <si>
    <t>CIVIL</t>
  </si>
  <si>
    <t>CPQ11-CIVL-DRNG-SITE-R24.rvt</t>
  </si>
  <si>
    <t>CPQ11-CIVL-DRNG-SITE-R22.rvt</t>
  </si>
  <si>
    <t>GARCIA</t>
  </si>
  <si>
    <t>CPQ11-CIVL-ERTH-SITE-R24.rvt</t>
  </si>
  <si>
    <t>CPQ11-CIVL-ERTH-SITE-R22.rvt</t>
  </si>
  <si>
    <t>CPQ11-CIVL-PAVM-SITE-R24.rvt</t>
  </si>
  <si>
    <t>CPQ11-CIVL-PAVM-SITE-R22.rvt</t>
  </si>
  <si>
    <t>CPQ11-CIVL-SIGN-SITE-R24.rvt</t>
  </si>
  <si>
    <t>CPQ11-CIVL-SIGN-SITE-R22.rvt</t>
  </si>
  <si>
    <t>CPQ11-CIVL-LOCK-SITE-R24.rvt</t>
  </si>
  <si>
    <t>CPQ11-CIVL-LOCK-SITE-R22.rvt</t>
  </si>
  <si>
    <t>STEINER</t>
  </si>
  <si>
    <t>PMD</t>
  </si>
  <si>
    <t>STRC-STRUCTURE</t>
  </si>
  <si>
    <t>CPQ11-STRC-CONC-DATA-R24.rvt</t>
  </si>
  <si>
    <t>CPQ11-STRC-CONC-DATA-R22.rvt</t>
  </si>
  <si>
    <t>SERV OBRAS</t>
  </si>
  <si>
    <t>TENAX</t>
  </si>
  <si>
    <t>CPQ11-STRC-CONC-SITE-R24.rvt</t>
  </si>
  <si>
    <t>CPQ11-STRC-CONC-SITE-R22.rvt</t>
  </si>
  <si>
    <t>CPQ11-STRC-DPFN-DATA-R24.rvt</t>
  </si>
  <si>
    <t>CPQ11-STRC-DPFN-DATA-R22.rvt</t>
  </si>
  <si>
    <t>GEOFIX/TECNOGEO</t>
  </si>
  <si>
    <t>CPQ11-STRC-DPFN-SITE-R24.rvt</t>
  </si>
  <si>
    <t>CPQ11-STRC-DPFN-SITE-R22.rvt</t>
  </si>
  <si>
    <t>CPQ11-STRC-FLOO-DATA-R24.rvt</t>
  </si>
  <si>
    <t>CPQ11-STRC-FLOO-DATA-R22.rvt</t>
  </si>
  <si>
    <t>MODAX</t>
  </si>
  <si>
    <t>CPQ11-STRC-FLOO-SITE-R24.rvt</t>
  </si>
  <si>
    <t>CPQ11-STRC-FLOO-SITE-R22.rvt</t>
  </si>
  <si>
    <t>CPQ11-STRC-DPF1-SITE-R24.rvt</t>
  </si>
  <si>
    <t>CPQ11-STRC-DPF1-SITE-R22.rvt</t>
  </si>
  <si>
    <t>GEOFIX</t>
  </si>
  <si>
    <t>CPQ11-STRC-DPF1-DATA-R24.rvt</t>
  </si>
  <si>
    <t>CPQ11-STRC-DPF1-DATA-R22.rvt</t>
  </si>
  <si>
    <t>CPQ11-STRC-DPF2-SITE-R24.rvt</t>
  </si>
  <si>
    <t>CPQ11-STRC-DPF2-SITE-R22.rvt</t>
  </si>
  <si>
    <t>TECNOGEO</t>
  </si>
  <si>
    <t>CPQ11-STRC-DPF2-DATA-R24.rvt</t>
  </si>
  <si>
    <t>CPQ11-STRC-DPF2-DATA-R22.rvt</t>
  </si>
  <si>
    <t>CPQ11-STRC-CHAI-SITE-R24.rvt</t>
  </si>
  <si>
    <t>CPQ11-STRC-CHAI-SITE-R22.rvt</t>
  </si>
  <si>
    <t>CPQ11-STRC-FENC-SITE-R24.rvt</t>
  </si>
  <si>
    <t>CPQ11-STRC-FENC-SITE-R22.rvt</t>
  </si>
  <si>
    <t>SERCOP, SERV OBRAS</t>
  </si>
  <si>
    <t>CPQ11-STRC-STEE-ADMN-2X3.ifc</t>
  </si>
  <si>
    <t>METASA</t>
  </si>
  <si>
    <t>CPQ11-STRC-STEE-COL1-2X3.ifc</t>
  </si>
  <si>
    <t>COL1</t>
  </si>
  <si>
    <t>CPQ11-STRC-STEE-COL2-2X3.ifc</t>
  </si>
  <si>
    <t>COL2</t>
  </si>
  <si>
    <t>CPQ11-STRC-STEE-COL3-2X3.ifc</t>
  </si>
  <si>
    <t>COL3</t>
  </si>
  <si>
    <t>CPQ11-STRC-STEE-COL4-2X3.ifc</t>
  </si>
  <si>
    <t>CPQ11-STRC-STEE-COL5-2X3.ifc</t>
  </si>
  <si>
    <t>COL5</t>
  </si>
  <si>
    <t>CPQ11-STRC-STEE-UTLS-2X3.ifc</t>
  </si>
  <si>
    <t>CPQ11-STRC-STEE-GUAR-2X3.ifc</t>
  </si>
  <si>
    <t>CPQ11-STRC-STEE-STIR-2X3.ifc</t>
  </si>
  <si>
    <t>STIR</t>
  </si>
  <si>
    <t>FILE NAME</t>
  </si>
  <si>
    <t>VERSÃO ANALISADA</t>
  </si>
  <si>
    <t>VERSÃO ANALISADA COLO3</t>
  </si>
  <si>
    <t>VERSÃO ANALISADA COLO4</t>
  </si>
  <si>
    <t>COLO4</t>
  </si>
  <si>
    <t>LOD 300 | ADMN</t>
  </si>
  <si>
    <t>ADM</t>
  </si>
  <si>
    <t>ACC VERSION (R22)</t>
  </si>
  <si>
    <t>ACC VERSION (R24)</t>
  </si>
  <si>
    <t>VERSION</t>
  </si>
  <si>
    <t>FILE DATE</t>
  </si>
  <si>
    <t>RVT TYPE APROVAL (ADMN)</t>
  </si>
  <si>
    <t>R1 - AUDIT STATUS (ADM)</t>
  </si>
  <si>
    <t>R1 - ESTIMATED DELIVERY  (ADM)</t>
  </si>
  <si>
    <t>R1 - APPROVAL (%)(ADM)</t>
  </si>
  <si>
    <t>R2 - AUDIT STATUS (ADM)</t>
  </si>
  <si>
    <t>R2 - ESTIMATED DELIVERY  (ADM)</t>
  </si>
  <si>
    <t>R2 - APPROVAL (%)(ADM)</t>
  </si>
  <si>
    <t>R3 - AUDIT STATUS (ADM)</t>
  </si>
  <si>
    <t>R3 - ESTIMATED DELIVERY  (ADM)</t>
  </si>
  <si>
    <t>R3 - APPROVAL (%)(ADM)</t>
  </si>
  <si>
    <t>R4 - AUDIT STATUS (ADM)</t>
  </si>
  <si>
    <t>R4 - ESTIMATED DELIVERY  (ADM)</t>
  </si>
  <si>
    <t>R4 - APPROVAL (%)(ADM)</t>
  </si>
  <si>
    <t>R5 - AUDIT STATUS (ADM)</t>
  </si>
  <si>
    <t>R5 - ESTIMATED DELIVERY  (ADM)</t>
  </si>
  <si>
    <t>R5 - APPROVAL (%)(ADM)</t>
  </si>
  <si>
    <t>R6 - AUDIT STATUS (ADM)</t>
  </si>
  <si>
    <t>R6 - ESTIMATED DELIVERY  (ADM)</t>
  </si>
  <si>
    <t>R6 - APPROVAL (%)(ADM)</t>
  </si>
  <si>
    <t>R7 - AUDIT STATUS (ADM)</t>
  </si>
  <si>
    <t>R7 - ESTIMATED DELIVERY  (ADM)</t>
  </si>
  <si>
    <t>R7 - APPROVAL (%)(ADM)</t>
  </si>
  <si>
    <t>R8 - AUDIT STATUS (ADM)</t>
  </si>
  <si>
    <t>R8 - ESTIMATED DELIVERY  (ADM)</t>
  </si>
  <si>
    <t>R8 - APPROVAL (%)(ADM)</t>
  </si>
  <si>
    <t>R9 - AUDIT STATUS (ADM)</t>
  </si>
  <si>
    <t>R9 - ESTIMATED DELIVERY  (ADM)</t>
  </si>
  <si>
    <t>R9 - APPROVAL (%)(ADM)</t>
  </si>
  <si>
    <t>R10 - AUDIT STATUS (ADM)</t>
  </si>
  <si>
    <t>R10 - ESTIMATED DELIVERY  (ADM)</t>
  </si>
  <si>
    <t>R10 - APPROVAL (%)(ADM)</t>
  </si>
  <si>
    <t>R11 - AUDIT STATUS (ADM)</t>
  </si>
  <si>
    <t>R11 - ESTIMATED DELIVERY  (ADM)</t>
  </si>
  <si>
    <t>R11 - APPROVAL (%)(ADM)</t>
  </si>
  <si>
    <t>R12 - AUDIT STATUS (ADM)</t>
  </si>
  <si>
    <t>R12 - ESTIMATED DELIVERY  (ADM)</t>
  </si>
  <si>
    <t>R12 - APPROVAL (%)(ADM)</t>
  </si>
  <si>
    <t>R13 - AUDIT STATUS (ADM)</t>
  </si>
  <si>
    <t>R13 - ESTIMATED DELIVERY  (ADM)</t>
  </si>
  <si>
    <t>R13 - APPROVAL (%)(ADM)</t>
  </si>
  <si>
    <t>R14 - AUDIT STATUS (ADM)</t>
  </si>
  <si>
    <t>R14 - ESTIMATED DELIVERY  (ADM)</t>
  </si>
  <si>
    <t>R14 - APPROVAL (%)(ADM)</t>
  </si>
  <si>
    <t>R15 - AUDIT STATUS (ADM)</t>
  </si>
  <si>
    <t>R15 - ESTIMATED DELIVERY  (ADM)</t>
  </si>
  <si>
    <t>R15 - APPROVAL (%)(ADM)</t>
  </si>
  <si>
    <t>R16- AUDIT STATUS (ADM)</t>
  </si>
  <si>
    <t>R16 - ESTIMATED DELIVERY  (ADM)</t>
  </si>
  <si>
    <t>R16 - APPROVAL (%)(ADM)</t>
  </si>
  <si>
    <t>R17- AUDIT STATUS (ADM)</t>
  </si>
  <si>
    <t>R17 - ESTIMATED DELIVERY  (ADM)</t>
  </si>
  <si>
    <t>R17 - APPROVAL (%)(ADM)</t>
  </si>
  <si>
    <t>R18- AUDIT STATUS (ADM)</t>
  </si>
  <si>
    <t>R18 - ESTIMATED DELIVERY  (ADM)</t>
  </si>
  <si>
    <t>R18 - APPROVAL (%)(ADM)</t>
  </si>
  <si>
    <t>R19- AUDIT STATUS (ADM)</t>
  </si>
  <si>
    <t>R19 - ESTIMATED DELIVERY  (ADM)</t>
  </si>
  <si>
    <t>R19 - APPROVAL (%)(ADM)</t>
  </si>
  <si>
    <t>R20- AUDIT STATUS (ADM)</t>
  </si>
  <si>
    <t>R20 - ESTIMATED DELIVERY  (ADM)</t>
  </si>
  <si>
    <t>R20 - APPROVAL (%)(ADM)</t>
  </si>
  <si>
    <t>R21- AUDIT STATUS (ADM)</t>
  </si>
  <si>
    <t>R21 - ESTIMATED DELIVERY  (ADM)</t>
  </si>
  <si>
    <t>R21 - APPROVAL (%)(ADM)</t>
  </si>
  <si>
    <t>R22- AUDIT STATUS (ADM)</t>
  </si>
  <si>
    <t>R22 - ESTIMATED DELIVERY  (ADM)</t>
  </si>
  <si>
    <t>R22 - APPROVAL (%)(ADM)</t>
  </si>
  <si>
    <t>R23- AUDIT STATUS (ADM)</t>
  </si>
  <si>
    <t>R23 - ESTIMATED DELIVERY  (ADM)</t>
  </si>
  <si>
    <t>R23 - APPROVAL (%)(ADM)</t>
  </si>
  <si>
    <t>R24- AUDIT STATUS (ADM)</t>
  </si>
  <si>
    <t>R24 - ESTIMATED DELIVERY  (ADM)</t>
  </si>
  <si>
    <t>R24 - APPROVAL (%)(ADM)</t>
  </si>
  <si>
    <t>R25- AUDIT STATUS (ADM)</t>
  </si>
  <si>
    <t>R25 - ESTIMATED DELIVERY  (ADM)</t>
  </si>
  <si>
    <t>R25 - APPROVAL (%)(ADM)</t>
  </si>
  <si>
    <t>R26- AUDIT STATUS (ADM)</t>
  </si>
  <si>
    <t>R26 - ESTIMATED DELIVERY  (ADM)</t>
  </si>
  <si>
    <t>R26 - APPROVAL (%)(ADM)</t>
  </si>
  <si>
    <t>R27- AUDIT STATUS (ADM)</t>
  </si>
  <si>
    <t>R27 - ESTIMATED DELIVERY  (ADM)</t>
  </si>
  <si>
    <t>R27 - APPROVAL (%)(ADM)</t>
  </si>
  <si>
    <t>R28 - AUDIT STATUS (ADM)</t>
  </si>
  <si>
    <t>R28 - ESTIMATED DELIVERY  (ADM)</t>
  </si>
  <si>
    <t>R28 - APPROVAL (%)(ADM)</t>
  </si>
  <si>
    <t>R29 - AUDIT STATUS (ADM)</t>
  </si>
  <si>
    <t>R29 - ESTIMATED DELIVERY  (ADM)</t>
  </si>
  <si>
    <t>R29 - APPROVAL (%)(ADM)</t>
  </si>
  <si>
    <t>R30 - AUDIT STATUS (ADM)</t>
  </si>
  <si>
    <t>R30 - ESTIMATED DELIVERY  (ADM)</t>
  </si>
  <si>
    <t>R30 - APPROVAL (%)(ADM)</t>
  </si>
  <si>
    <t>R31 - AUDIT STATUS (ADM)</t>
  </si>
  <si>
    <t>R31 - ESTIMATED DELIVERY  (ADM)</t>
  </si>
  <si>
    <t>R31 - APPROVAL (%)(ADM)</t>
  </si>
  <si>
    <t>R32 - AUDIT STATUS (ADM)</t>
  </si>
  <si>
    <t>R32 - ESTIMATED DELIVERY  (ADM)</t>
  </si>
  <si>
    <t>R32 - APPROVAL (%)(ADM)</t>
  </si>
  <si>
    <t>R33 - AUDIT STATUS (ADM)</t>
  </si>
  <si>
    <t>R33 - ESTIMATED DELIVERY  (ADM)</t>
  </si>
  <si>
    <t>R33 - APPROVAL (%)(ADM)</t>
  </si>
  <si>
    <t>R34 - AUDIT STATUS (ADM)</t>
  </si>
  <si>
    <t>R34 - ESTIMATED DELIVERY  (ADM)</t>
  </si>
  <si>
    <t>R34 - APPROVAL (%)(ADM)</t>
  </si>
  <si>
    <t>R35 - AUDIT STATUS (ADM)</t>
  </si>
  <si>
    <t>R35 - ESTIMATED DELIVERY  (ADM)</t>
  </si>
  <si>
    <t>R35 - APPROVAL (%)(ADM)</t>
  </si>
  <si>
    <t>R36 - AUDIT STATUS (ADM)</t>
  </si>
  <si>
    <t>R36 - ESTIMATED DELIVERY  (ADM)</t>
  </si>
  <si>
    <t>R36 - APPROVAL (%)(ADM)</t>
  </si>
  <si>
    <t>R37 - AUDIT STATUS (ADM)</t>
  </si>
  <si>
    <t>R37 - ESTIMATED DELIVERY  (ADM)</t>
  </si>
  <si>
    <t>R37 - APPROVAL (%)(ADM)</t>
  </si>
  <si>
    <t>R38 - AUDIT STATUS (ADM)</t>
  </si>
  <si>
    <t>R38 - ESTIMATED DELIVERY  (ADM)</t>
  </si>
  <si>
    <t>R38 - APPROVAL (%)(ADM)</t>
  </si>
  <si>
    <t>R39 - AUDIT STATUS (ADM)</t>
  </si>
  <si>
    <t>R39 - ESTIMATED DELIVERY  (ADM)</t>
  </si>
  <si>
    <t>R39 - APPROVAL (%)(ADM)</t>
  </si>
  <si>
    <t>V31</t>
  </si>
  <si>
    <t>04/11/2025</t>
  </si>
  <si>
    <t>N/A</t>
  </si>
  <si>
    <t>CPQ11-ARCH-FNSH-DATA-R24.rvt</t>
  </si>
  <si>
    <t>CPQ11-ARCH-FNSH-DATA-R22.rvt</t>
  </si>
  <si>
    <t>MENDES HOLLER, IDEIA, SERV OBRAS</t>
  </si>
  <si>
    <t>NOT PUBLISHED</t>
  </si>
  <si>
    <t>CPQ11-ARCH-ALUF-DATA-R24.rvt</t>
  </si>
  <si>
    <t>CPQ11-ARCH-ALUF-DATA-R22.rvt</t>
  </si>
  <si>
    <t>SMVIDROS</t>
  </si>
  <si>
    <t>V1</t>
  </si>
  <si>
    <t>04/06/2026</t>
  </si>
  <si>
    <t>R24</t>
  </si>
  <si>
    <t>INGRYD</t>
  </si>
  <si>
    <t>NEXT ROUND</t>
  </si>
  <si>
    <t>IMPROPER</t>
  </si>
  <si>
    <t>FINALIZED</t>
  </si>
  <si>
    <t>REPROVED</t>
  </si>
  <si>
    <t>OUTDATED MODEL</t>
  </si>
  <si>
    <t>V4</t>
  </si>
  <si>
    <t>V3</t>
  </si>
  <si>
    <t>V20</t>
  </si>
  <si>
    <t>R22</t>
  </si>
  <si>
    <t>MOVED TO R3</t>
  </si>
  <si>
    <t>APPROVED</t>
  </si>
  <si>
    <t>PREVIOUSLY APPROVED</t>
  </si>
  <si>
    <t>V7</t>
  </si>
  <si>
    <t>28/08/2025</t>
  </si>
  <si>
    <t>05/11/2025</t>
  </si>
  <si>
    <t>V10</t>
  </si>
  <si>
    <t>V8</t>
  </si>
  <si>
    <t>16/10/2025</t>
  </si>
  <si>
    <t>V13</t>
  </si>
  <si>
    <t>14/10/2025</t>
  </si>
  <si>
    <t>V6</t>
  </si>
  <si>
    <t>21/10/2025</t>
  </si>
  <si>
    <t>V26</t>
  </si>
  <si>
    <t>03/10/2025</t>
  </si>
  <si>
    <t>V19</t>
  </si>
  <si>
    <t>01/10/2025</t>
  </si>
  <si>
    <t>V11</t>
  </si>
  <si>
    <t>V22</t>
  </si>
  <si>
    <t>V28</t>
  </si>
  <si>
    <t>31/10/2025</t>
  </si>
  <si>
    <t>17/11/2025</t>
  </si>
  <si>
    <t>V29</t>
  </si>
  <si>
    <t>V37</t>
  </si>
  <si>
    <t>V5</t>
  </si>
  <si>
    <t>V9</t>
  </si>
  <si>
    <t>15/10/2025</t>
  </si>
  <si>
    <t>V49</t>
  </si>
  <si>
    <t>27/10/2025</t>
  </si>
  <si>
    <t>08/10/2025</t>
  </si>
  <si>
    <t>10/04/2026</t>
  </si>
  <si>
    <t>LOD 300 | COLO1</t>
  </si>
  <si>
    <t>RVT TYPE APROVAL (COLO1)</t>
  </si>
  <si>
    <t>R1 - AUDIT STATUS (COLO1)</t>
  </si>
  <si>
    <t>R1 - ESTIMATED DELIVERY (COLO1)</t>
  </si>
  <si>
    <t>R2 - AUDIT STATUS (COLO1)</t>
  </si>
  <si>
    <t>R2 - ESTIMATED DELIVERY (COLO1)</t>
  </si>
  <si>
    <t>R3 - AUDIT STATUS (COLO1)</t>
  </si>
  <si>
    <t>R3 - ESTIMATED DELIVERY (COLO1)</t>
  </si>
  <si>
    <t>R4 - AUDIT STATUS (COLO1)</t>
  </si>
  <si>
    <t>R4 - ESTIMATED DELIVERY (COLO1)</t>
  </si>
  <si>
    <t>R5 - AUDIT STATUS (COLO1)</t>
  </si>
  <si>
    <t>R5 - ESTIMATED DELIVERY (COLO1)</t>
  </si>
  <si>
    <t>R6 - AUDIT STATUS (COLO1)</t>
  </si>
  <si>
    <t>R6 - ESTIMATED DELIVERY (COLO1)</t>
  </si>
  <si>
    <t>R7 - AUDIT STATUS (COLO1)</t>
  </si>
  <si>
    <t>R7 - ESTIMATED DELIVERY (COLO1)</t>
  </si>
  <si>
    <t>R8 - AUDIT STATUS (COLO1)</t>
  </si>
  <si>
    <t>R8 - ESTIMATED DELIVERY (COLO1)</t>
  </si>
  <si>
    <t>R9 - AUDIT STATUS (COLO1)</t>
  </si>
  <si>
    <t>R9 - ESTIMATED DELIVERY (COLO1)</t>
  </si>
  <si>
    <t>R10 - AUDIT STATUS (COLO1)</t>
  </si>
  <si>
    <t>R10 - ESTIMATED DELIVERY (COLO1)</t>
  </si>
  <si>
    <t>R11 - AUDIT STATUS (COLO1)</t>
  </si>
  <si>
    <t>R11 - ESTIMATED DELIVERY (COLO1)</t>
  </si>
  <si>
    <t>R12 - AUDIT STATUS (COLO1)</t>
  </si>
  <si>
    <t>R12 - ESTIMATED DELIVERY (COLO1)</t>
  </si>
  <si>
    <t>R13 - AUDIT STATUS (COLO1)</t>
  </si>
  <si>
    <t>R13 - ESTIMATED DELIVERY (COLO1)</t>
  </si>
  <si>
    <t>R14 - AUDIT STATUS (COLO1)</t>
  </si>
  <si>
    <t>R14 - ESTIMATED DELIVERY (COLO1)</t>
  </si>
  <si>
    <t>R15 - AUDIT STATUS (COLO1)</t>
  </si>
  <si>
    <t>R15 - ESTIMATED DELIVERY (COLO1)</t>
  </si>
  <si>
    <t>R16 - AUDIT STATUS (COLO1)</t>
  </si>
  <si>
    <t>R16 - ESTIMATED DELIVERY (COLO1)</t>
  </si>
  <si>
    <t>R17 - AUDIT STATUS (COLO1)</t>
  </si>
  <si>
    <t>R17 - ESTIMATED DELIVERY (COLO1)</t>
  </si>
  <si>
    <t>R18 - AUDIT STATUS (COLO1)</t>
  </si>
  <si>
    <t>R18 - ESTIMATED DELIVERY (COLO1)</t>
  </si>
  <si>
    <t>R19 - AUDIT STATUS (COLO1)</t>
  </si>
  <si>
    <t>R19 - ESTIMATED DELIVERY (COLO1)</t>
  </si>
  <si>
    <t>R20 - AUDIT STATUS (COLO1)</t>
  </si>
  <si>
    <t>R20 - ESTIMATED DELIVERY (COLO1)</t>
  </si>
  <si>
    <t>R21 - AUDIT STATUS (COLO1)</t>
  </si>
  <si>
    <t>R21 - ESTIMATED DELIVERY (COLO1)</t>
  </si>
  <si>
    <t>R22 - AUDIT STATUS (COLO1)</t>
  </si>
  <si>
    <t>R22 - ESTIMATED DELIVERY (COLO1)</t>
  </si>
  <si>
    <t>R23 - AUDIT STATUS (COLO1)</t>
  </si>
  <si>
    <t>R23 - ESTIMATED DELIVERY (COLO1)</t>
  </si>
  <si>
    <t>R24 - AUDIT STATUS (COLO1)</t>
  </si>
  <si>
    <t>R24 - ESTIMATED DELIVERY (COLO1)</t>
  </si>
  <si>
    <t>R25 - AUDIT STATUS (COLO1)</t>
  </si>
  <si>
    <t>R25 - ESTIMATED DELIVERY (COLO1)</t>
  </si>
  <si>
    <t>R26 - AUDIT STATUS (COLO1)</t>
  </si>
  <si>
    <t>R26 - ESTIMATED DELIVERY (COLO1)</t>
  </si>
  <si>
    <t>R27 - AUDIT STATUS (COLO1)</t>
  </si>
  <si>
    <t>R27 - ESTIMATED DELIVERY (COLO1)</t>
  </si>
  <si>
    <t>R28 - AUDIT STATUS (COLO1)</t>
  </si>
  <si>
    <t>R28 - ESTIMATED DELIVERY (COLO1)</t>
  </si>
  <si>
    <t>R29 - AUDIT STATUS (COLO1)</t>
  </si>
  <si>
    <t>R29 - ESTIMATED DELIVERY (COLO1)</t>
  </si>
  <si>
    <t>R30 - AUDIT STATUS (COLO1)</t>
  </si>
  <si>
    <t>R30 - ESTIMATED DELIVERY (COLO1)</t>
  </si>
  <si>
    <t>R31 - AUDIT STATUS (COLO1)</t>
  </si>
  <si>
    <t>R31 - ESTIMATED DELIVERY (COLO1)</t>
  </si>
  <si>
    <t>R32 - AUDIT STATUS (COLO1)</t>
  </si>
  <si>
    <t>R32 - ESTIMATED DELIVERY (COLO1)</t>
  </si>
  <si>
    <t>R33 - AUDIT STATUS (COLO1)</t>
  </si>
  <si>
    <t>R33 - ESTIMATED DELIVERY (COLO1)</t>
  </si>
  <si>
    <t>R34 - AUDIT STATUS (COLO1)</t>
  </si>
  <si>
    <t>R34 - ESTIMATED DELIVERY (COLO1)</t>
  </si>
  <si>
    <t>R35 - AUDIT STATUS (COLO1)</t>
  </si>
  <si>
    <t>R35 - ESTIMATED DELIVERY (COLO1)</t>
  </si>
  <si>
    <t>R36 - AUDIT STATUS (COLO1)</t>
  </si>
  <si>
    <t>R36 - ESTIMATED DELIVERY (COLO1)</t>
  </si>
  <si>
    <t>R37 - AUDIT STATUS (COLO1)</t>
  </si>
  <si>
    <t>R37 - ESTIMATED DELIVERY (COLO1)</t>
  </si>
  <si>
    <t>R38 - AUDIT STATUS (COLO1)</t>
  </si>
  <si>
    <t>R38 - ESTIMATED DELIVERY (COLO1)</t>
  </si>
  <si>
    <t>R39 - AUDIT STATUS (COLO1)</t>
  </si>
  <si>
    <t>R39 - ESTIMATED DELIVERY (COLO1)</t>
  </si>
  <si>
    <t>18/07/2025</t>
  </si>
  <si>
    <t xml:space="preserve">NOT PUBLISHED </t>
  </si>
  <si>
    <t>V2</t>
  </si>
  <si>
    <t>V16</t>
  </si>
  <si>
    <t>LOD 300 | COLO2</t>
  </si>
  <si>
    <t>ACC VERSION R24</t>
  </si>
  <si>
    <t>ACC FILE DATE R24</t>
  </si>
  <si>
    <t>RVT TYPE APROVAL (COLO2)</t>
  </si>
  <si>
    <t>R1 - AUDIT STATUS (COLO2)</t>
  </si>
  <si>
    <t>R1 - ESTIMATED DELIVERY (COLO2)</t>
  </si>
  <si>
    <t>R1 - APPROVAL (%)(COLO2)</t>
  </si>
  <si>
    <t>R2 - AUDIT STATUS (COLO2)</t>
  </si>
  <si>
    <t>R2 - ESTIMATED DELIVERY (COLO2)</t>
  </si>
  <si>
    <t>R2 - APPROVAL (%)(COLO2)</t>
  </si>
  <si>
    <t>R3 - AUDIT STATUS (COLO2)</t>
  </si>
  <si>
    <t>R3 - ESTIMATED DELIVERY (COLO2)</t>
  </si>
  <si>
    <t>R3 - APPROVAL (%)(COLO2)</t>
  </si>
  <si>
    <t>R4 - AUDIT STATUS (COLO2)</t>
  </si>
  <si>
    <t>R4 - ESTIMATED DELIVERY (COLO2)</t>
  </si>
  <si>
    <t>R4 - APPROVAL (%)(COLO2)</t>
  </si>
  <si>
    <t>R5 - AUDIT STATUS (COLO2)</t>
  </si>
  <si>
    <t>R5 - ESTIMATED DELIVERY (COLO2)</t>
  </si>
  <si>
    <t>R5 - APPROVAL (%)(COLO2)</t>
  </si>
  <si>
    <t>R6 - AUDIT STATUS (COLO2)</t>
  </si>
  <si>
    <t>R6 - ESTIMATED DELIVERY (COLO2)</t>
  </si>
  <si>
    <t>R6 - APPROVAL (%)(COLO2)</t>
  </si>
  <si>
    <t>R7 - AUDIT STATUS (COLO2)</t>
  </si>
  <si>
    <t>R7 - ESTIMATED DELIVERY (COLO2)</t>
  </si>
  <si>
    <t>R7 - APPROVAL (%)(COLO2)</t>
  </si>
  <si>
    <t>R8 - AUDIT STATUS (COLO2)</t>
  </si>
  <si>
    <t>R8 - ESTIMATED DELIVERY (COLO2)</t>
  </si>
  <si>
    <t>R8 - APPROVAL (%)(COLO2)</t>
  </si>
  <si>
    <t>R9 - AUDIT STATUS (COLO2)</t>
  </si>
  <si>
    <t>R9 - ESTIMATED DELIVERY (COLO2)</t>
  </si>
  <si>
    <t>R9 - APPROVAL (%)(COLO2)</t>
  </si>
  <si>
    <t>R10 - AUDIT STATUS (COLO2)</t>
  </si>
  <si>
    <t>R10 - ESTIMATED DELIVERY (COLO2)</t>
  </si>
  <si>
    <t>R10 - APPROVAL (%)(COLO2)</t>
  </si>
  <si>
    <t>R11 - AUDIT STATUS (COLO2)</t>
  </si>
  <si>
    <t>R11 - ESTIMATED DELIVERY (COLO2)</t>
  </si>
  <si>
    <t>R11 - APPROVAL (%)(COLO2)</t>
  </si>
  <si>
    <t>R12 - AUDIT STATUS (COLO2)</t>
  </si>
  <si>
    <t>R12 - ESTIMATED DELIVERY (COLO2)</t>
  </si>
  <si>
    <t>R12 - APPROVAL (%)(COLO2)</t>
  </si>
  <si>
    <t>R13 - AUDIT STATUS (COLO2)</t>
  </si>
  <si>
    <t>R13 - ESTIMATED DELIVERY (COLO2)</t>
  </si>
  <si>
    <t>R13 - APPROVAL (%)(COLO2)</t>
  </si>
  <si>
    <t>R14 - AUDIT STATUS (COLO2)</t>
  </si>
  <si>
    <t>R14 - ESTIMATED DELIVERY (COLO2)</t>
  </si>
  <si>
    <t>R14 - APPROVAL (%)(COLO2)</t>
  </si>
  <si>
    <t>R15 - AUDIT STATUS (COLO2)</t>
  </si>
  <si>
    <t>R15 - ESTIMATED DELIVERY (COLO2)</t>
  </si>
  <si>
    <t>R15 - APPROVAL (%)(COLO2)</t>
  </si>
  <si>
    <t>R16 - AUDIT STATUS (COLO2)</t>
  </si>
  <si>
    <t>R16 - ESTIMATED DELIVERY (COLO2)</t>
  </si>
  <si>
    <t>R16 - APPROVAL (%)(COLO2)</t>
  </si>
  <si>
    <t>R17 - AUDIT STATUS (COLO2)</t>
  </si>
  <si>
    <t>R17 - ESTIMATED DELIVERY (COLO2)</t>
  </si>
  <si>
    <t>R17 - APPROVAL (%)(COLO2)</t>
  </si>
  <si>
    <t>R18 - AUDIT STATUS (COLO2)</t>
  </si>
  <si>
    <t>R18 - ESTIMATED DELIVERY (COLO2)</t>
  </si>
  <si>
    <t>R18 - APPROVAL (%)(COLO2)</t>
  </si>
  <si>
    <t>R19 - AUDIT STATUS (COLO2)</t>
  </si>
  <si>
    <t>R19 - ESTIMATED DELIVERY (COLO2)</t>
  </si>
  <si>
    <t>R19 - APPROVAL (%)(COLO2)</t>
  </si>
  <si>
    <t>R20 - AUDIT STATUS (COLO2)</t>
  </si>
  <si>
    <t>R20 - ESTIMATED DELIVERY (COLO2)</t>
  </si>
  <si>
    <t>R20 - APPROVAL (%)(COLO2)</t>
  </si>
  <si>
    <t>R21 - AUDIT STATUS (COLO2)</t>
  </si>
  <si>
    <t>R21 - ESTIMATED DELIVERY (COLO2)</t>
  </si>
  <si>
    <t>R21 - APPROVAL (%)(COLO2)</t>
  </si>
  <si>
    <t>R22 - AUDIT STATUS (COLO2)</t>
  </si>
  <si>
    <t>R22 - ESTIMATED DELIVERY (COLO2)</t>
  </si>
  <si>
    <t>R22 - APPROVAL (%)(COLO2)</t>
  </si>
  <si>
    <t>R23 - AUDIT STATUS (COLO2)</t>
  </si>
  <si>
    <t>R23 - ESTIMATED DELIVERY (COLO2)</t>
  </si>
  <si>
    <t>R23 - APPROVAL (%)(COLO2)</t>
  </si>
  <si>
    <t>R24 - AUDIT STATUS (COLO2)</t>
  </si>
  <si>
    <t>R24 - ESTIMATED DELIVERY (COLO2)</t>
  </si>
  <si>
    <t>R24 - APPROVAL (%)(COLO2)</t>
  </si>
  <si>
    <t>R25 - AUDIT STATUS (COLO2)</t>
  </si>
  <si>
    <t>R25 - ESTIMATED DELIVERY (COLO2)</t>
  </si>
  <si>
    <t>R25 - APPROVAL (%)(COLO2)</t>
  </si>
  <si>
    <t>R26 - AUDIT STATUS (COLO2)</t>
  </si>
  <si>
    <t>R26 - ESTIMATED DELIVERY (COLO2)</t>
  </si>
  <si>
    <t>R26 - APPROVAL (%)(COLO2)</t>
  </si>
  <si>
    <t>R27 - AUDIT STATUS (COLO2)</t>
  </si>
  <si>
    <t>R27 - ESTIMATED DELIVERY (COLO2)</t>
  </si>
  <si>
    <t>R27 - APPROVAL (%)(COLO2)</t>
  </si>
  <si>
    <t>R28 - AUDIT STATUS (COLO2)</t>
  </si>
  <si>
    <t>R28 - ESTIMATED DELIVERY (COLO2)</t>
  </si>
  <si>
    <t>R28 - APPROVAL (%)(COLO2)</t>
  </si>
  <si>
    <t>R29 - AUDIT STATUS (COLO2)</t>
  </si>
  <si>
    <t>R29 - ESTIMATED DELIVERY (COLO2)</t>
  </si>
  <si>
    <t>R29 - APPROVAL (%)(COLO2)</t>
  </si>
  <si>
    <t>R30 - AUDIT STATUS (COLO2)</t>
  </si>
  <si>
    <t>R30 - ESTIMATED DELIVERY (COLO2)</t>
  </si>
  <si>
    <t>R30 - APPROVAL (%)(COLO2)</t>
  </si>
  <si>
    <t>R31 - AUDIT STATUS (COLO2)</t>
  </si>
  <si>
    <t>R31 - ESTIMATED DELIVERY (COLO2)</t>
  </si>
  <si>
    <t>R31 - APPROVAL (%)(COLO2)</t>
  </si>
  <si>
    <t>R32 - AUDIT STATUS (COLO2)</t>
  </si>
  <si>
    <t>R32 - ESTIMATED DELIVERY (COLO2)</t>
  </si>
  <si>
    <t>R32 - APPROVAL (%)(COLO2)</t>
  </si>
  <si>
    <t>R33 - AUDIT STATUS (COLO2)</t>
  </si>
  <si>
    <t>R33 - ESTIMATED DELIVERY (COLO2)</t>
  </si>
  <si>
    <t>R33 - APPROVAL (%)(COLO2)</t>
  </si>
  <si>
    <t>R34 - AUDIT STATUS (COLO2)</t>
  </si>
  <si>
    <t>R34 - ESTIMATED DELIVERY (COLO2)</t>
  </si>
  <si>
    <t>R34 - APPROVAL (%)(COLO2)</t>
  </si>
  <si>
    <t>R35 - AUDIT STATUS (COLO2)</t>
  </si>
  <si>
    <t>R35 - ESTIMATED DELIVERY (COLO2)</t>
  </si>
  <si>
    <t>R35 - APPROVAL (%)(COLO2)</t>
  </si>
  <si>
    <t>RESPONSÁVEL DA ANÁLISE (COLO2)</t>
  </si>
  <si>
    <t>IURY</t>
  </si>
  <si>
    <t>JAKE</t>
  </si>
  <si>
    <t xml:space="preserve">   </t>
  </si>
  <si>
    <t xml:space="preserve"> </t>
  </si>
  <si>
    <t>LOD 300 | COLO3</t>
  </si>
  <si>
    <t>RESPONSÁVEL DA ANÁLISE (COLO3)</t>
  </si>
  <si>
    <t>V33</t>
  </si>
  <si>
    <t>V15</t>
  </si>
  <si>
    <t>V39</t>
  </si>
  <si>
    <t>V24</t>
  </si>
  <si>
    <t>V12</t>
  </si>
  <si>
    <t>V14</t>
  </si>
  <si>
    <t>26/03/2026</t>
  </si>
  <si>
    <t>13/03/2026</t>
  </si>
  <si>
    <t>V18</t>
  </si>
  <si>
    <t>23/03/2026</t>
  </si>
  <si>
    <t>V17</t>
  </si>
  <si>
    <t>V35</t>
  </si>
  <si>
    <t>24/04/2026</t>
  </si>
  <si>
    <t>V34</t>
  </si>
  <si>
    <t>V38</t>
  </si>
  <si>
    <t>16/04/2026</t>
  </si>
  <si>
    <t>V59</t>
  </si>
  <si>
    <t>V30</t>
  </si>
  <si>
    <t>19/03/2026</t>
  </si>
  <si>
    <t>07/11/2025</t>
  </si>
  <si>
    <t>LOD 300 | COLO4</t>
  </si>
  <si>
    <t>R1 - AUDIT STATUS (COLO4)</t>
  </si>
  <si>
    <t>R1 - ESTIMATED DELIVERY (COLO4)</t>
  </si>
  <si>
    <t>R1 - APPROVAL (%)(COLO4)</t>
  </si>
  <si>
    <t>RVT TYPE APROVAL (SITE)</t>
  </si>
  <si>
    <t>R1 - AUDIT STATUS (ANNEXES)</t>
  </si>
  <si>
    <t>R1 - ESTIMATED DELIVERY (ANNEXES)</t>
  </si>
  <si>
    <t>R1 - APPROVAL (%)(ANNEXES)</t>
  </si>
  <si>
    <t>R2 - AUDIT STATUS (ANNEXES)</t>
  </si>
  <si>
    <t>R2 - ESTIMATED DELIVERY (ANNEXES)</t>
  </si>
  <si>
    <t>R2 - APPROVAL (%)(ANNEXES)</t>
  </si>
  <si>
    <t>R3 - AUDIT STATUS (ANNEXES)</t>
  </si>
  <si>
    <t>R3 - ESTIMATED DELIVERY (ANNEXES)</t>
  </si>
  <si>
    <t>R3 - APPROVAL (%)(ANNEXES)</t>
  </si>
  <si>
    <t>R4 - AUDIT STATUS (ANNEXES)</t>
  </si>
  <si>
    <t>R4 - ESTIMATED DELIVERY (ANNEXES)</t>
  </si>
  <si>
    <t>R4 - APPROVAL (%)(ANNEXES)</t>
  </si>
  <si>
    <t>R5 - AUDIT STATUS (ANNEXES)</t>
  </si>
  <si>
    <t>R5 - ESTIMATED DELIVERY (ANNEXES)</t>
  </si>
  <si>
    <t>R5 - APPROVAL (%)(ANNEXES)</t>
  </si>
  <si>
    <t>R6 - AUDIT STATUS (ANNEXES)</t>
  </si>
  <si>
    <t>R6 - ESTIMATED DELIVERY (ANNEXES)</t>
  </si>
  <si>
    <t>R6 - APPROVAL (%)(ANNEXES)</t>
  </si>
  <si>
    <t>R7 - AUDIT STATUS (ANNEXES)</t>
  </si>
  <si>
    <t>R7 - ESTIMATED DELIVERY (ANNEXES)</t>
  </si>
  <si>
    <t>R7 - APPROVAL (%)(ANNEXES)</t>
  </si>
  <si>
    <t>R8 - AUDIT STATUS (ANNEXES)</t>
  </si>
  <si>
    <t>R8 - ESTIMATED DELIVERY (ANNEXES)</t>
  </si>
  <si>
    <t>R8 - APPROVAL (%)(ANNEXES)</t>
  </si>
  <si>
    <t>R9 - AUDIT STATUS (ANNEXES)</t>
  </si>
  <si>
    <t>R9 - ESTIMATED DELIVERY (ANNEXES)</t>
  </si>
  <si>
    <t>R9 - APPROVAL (%)(ANNEXES)</t>
  </si>
  <si>
    <t>R10 - AUDIT STATUS (ANNEXES)</t>
  </si>
  <si>
    <t>R10 - ESTIMATED DELIVERY (ANNEXES)</t>
  </si>
  <si>
    <t>R10 - APPROVAL (%)(ANNEXES)</t>
  </si>
  <si>
    <t>R11 - AUDIT STATUS (ANNEXES)</t>
  </si>
  <si>
    <t>R11 - ESTIMATED DELIVERY (ANNEXES)</t>
  </si>
  <si>
    <t>R11 - APPROVAL (%)(ANNEXES)</t>
  </si>
  <si>
    <t>R12 - AUDIT STATUS (ANNEXES)</t>
  </si>
  <si>
    <t>R12 - ESTIMATED DELIVERY (ANNEXES)</t>
  </si>
  <si>
    <t>R12 - APPROVAL (%)(ANNEXES)</t>
  </si>
  <si>
    <t>R13 - AUDIT STATUS (ANNEXES)</t>
  </si>
  <si>
    <t>R13 - ESTIMATED DELIVERY (ANNEXES)</t>
  </si>
  <si>
    <t>R13 - APPROVAL (%)(ANNEXES)</t>
  </si>
  <si>
    <t>R14 - AUDIT STATUS (ANNEXES)</t>
  </si>
  <si>
    <t>R14 - ESTIMATED DELIVERY (ANNEXES)</t>
  </si>
  <si>
    <t>R14 - APPROVAL (%)(ANNEXES)</t>
  </si>
  <si>
    <t>R15 - AUDIT STATUS (ANNEXES)</t>
  </si>
  <si>
    <t>R15 - ESTIMATED DELIVERY (ANNEXES)</t>
  </si>
  <si>
    <t>R15 - APPROVAL (%)(ANNEXES)</t>
  </si>
  <si>
    <t>R16 - AUDIT STATUS (ANNEXES)</t>
  </si>
  <si>
    <t>R16 - ESTIMATED DELIVERY (ANNEXES)</t>
  </si>
  <si>
    <t>R16 - APPROVAL (%)(ANNEXES)</t>
  </si>
  <si>
    <t>R17 - AUDIT STATUS (ANNEXES)</t>
  </si>
  <si>
    <t>R17 - ESTIMATED DELIVERY (ANNEXES)</t>
  </si>
  <si>
    <t>R17 - APPROVAL (%)(ANNEXES)</t>
  </si>
  <si>
    <t>R18 - AUDIT STATUS (ANNEXES)</t>
  </si>
  <si>
    <t>R18 - ESTIMATED DELIVERY (ANNEXES)</t>
  </si>
  <si>
    <t>R18 - APPROVAL (%)(ANNEXES)</t>
  </si>
  <si>
    <t>R19 - AUDIT STATUS (ANNEXES)</t>
  </si>
  <si>
    <t>R19 - ESTIMATED DELIVERY (ANNEXES)</t>
  </si>
  <si>
    <t>R19 - APPROVAL (%)(ANNEXES)</t>
  </si>
  <si>
    <t>R20 - AUDIT STATUS (ANNEXES)</t>
  </si>
  <si>
    <t>R20 - ESTIMATED DELIVERY (ANNEXES)</t>
  </si>
  <si>
    <t>R20 - APPROVAL (%)(ANNEXES)</t>
  </si>
  <si>
    <t>R21 - AUDIT STATUS (ANNEXES)</t>
  </si>
  <si>
    <t>R21 - ESTIMATED DELIVERY (ANNEXES)</t>
  </si>
  <si>
    <t>R21 - APPROVAL (%)(ANNEXES)</t>
  </si>
  <si>
    <t>R22 - AUDIT STATUS (ANNEXES)</t>
  </si>
  <si>
    <t>R22 - ESTIMATED DELIVERY (ANNEXES)</t>
  </si>
  <si>
    <t>R22 - APPROVAL (%)(ANNEXES)</t>
  </si>
  <si>
    <t>R23 - AUDIT STATUS (ANNEXES)</t>
  </si>
  <si>
    <t>R23 - ESTIMATED DELIVERY (ANNEXES)</t>
  </si>
  <si>
    <t>R23 - APPROVAL (%)(ANNEXES)</t>
  </si>
  <si>
    <t>R24 - AUDIT STATUS (ANNEXES)</t>
  </si>
  <si>
    <t>R24 - ESTIMATED DELIVERY (ANNEXES)</t>
  </si>
  <si>
    <t>R24 - APPROVAL (%)(ANNEXES)</t>
  </si>
  <si>
    <t>R25 - AUDIT STATUS (ANNEXES)</t>
  </si>
  <si>
    <t>R25 - ESTIMATED DELIVERY (ANNEXES)</t>
  </si>
  <si>
    <t>R25 - APPROVAL (%)(ANNEXES)</t>
  </si>
  <si>
    <t>R26 - AUDIT STATUS (ANNEXES)</t>
  </si>
  <si>
    <t>R26 - ESTIMATED DELIVERY (ANNEXES)</t>
  </si>
  <si>
    <t>R26 - APPROVAL (%)(ANNEXES)</t>
  </si>
  <si>
    <t>R27 - AUDIT STATUS (ANNEXES)</t>
  </si>
  <si>
    <t>R27 - ESTIMATED DELIVERY (ANNEXES)</t>
  </si>
  <si>
    <t>R27 - APPROVAL (%)(ANNEXES)</t>
  </si>
  <si>
    <t>R28 - AUDIT STATUS (ANNEXES)</t>
  </si>
  <si>
    <t>R28 - ESTIMATED DELIVERY (ANNEXES)</t>
  </si>
  <si>
    <t>R28 - APPROVAL (%)(ANNEXES)</t>
  </si>
  <si>
    <t>R29 - AUDIT STATUS (ANNEXES)</t>
  </si>
  <si>
    <t>R29 - ESTIMATED DELIVERY (ANNEXES)</t>
  </si>
  <si>
    <t>R29 - APPROVAL (%)(ANNEXES)</t>
  </si>
  <si>
    <t>R30 - AUDIT STATUS (ANNEXES)</t>
  </si>
  <si>
    <t>R30 - ESTIMATED DELIVERY (ANNEXES)</t>
  </si>
  <si>
    <t>R30 - APPROVAL (%)(ANNEXES)</t>
  </si>
  <si>
    <t>R31 - AUDIT STATUS (ANNEXES)</t>
  </si>
  <si>
    <t>R31 - ESTIMATED DELIVERY (ANNEXES)</t>
  </si>
  <si>
    <t>R31 - APPROVAL (%)(ANNEXES)</t>
  </si>
  <si>
    <t>R32 - AUDIT STATUS (ANNEXES)</t>
  </si>
  <si>
    <t>R32 - ESTIMATED DELIVERY (ANNEXES)</t>
  </si>
  <si>
    <t>R32 - APPROVAL (%)(ANNEXES)</t>
  </si>
  <si>
    <t>R33 - AUDIT STATUS (ANNEXES)</t>
  </si>
  <si>
    <t>R33 - ESTIMATED DELIVERY (ANNEXES)</t>
  </si>
  <si>
    <t>R33 - APPROVAL (%)(ANNEXES)</t>
  </si>
  <si>
    <t>R34 - AUDIT STATUS (ANNEXES)</t>
  </si>
  <si>
    <t>R34 - ESTIMATED DELIVERY (ANNEXES)</t>
  </si>
  <si>
    <t>R34 - APPROVAL (%)(ANNEXES)</t>
  </si>
  <si>
    <t>R35 - AUDIT STATUS (ANNEXES)</t>
  </si>
  <si>
    <t>R35 - ESTIMATED DELIVERY (ANNEXES)</t>
  </si>
  <si>
    <t>R35 - APPROVAL (%)(ANNEXES)</t>
  </si>
  <si>
    <t>R36 - AUDIT STATUS (ANNEXES)</t>
  </si>
  <si>
    <t>R36 - ESTIMATED DELIVERY (ANNEXES)</t>
  </si>
  <si>
    <t>R36 - APPROVAL (%)(ANNEXES)</t>
  </si>
  <si>
    <t>R37 - AUDIT STATUS (ANNEXES)</t>
  </si>
  <si>
    <t>R37 - ESTIMATED DELIVERY (ANNEXES)</t>
  </si>
  <si>
    <t>R37 - APPROVAL (%)(ANNEXES)</t>
  </si>
  <si>
    <t>CPQ11-ARCH-FNSH-SITE-R24.rvt</t>
  </si>
  <si>
    <t>CPQ11-ARCH-ALUF-SITE-R24.rvt</t>
  </si>
  <si>
    <t>CPQ11-ARCH-FENC-SITE-R24.rvt</t>
  </si>
  <si>
    <t>CPQ11-ARCH-NEWJ-SITE-R24.rvt</t>
  </si>
  <si>
    <t>17/10/2025</t>
  </si>
  <si>
    <t>V23</t>
  </si>
  <si>
    <t>V21</t>
  </si>
  <si>
    <t>V32</t>
  </si>
  <si>
    <t>16/09/2025</t>
  </si>
  <si>
    <t>05/10/2025</t>
  </si>
  <si>
    <t>09/10/2025</t>
  </si>
  <si>
    <t>10/10/2025</t>
  </si>
  <si>
    <t>Folder name and path</t>
  </si>
  <si>
    <t>Name</t>
  </si>
  <si>
    <t>Software version</t>
  </si>
  <si>
    <t>Model type</t>
  </si>
  <si>
    <t>Description</t>
  </si>
  <si>
    <t>Version number</t>
  </si>
  <si>
    <t>Published to</t>
  </si>
  <si>
    <t>Extracted to folder</t>
  </si>
  <si>
    <t>Added to Packages</t>
  </si>
  <si>
    <t>Publicly shared</t>
  </si>
  <si>
    <t>Synced with Bridge</t>
  </si>
  <si>
    <t>Markups</t>
  </si>
  <si>
    <t>Issues</t>
  </si>
  <si>
    <t>File size</t>
  </si>
  <si>
    <t>Last updated</t>
  </si>
  <si>
    <t>Last updated for control table</t>
  </si>
  <si>
    <r>
      <rPr>
        <rFont val="Calibri"/>
        <b/>
        <color rgb="FF1155CC"/>
        <sz val="11.0"/>
        <u/>
      </rPr>
      <t>01-WORK IN PROGRESS/BIM/MODELS/DELEGATED DESIGN R24/ARCH</t>
    </r>
  </si>
  <si>
    <r>
      <rPr>
        <rFont val="Calibri"/>
        <b/>
        <color rgb="FF1155CC"/>
        <sz val="11.0"/>
        <u/>
      </rPr>
      <t>CPQ11-ARCH-ARCH-DATA-R24.rvt</t>
    </r>
  </si>
  <si>
    <t>Revit 2024</t>
  </si>
  <si>
    <t>Added manually</t>
  </si>
  <si>
    <t>--</t>
  </si>
  <si>
    <t>Sharing to</t>
  </si>
  <si>
    <t>No published markups</t>
  </si>
  <si>
    <t>No unresolved issues</t>
  </si>
  <si>
    <t>255.8 MB</t>
  </si>
  <si>
    <r>
      <rPr>
        <rFont val="Calibri"/>
        <b/>
        <color rgb="FF1155CC"/>
        <sz val="11.0"/>
        <u/>
      </rPr>
      <t>01-WORK IN PROGRESS/BIM/MODELS/DELEGATED DESIGN R24/ARCH</t>
    </r>
  </si>
  <si>
    <r>
      <rPr>
        <rFont val="Calibri"/>
        <b/>
        <color rgb="FF1155CC"/>
        <sz val="11.0"/>
        <u/>
      </rPr>
      <t>CPQ11-ARCH-ARCH-SITE-R24.rvt</t>
    </r>
  </si>
  <si>
    <t>69.4 MB</t>
  </si>
  <si>
    <r>
      <rPr>
        <rFont val="Calibri"/>
        <b/>
        <color rgb="FF1155CC"/>
        <sz val="11.0"/>
        <u/>
      </rPr>
      <t>01-WORK IN PROGRESS/BIM/MODELS/DELEGATED DESIGN R24/ARCH</t>
    </r>
  </si>
  <si>
    <r>
      <rPr>
        <rFont val="Calibri"/>
        <b/>
        <color rgb="FF1155CC"/>
        <sz val="11.0"/>
        <u/>
      </rPr>
      <t>CPQ11-ARCH-BLPR-GUAR-R24.rvt</t>
    </r>
  </si>
  <si>
    <t>36.2 MB</t>
  </si>
  <si>
    <t>May 20, 2026 5:55 PM</t>
  </si>
  <si>
    <r>
      <rPr>
        <rFont val="Calibri"/>
        <b/>
        <color rgb="FF1155CC"/>
        <sz val="11.0"/>
        <u/>
      </rPr>
      <t>01-WORK IN PROGRESS/BIM/MODELS/DELEGATED DESIGN R24/ARCH</t>
    </r>
  </si>
  <si>
    <r>
      <rPr>
        <rFont val="Calibri"/>
        <b/>
        <color rgb="FF1155CC"/>
        <sz val="11.0"/>
        <u/>
      </rPr>
      <t>CPQ11-ARCH-CEIL-DATA-R24.rvt</t>
    </r>
  </si>
  <si>
    <t>186.8 MB</t>
  </si>
  <si>
    <r>
      <rPr>
        <rFont val="Calibri"/>
        <b/>
        <color rgb="FF1155CC"/>
        <sz val="11.0"/>
        <u/>
      </rPr>
      <t>01-WORK IN PROGRESS/BIM/MODELS/DELEGATED DESIGN R24/ARCH</t>
    </r>
  </si>
  <si>
    <r>
      <rPr>
        <rFont val="Calibri"/>
        <b/>
        <color rgb="FF1155CC"/>
        <sz val="11.0"/>
        <u/>
      </rPr>
      <t>CPQ11-ARCH-CEIL-SITE-R24.rvt</t>
    </r>
  </si>
  <si>
    <t>49.2 MB</t>
  </si>
  <si>
    <r>
      <rPr>
        <rFont val="Calibri"/>
        <b/>
        <color rgb="FF1155CC"/>
        <sz val="11.0"/>
        <u/>
      </rPr>
      <t>01-WORK IN PROGRESS/BIM/MODELS/DELEGATED DESIGN R24/ARCH</t>
    </r>
  </si>
  <si>
    <r>
      <rPr>
        <rFont val="Calibri"/>
        <b/>
        <color rgb="FF1155CC"/>
        <sz val="11.0"/>
        <u/>
      </rPr>
      <t>CPQ11-ARCH-CHAI-SITE-R24.rvt</t>
    </r>
  </si>
  <si>
    <t>10.3 MB</t>
  </si>
  <si>
    <t>May 15, 2026 3:26 PM</t>
  </si>
  <si>
    <r>
      <rPr>
        <rFont val="Calibri"/>
        <b/>
        <color rgb="FF1155CC"/>
        <sz val="11.0"/>
        <u/>
      </rPr>
      <t>01-WORK IN PROGRESS/BIM/MODELS/DELEGATED DESIGN R24/ARCH</t>
    </r>
  </si>
  <si>
    <r>
      <rPr>
        <rFont val="Calibri"/>
        <b/>
        <color rgb="FF1155CC"/>
        <sz val="11.0"/>
        <u/>
      </rPr>
      <t>CPQ11-ARCH-FACD-DATA-R24.rvt</t>
    </r>
  </si>
  <si>
    <t>132.9 MB</t>
  </si>
  <si>
    <r>
      <rPr>
        <rFont val="Calibri"/>
        <b/>
        <color rgb="FF1155CC"/>
        <sz val="11.0"/>
        <u/>
      </rPr>
      <t>01-WORK IN PROGRESS/BIM/MODELS/DELEGATED DESIGN R24/ARCH</t>
    </r>
  </si>
  <si>
    <r>
      <rPr>
        <rFont val="Calibri"/>
        <b/>
        <color rgb="FF1155CC"/>
        <sz val="11.0"/>
        <u/>
      </rPr>
      <t>CPQ11-ARCH-HM90-DATA-R24.rvt</t>
    </r>
  </si>
  <si>
    <t>30.9 MB</t>
  </si>
  <si>
    <r>
      <rPr>
        <rFont val="Calibri"/>
        <b/>
        <color rgb="FF1155CC"/>
        <sz val="11.0"/>
        <u/>
      </rPr>
      <t>01-WORK IN PROGRESS/BIM/MODELS/DELEGATED DESIGN R24/ARCH</t>
    </r>
  </si>
  <si>
    <r>
      <rPr>
        <rFont val="Calibri"/>
        <b/>
        <color rgb="FF1155CC"/>
        <sz val="11.0"/>
        <u/>
      </rPr>
      <t>CPQ11-ARCH-HMET-DATA-R24.rvt</t>
    </r>
  </si>
  <si>
    <t>75.2 MB</t>
  </si>
  <si>
    <t>May 15, 2026 4:56 PM</t>
  </si>
  <si>
    <r>
      <rPr>
        <rFont val="Calibri"/>
        <b/>
        <color rgb="FF1155CC"/>
        <sz val="11.0"/>
        <u/>
      </rPr>
      <t>01-WORK IN PROGRESS/BIM/MODELS/DELEGATED DESIGN R24/ARCH</t>
    </r>
  </si>
  <si>
    <r>
      <rPr>
        <rFont val="Calibri"/>
        <b/>
        <color rgb="FF1155CC"/>
        <sz val="11.0"/>
        <u/>
      </rPr>
      <t>CPQ11-ARCH-HMET-SITE-R24.rvt</t>
    </r>
  </si>
  <si>
    <t>26.7 MB</t>
  </si>
  <si>
    <t>May 15, 2026 5:26 PM</t>
  </si>
  <si>
    <r>
      <rPr>
        <rFont val="Calibri"/>
        <b/>
        <color rgb="FF1155CC"/>
        <sz val="11.0"/>
        <u/>
      </rPr>
      <t>01-WORK IN PROGRESS/BIM/MODELS/DELEGATED DESIGN R24/ARCH</t>
    </r>
  </si>
  <si>
    <r>
      <rPr>
        <rFont val="Calibri"/>
        <b/>
        <color rgb="FF1155CC"/>
        <sz val="11.0"/>
        <u/>
      </rPr>
      <t>CPQ11-ARCH-METL-SITE-R24.rvt</t>
    </r>
  </si>
  <si>
    <t>36.3 MB</t>
  </si>
  <si>
    <r>
      <rPr>
        <rFont val="Calibri"/>
        <b/>
        <color rgb="FF1155CC"/>
        <sz val="11.0"/>
        <u/>
      </rPr>
      <t>01-WORK IN PROGRESS/BIM/MODELS/DELEGATED DESIGN R24/ARCH</t>
    </r>
  </si>
  <si>
    <r>
      <rPr>
        <rFont val="Calibri"/>
        <b/>
        <color rgb="FF1155CC"/>
        <sz val="11.0"/>
        <u/>
      </rPr>
      <t>CPQ11-ARCH-OHCD-DATA-R24.rvt</t>
    </r>
  </si>
  <si>
    <t>11.6 MB</t>
  </si>
  <si>
    <r>
      <rPr>
        <rFont val="Calibri"/>
        <b/>
        <color rgb="FF1155CC"/>
        <sz val="11.0"/>
        <u/>
      </rPr>
      <t>01-WORK IN PROGRESS/BIM/MODELS/DELEGATED DESIGN R24/ARCH</t>
    </r>
  </si>
  <si>
    <r>
      <rPr>
        <rFont val="Calibri"/>
        <b/>
        <color rgb="FF1155CC"/>
        <sz val="11.0"/>
        <u/>
      </rPr>
      <t>CPQ11-ARCH-PART-C12A-R24.rvt</t>
    </r>
  </si>
  <si>
    <t>87.8 MB</t>
  </si>
  <si>
    <t>May 27, 2026 10:24 AM</t>
  </si>
  <si>
    <r>
      <rPr>
        <rFont val="Calibri"/>
        <b/>
        <color rgb="FF1155CC"/>
        <sz val="11.0"/>
        <u/>
      </rPr>
      <t>01-WORK IN PROGRESS/BIM/MODELS/DELEGATED DESIGN R24/ARCH</t>
    </r>
  </si>
  <si>
    <r>
      <rPr>
        <rFont val="Calibri"/>
        <b/>
        <color rgb="FF1155CC"/>
        <sz val="11.0"/>
        <u/>
      </rPr>
      <t>CPQ11-ARCH-PART-C345-R24.rvt</t>
    </r>
  </si>
  <si>
    <t>68.2 MB</t>
  </si>
  <si>
    <t>May 19, 2026 2:37 PM</t>
  </si>
  <si>
    <r>
      <rPr>
        <rFont val="Calibri"/>
        <b/>
        <color rgb="FF1155CC"/>
        <sz val="11.0"/>
        <u/>
      </rPr>
      <t>01-WORK IN PROGRESS/BIM/MODELS/DELEGATED DESIGN R24/ARCH</t>
    </r>
  </si>
  <si>
    <r>
      <rPr>
        <rFont val="Calibri"/>
        <b/>
        <color rgb="FF1155CC"/>
        <sz val="11.0"/>
        <u/>
      </rPr>
      <t>CPQ11-ARCH-PART-SITE-R24.rvt</t>
    </r>
  </si>
  <si>
    <t>21.6 MB</t>
  </si>
  <si>
    <r>
      <rPr>
        <rFont val="Calibri"/>
        <b/>
        <color rgb="FF1155CC"/>
        <sz val="11.0"/>
        <u/>
      </rPr>
      <t>01-WORK IN PROGRESS/BIM/MODELS/DELEGATED DESIGN R24/ARCH</t>
    </r>
  </si>
  <si>
    <r>
      <rPr>
        <rFont val="Calibri"/>
        <b/>
        <color rgb="FF1155CC"/>
        <sz val="11.0"/>
        <u/>
      </rPr>
      <t>CPQ11-ARCH-ROOF-DATA-R24.rvt</t>
    </r>
  </si>
  <si>
    <t>22.6 MB</t>
  </si>
  <si>
    <t>May 20, 2026 3:57 PM</t>
  </si>
  <si>
    <r>
      <rPr>
        <rFont val="Calibri"/>
        <b/>
        <color rgb="FF1155CC"/>
        <sz val="11.0"/>
        <u/>
      </rPr>
      <t>01-WORK IN PROGRESS/BIM/MODELS/DELEGATED DESIGN R24/ARCH</t>
    </r>
  </si>
  <si>
    <r>
      <rPr>
        <rFont val="Calibri"/>
        <b/>
        <color rgb="FF1155CC"/>
        <sz val="11.0"/>
        <u/>
      </rPr>
      <t>CPQ11-ARCH-SHLV-DATA-R24.rvt</t>
    </r>
  </si>
  <si>
    <t>23.3 MB</t>
  </si>
  <si>
    <t>May 20, 2026 5:54 PM</t>
  </si>
  <si>
    <r>
      <rPr>
        <rFont val="Calibri"/>
        <b/>
        <color rgb="FF1155CC"/>
        <sz val="11.0"/>
        <u/>
      </rPr>
      <t>01-WORK IN PROGRESS/BIM/MODELS/DELEGATED DESIGN R24/ARCH</t>
    </r>
  </si>
  <si>
    <r>
      <rPr>
        <rFont val="Calibri"/>
        <b/>
        <color rgb="FF1155CC"/>
        <sz val="11.0"/>
        <u/>
      </rPr>
      <t>CPQ11-ARCH-STON-SITE-R24.rvt</t>
    </r>
  </si>
  <si>
    <t>10.4 MB</t>
  </si>
  <si>
    <r>
      <rPr>
        <rFont val="Calibri"/>
        <b/>
        <color rgb="FF1155CC"/>
        <sz val="11.0"/>
        <u/>
      </rPr>
      <t>01-WORK IN PROGRESS/BIM/MODELS/DELEGATED DESIGN R24/ARCH</t>
    </r>
  </si>
  <si>
    <r>
      <rPr>
        <rFont val="Calibri"/>
        <b/>
        <color rgb="FF1155CC"/>
        <sz val="11.0"/>
        <u/>
      </rPr>
      <t>CPQ11-ARCH-WMES-DATA-R24.rvt</t>
    </r>
  </si>
  <si>
    <t>31.3 MB</t>
  </si>
  <si>
    <r>
      <rPr>
        <rFont val="Calibri"/>
        <b/>
        <color rgb="FF1155CC"/>
        <sz val="11.0"/>
        <u/>
      </rPr>
      <t>01-WORK IN PROGRESS/BIM/MODELS/DELEGATED DESIGN R24/ARCH/NWC</t>
    </r>
  </si>
  <si>
    <r>
      <rPr>
        <rFont val="Calibri"/>
        <b/>
        <color rgb="FF1155CC"/>
        <sz val="11.0"/>
        <u/>
      </rPr>
      <t>CPQ11-ARCH-ARCH-DATA-R24.nwc</t>
    </r>
  </si>
  <si>
    <t>7 MB</t>
  </si>
  <si>
    <r>
      <rPr>
        <rFont val="Calibri"/>
        <b/>
        <color rgb="FF1155CC"/>
        <sz val="11.0"/>
        <u/>
      </rPr>
      <t>01-WORK IN PROGRESS/BIM/MODELS/DELEGATED DESIGN R24/ARCH/NWC</t>
    </r>
  </si>
  <si>
    <r>
      <rPr>
        <rFont val="Calibri"/>
        <b/>
        <color rgb="FF1155CC"/>
        <sz val="11.0"/>
        <u/>
      </rPr>
      <t>CPQ11-ARCH-ARCH-SITE-R24.nwc</t>
    </r>
  </si>
  <si>
    <t>1.7 MB</t>
  </si>
  <si>
    <r>
      <rPr>
        <rFont val="Calibri"/>
        <b/>
        <color rgb="FF1155CC"/>
        <sz val="11.0"/>
        <u/>
      </rPr>
      <t>01-WORK IN PROGRESS/BIM/MODELS/DELEGATED DESIGN R24/ARCH/NWC</t>
    </r>
  </si>
  <si>
    <r>
      <rPr>
        <rFont val="Calibri"/>
        <b/>
        <color rgb="FF1155CC"/>
        <sz val="11.0"/>
        <u/>
      </rPr>
      <t>CPQ11-ARCH-CHAI-SITE-R24.nwc</t>
    </r>
  </si>
  <si>
    <t>11.5 MB</t>
  </si>
  <si>
    <t>May 15, 2026 3:29 PM</t>
  </si>
  <si>
    <r>
      <rPr>
        <rFont val="Calibri"/>
        <b/>
        <color rgb="FF1155CC"/>
        <sz val="11.0"/>
        <u/>
      </rPr>
      <t>01-WORK IN PROGRESS/BIM/MODELS/DELEGATED DESIGN R24/ARCH/NWC</t>
    </r>
  </si>
  <si>
    <r>
      <rPr>
        <rFont val="Calibri"/>
        <b/>
        <color rgb="FF1155CC"/>
        <sz val="11.0"/>
        <u/>
      </rPr>
      <t>CPQ11-ARCH-FACD-DATA-R24.nwc</t>
    </r>
  </si>
  <si>
    <t>120.4 MB</t>
  </si>
  <si>
    <r>
      <rPr>
        <rFont val="Calibri"/>
        <b/>
        <color rgb="FF1155CC"/>
        <sz val="11.0"/>
        <u/>
      </rPr>
      <t>01-WORK IN PROGRESS/BIM/MODELS/DELEGATED DESIGN R24/ARCH/NWC</t>
    </r>
  </si>
  <si>
    <r>
      <rPr>
        <rFont val="Calibri"/>
        <b/>
        <color rgb="FF1155CC"/>
        <sz val="11.0"/>
        <u/>
      </rPr>
      <t>CPQ11-ARCH-HM90-DATA-R24.nwc</t>
    </r>
  </si>
  <si>
    <t>334.4 KB</t>
  </si>
  <si>
    <r>
      <rPr>
        <rFont val="Calibri"/>
        <b/>
        <color rgb="FF1155CC"/>
        <sz val="11.0"/>
        <u/>
      </rPr>
      <t>01-WORK IN PROGRESS/BIM/MODELS/DELEGATED DESIGN R24/ARCH/NWC</t>
    </r>
  </si>
  <si>
    <r>
      <rPr>
        <rFont val="Calibri"/>
        <b/>
        <color rgb="FF1155CC"/>
        <sz val="11.0"/>
        <u/>
      </rPr>
      <t>CPQ11-ARCH-HMET-DATA-R24.nwc</t>
    </r>
  </si>
  <si>
    <t>3.2 MB</t>
  </si>
  <si>
    <r>
      <rPr>
        <rFont val="Calibri"/>
        <b/>
        <color rgb="FF1155CC"/>
        <sz val="11.0"/>
        <u/>
      </rPr>
      <t>01-WORK IN PROGRESS/BIM/MODELS/DELEGATED DESIGN R24/ARCH/NWC</t>
    </r>
  </si>
  <si>
    <r>
      <rPr>
        <rFont val="Calibri"/>
        <b/>
        <color rgb="FF1155CC"/>
        <sz val="11.0"/>
        <u/>
      </rPr>
      <t>CPQ11-ARCH-HMET-SITE-R24.nwc</t>
    </r>
  </si>
  <si>
    <t>737.3 KB</t>
  </si>
  <si>
    <r>
      <rPr>
        <rFont val="Calibri"/>
        <b/>
        <color rgb="FF1155CC"/>
        <sz val="11.0"/>
        <u/>
      </rPr>
      <t>01-WORK IN PROGRESS/BIM/MODELS/DELEGATED DESIGN R24/ARCH/NWC</t>
    </r>
  </si>
  <si>
    <r>
      <rPr>
        <rFont val="Calibri"/>
        <b/>
        <color rgb="FF1155CC"/>
        <sz val="11.0"/>
        <u/>
      </rPr>
      <t>CPQ11-ARCH-METL-SITE-R24.nwc</t>
    </r>
  </si>
  <si>
    <t>161.1 MB</t>
  </si>
  <si>
    <r>
      <rPr>
        <rFont val="Calibri"/>
        <b/>
        <color rgb="FF1155CC"/>
        <sz val="11.0"/>
        <u/>
      </rPr>
      <t>01-WORK IN PROGRESS/BIM/MODELS/DELEGATED DESIGN R24/ARCH/NWC</t>
    </r>
  </si>
  <si>
    <r>
      <rPr>
        <rFont val="Calibri"/>
        <b/>
        <color rgb="FF1155CC"/>
        <sz val="11.0"/>
        <u/>
      </rPr>
      <t>CPQ11-ARCH-OHCD-DATA-R24.nwc</t>
    </r>
  </si>
  <si>
    <t>8.5 KB</t>
  </si>
  <si>
    <r>
      <rPr>
        <rFont val="Calibri"/>
        <b/>
        <color rgb="FF1155CC"/>
        <sz val="11.0"/>
        <u/>
      </rPr>
      <t>01-WORK IN PROGRESS/BIM/MODELS/DELEGATED DESIGN R24/ARCH/NWC</t>
    </r>
  </si>
  <si>
    <r>
      <rPr>
        <rFont val="Calibri"/>
        <b/>
        <color rgb="FF1155CC"/>
        <sz val="11.0"/>
        <u/>
      </rPr>
      <t>CPQ11-ARCH-PART-C12A-R24.nwc</t>
    </r>
  </si>
  <si>
    <t>5.6 MB</t>
  </si>
  <si>
    <t>May 27, 2026 10:18 AM</t>
  </si>
  <si>
    <r>
      <rPr>
        <rFont val="Calibri"/>
        <b/>
        <color rgb="FF1155CC"/>
        <sz val="11.0"/>
        <u/>
      </rPr>
      <t>01-WORK IN PROGRESS/BIM/MODELS/DELEGATED DESIGN R24/ARCH/NWC</t>
    </r>
  </si>
  <si>
    <r>
      <rPr>
        <rFont val="Calibri"/>
        <b/>
        <color rgb="FF1155CC"/>
        <sz val="11.0"/>
        <u/>
      </rPr>
      <t>CPQ11-ARCH-PART-C345-R24.nwc</t>
    </r>
  </si>
  <si>
    <t>3.8 MB</t>
  </si>
  <si>
    <t>May 19, 2026 2:27 PM</t>
  </si>
  <si>
    <r>
      <rPr>
        <rFont val="Calibri"/>
        <b/>
        <color rgb="FF1155CC"/>
        <sz val="11.0"/>
        <u/>
      </rPr>
      <t>01-WORK IN PROGRESS/BIM/MODELS/DELEGATED DESIGN R24/ARCH/NWC</t>
    </r>
  </si>
  <si>
    <r>
      <rPr>
        <rFont val="Calibri"/>
        <b/>
        <color rgb="FF1155CC"/>
        <sz val="11.0"/>
        <u/>
      </rPr>
      <t>CPQ11-ARCH-PART-SITE-R24.nwc</t>
    </r>
  </si>
  <si>
    <t>677.6 KB</t>
  </si>
  <si>
    <r>
      <rPr>
        <rFont val="Calibri"/>
        <b/>
        <color rgb="FF1155CC"/>
        <sz val="11.0"/>
        <u/>
      </rPr>
      <t>01-WORK IN PROGRESS/BIM/MODELS/DELEGATED DESIGN R24/ARCH/NWC</t>
    </r>
  </si>
  <si>
    <r>
      <rPr>
        <rFont val="Calibri"/>
        <b/>
        <color rgb="FF1155CC"/>
        <sz val="11.0"/>
        <u/>
      </rPr>
      <t>CPQ11-ARCH-ROOF-DATA-R24.nwc</t>
    </r>
  </si>
  <si>
    <t>12.6 MB</t>
  </si>
  <si>
    <t>May 20, 2026 3:41 PM</t>
  </si>
  <si>
    <r>
      <rPr>
        <rFont val="Calibri"/>
        <b/>
        <color rgb="FF1155CC"/>
        <sz val="11.0"/>
        <u/>
      </rPr>
      <t>01-WORK IN PROGRESS/BIM/MODELS/DELEGATED DESIGN R24/ARCH/NWC</t>
    </r>
  </si>
  <si>
    <r>
      <rPr>
        <rFont val="Calibri"/>
        <b/>
        <color rgb="FF1155CC"/>
        <sz val="11.0"/>
        <u/>
      </rPr>
      <t>CPQ11-ARCH-STON-SITE-R24.nwc</t>
    </r>
  </si>
  <si>
    <t>298.8 KB</t>
  </si>
  <si>
    <r>
      <rPr>
        <rFont val="Calibri"/>
        <b/>
        <color rgb="FF1155CC"/>
        <sz val="11.0"/>
        <u/>
      </rPr>
      <t>01-WORK IN PROGRESS/BIM/MODELS/DELEGATED DESIGN R24/ARCH/NWC</t>
    </r>
  </si>
  <si>
    <r>
      <rPr>
        <rFont val="Calibri"/>
        <b/>
        <color rgb="FF1155CC"/>
        <sz val="11.0"/>
        <u/>
      </rPr>
      <t>CPQ11-ARCH-WMES-DATA-R24.nwc</t>
    </r>
  </si>
  <si>
    <t>17.1 MB</t>
  </si>
  <si>
    <r>
      <rPr>
        <rFont val="Calibri"/>
        <b/>
        <color rgb="FF1155CC"/>
        <sz val="11.0"/>
        <u/>
      </rPr>
      <t>01-WORK IN PROGRESS/BIM/MODELS/DELEGATED DESIGN R24/CIVIL</t>
    </r>
  </si>
  <si>
    <r>
      <rPr>
        <rFont val="Calibri"/>
        <b/>
        <color rgb="FF1155CC"/>
        <sz val="11.0"/>
        <u/>
      </rPr>
      <t>CPQ11-CIVL-DRNG-SITE-R24.rvt</t>
    </r>
  </si>
  <si>
    <t>80.9 MB</t>
  </si>
  <si>
    <r>
      <rPr>
        <rFont val="Calibri"/>
        <b/>
        <color rgb="FF1155CC"/>
        <sz val="11.0"/>
        <u/>
      </rPr>
      <t>01-WORK IN PROGRESS/BIM/MODELS/DELEGATED DESIGN R24/CIVIL</t>
    </r>
  </si>
  <si>
    <r>
      <rPr>
        <rFont val="Calibri"/>
        <b/>
        <color rgb="FF1155CC"/>
        <sz val="11.0"/>
        <u/>
      </rPr>
      <t>CPQ11-CIVL-ERTH-SITE-R24.rvt</t>
    </r>
  </si>
  <si>
    <t>38.7 MB</t>
  </si>
  <si>
    <r>
      <rPr>
        <rFont val="Calibri"/>
        <b/>
        <color rgb="FF1155CC"/>
        <sz val="11.0"/>
        <u/>
      </rPr>
      <t>01-WORK IN PROGRESS/BIM/MODELS/DELEGATED DESIGN R24/CIVIL</t>
    </r>
  </si>
  <si>
    <r>
      <rPr>
        <rFont val="Calibri"/>
        <b/>
        <color rgb="FF1155CC"/>
        <sz val="11.0"/>
        <u/>
      </rPr>
      <t>CPQ11-CIVL-LOCK-SITE-R24.rvt</t>
    </r>
  </si>
  <si>
    <t>332.3 MB</t>
  </si>
  <si>
    <t>May 18, 2026 5:11 PM</t>
  </si>
  <si>
    <r>
      <rPr>
        <rFont val="Calibri"/>
        <b/>
        <color rgb="FF1155CC"/>
        <sz val="11.0"/>
        <u/>
      </rPr>
      <t>01-WORK IN PROGRESS/BIM/MODELS/DELEGATED DESIGN R24/CIVIL</t>
    </r>
  </si>
  <si>
    <r>
      <rPr>
        <rFont val="Calibri"/>
        <b/>
        <color rgb="FF1155CC"/>
        <sz val="11.0"/>
        <u/>
      </rPr>
      <t>CPQ11-CIVL-PAVM-SITE-R24.rvt</t>
    </r>
  </si>
  <si>
    <t>47.1 MB</t>
  </si>
  <si>
    <t>May 20, 2026 3:44 PM</t>
  </si>
  <si>
    <r>
      <rPr>
        <rFont val="Calibri"/>
        <b/>
        <color rgb="FF1155CC"/>
        <sz val="11.0"/>
        <u/>
      </rPr>
      <t>01-WORK IN PROGRESS/BIM/MODELS/DELEGATED DESIGN R24/CIVIL/NWC</t>
    </r>
  </si>
  <si>
    <r>
      <rPr>
        <rFont val="Calibri"/>
        <b/>
        <color rgb="FF1155CC"/>
        <sz val="11.0"/>
        <u/>
      </rPr>
      <t>CPQ11-CIVL-DRNG-SITE-R24.nwc</t>
    </r>
  </si>
  <si>
    <t>11.9 MB</t>
  </si>
  <si>
    <r>
      <rPr>
        <rFont val="Calibri"/>
        <b/>
        <color rgb="FF1155CC"/>
        <sz val="11.0"/>
        <u/>
      </rPr>
      <t>01-WORK IN PROGRESS/BIM/MODELS/DELEGATED DESIGN R24/CIVIL/NWC</t>
    </r>
  </si>
  <si>
    <r>
      <rPr>
        <rFont val="Calibri"/>
        <b/>
        <color rgb="FF1155CC"/>
        <sz val="11.0"/>
        <u/>
      </rPr>
      <t>CPQ11-CIVL-ERTH-SITE-R24.nwc</t>
    </r>
  </si>
  <si>
    <t>2 MB</t>
  </si>
  <si>
    <r>
      <rPr>
        <rFont val="Calibri"/>
        <b/>
        <color rgb="FF1155CC"/>
        <sz val="11.0"/>
        <u/>
      </rPr>
      <t>01-WORK IN PROGRESS/BIM/MODELS/DELEGATED DESIGN R24/CIVIL/NWC</t>
    </r>
  </si>
  <si>
    <r>
      <rPr>
        <rFont val="Calibri"/>
        <b/>
        <color rgb="FF1155CC"/>
        <sz val="11.0"/>
        <u/>
      </rPr>
      <t>CPQ11-CIVL-LOCK-SITE-R24.nwc</t>
    </r>
  </si>
  <si>
    <t>187.1 MB</t>
  </si>
  <si>
    <t>May 18, 2026 5:01 PM</t>
  </si>
  <si>
    <r>
      <rPr>
        <rFont val="Calibri"/>
        <b/>
        <color rgb="FF1155CC"/>
        <sz val="11.0"/>
        <u/>
      </rPr>
      <t>01-WORK IN PROGRESS/BIM/MODELS/DELEGATED DESIGN R24/CIVIL/NWC</t>
    </r>
  </si>
  <si>
    <r>
      <rPr>
        <rFont val="Calibri"/>
        <b/>
        <color rgb="FF1155CC"/>
        <sz val="11.0"/>
        <u/>
      </rPr>
      <t>CPQ11-CIVL-PAVM-SITE-R24.nwc</t>
    </r>
  </si>
  <si>
    <t>14 MB</t>
  </si>
  <si>
    <r>
      <rPr>
        <rFont val="Calibri"/>
        <b/>
        <color rgb="FF1155CC"/>
        <sz val="11.0"/>
        <u/>
      </rPr>
      <t>01-WORK IN PROGRESS/BIM/MODELS/DELEGATED DESIGN R24/MECH</t>
    </r>
  </si>
  <si>
    <r>
      <rPr>
        <rFont val="Calibri"/>
        <b/>
        <color rgb="FF1155CC"/>
        <sz val="11.0"/>
        <u/>
      </rPr>
      <t>CPQ11-MECH-MECH-DATA-R24.rvt</t>
    </r>
  </si>
  <si>
    <t>220 MB</t>
  </si>
  <si>
    <r>
      <rPr>
        <rFont val="Calibri"/>
        <b/>
        <color rgb="FF1155CC"/>
        <sz val="11.0"/>
        <u/>
      </rPr>
      <t>01-WORK IN PROGRESS/BIM/MODELS/DELEGATED DESIGN R24/MECH</t>
    </r>
  </si>
  <si>
    <r>
      <rPr>
        <rFont val="Calibri"/>
        <b/>
        <color rgb="FF1155CC"/>
        <sz val="11.0"/>
        <u/>
      </rPr>
      <t>CPQ11-MECH-MECH-GUAR-R24.rvt</t>
    </r>
  </si>
  <si>
    <t>123.7 MB</t>
  </si>
  <si>
    <t>May 19, 2026 2:43 PM</t>
  </si>
  <si>
    <r>
      <rPr>
        <rFont val="Calibri"/>
        <b/>
        <color rgb="FF1155CC"/>
        <sz val="11.0"/>
        <u/>
      </rPr>
      <t>01-WORK IN PROGRESS/BIM/MODELS/DELEGATED DESIGN R24/MECH</t>
    </r>
  </si>
  <si>
    <r>
      <rPr>
        <rFont val="Calibri"/>
        <b/>
        <color rgb="FF1155CC"/>
        <sz val="11.0"/>
        <u/>
      </rPr>
      <t>CPQ11-PLMB-METK-UTLS-R24.rvt</t>
    </r>
  </si>
  <si>
    <t>62.2 MB</t>
  </si>
  <si>
    <r>
      <rPr>
        <rFont val="Calibri"/>
        <b/>
        <color rgb="FF1155CC"/>
        <sz val="11.0"/>
        <u/>
      </rPr>
      <t>01-WORK IN PROGRESS/BIM/MODELS/DELEGATED DESIGN R24/MECH</t>
    </r>
  </si>
  <si>
    <r>
      <rPr>
        <rFont val="Calibri"/>
        <b/>
        <color rgb="FF1155CC"/>
        <sz val="11.0"/>
        <u/>
      </rPr>
      <t>CPQ11-PLMB-NPWT-DATA-R24.rvt</t>
    </r>
  </si>
  <si>
    <t>177.4 MB</t>
  </si>
  <si>
    <r>
      <rPr>
        <rFont val="Calibri"/>
        <b/>
        <color rgb="FF1155CC"/>
        <sz val="11.0"/>
        <u/>
      </rPr>
      <t>01-WORK IN PROGRESS/BIM/MODELS/DELEGATED DESIGN R24/MECH</t>
    </r>
  </si>
  <si>
    <r>
      <rPr>
        <rFont val="Calibri"/>
        <b/>
        <color rgb="FF1155CC"/>
        <sz val="11.0"/>
        <u/>
      </rPr>
      <t>CPQ11-PLMB-NPWT-SITE-R24.rvt</t>
    </r>
  </si>
  <si>
    <t>127.6 MB</t>
  </si>
  <si>
    <r>
      <rPr>
        <rFont val="Calibri"/>
        <b/>
        <color rgb="FF1155CC"/>
        <sz val="11.0"/>
        <u/>
      </rPr>
      <t>01-WORK IN PROGRESS/BIM/MODELS/DELEGATED DESIGN R24/MECH/NWC</t>
    </r>
  </si>
  <si>
    <r>
      <rPr>
        <rFont val="Calibri"/>
        <b/>
        <color rgb="FF1155CC"/>
        <sz val="11.0"/>
        <u/>
      </rPr>
      <t>CPQ11-MECH-MECH-DATA-R24.nwc</t>
    </r>
  </si>
  <si>
    <t>30.1 MB</t>
  </si>
  <si>
    <r>
      <rPr>
        <rFont val="Calibri"/>
        <b/>
        <color rgb="FF1155CC"/>
        <sz val="11.0"/>
        <u/>
      </rPr>
      <t>01-WORK IN PROGRESS/BIM/MODELS/DELEGATED DESIGN R24/MECH/NWC</t>
    </r>
  </si>
  <si>
    <r>
      <rPr>
        <rFont val="Calibri"/>
        <b/>
        <color rgb="FF1155CC"/>
        <sz val="11.0"/>
        <u/>
      </rPr>
      <t>CPQ11-MECH-MECH-GUAR-R24.nwc</t>
    </r>
  </si>
  <si>
    <t>863.2 KB</t>
  </si>
  <si>
    <t>May 15, 2026 1:24 PM</t>
  </si>
  <si>
    <r>
      <rPr>
        <rFont val="Calibri"/>
        <b/>
        <color rgb="FF1155CC"/>
        <sz val="11.0"/>
        <u/>
      </rPr>
      <t>01-WORK IN PROGRESS/BIM/MODELS/DELEGATED DESIGN R24/MECH/NWC</t>
    </r>
  </si>
  <si>
    <r>
      <rPr>
        <rFont val="Calibri"/>
        <b/>
        <color rgb="FF1155CC"/>
        <sz val="11.0"/>
        <u/>
      </rPr>
      <t>CPQ11-PLMB-METK-UTLS-R24.nwc</t>
    </r>
  </si>
  <si>
    <t>3.1 MB</t>
  </si>
  <si>
    <r>
      <rPr>
        <rFont val="Calibri"/>
        <b/>
        <color rgb="FF1155CC"/>
        <sz val="11.0"/>
        <u/>
      </rPr>
      <t>01-WORK IN PROGRESS/BIM/MODELS/DELEGATED DESIGN R24/MECH/NWC</t>
    </r>
  </si>
  <si>
    <r>
      <rPr>
        <rFont val="Calibri"/>
        <b/>
        <color rgb="FF1155CC"/>
        <sz val="11.0"/>
        <u/>
      </rPr>
      <t>CPQ11-PLMB-NPWT-DATA-R24.nwc</t>
    </r>
  </si>
  <si>
    <t>12.7 MB</t>
  </si>
  <si>
    <r>
      <rPr>
        <rFont val="Calibri"/>
        <b/>
        <color rgb="FF1155CC"/>
        <sz val="11.0"/>
        <u/>
      </rPr>
      <t>01-WORK IN PROGRESS/BIM/MODELS/DELEGATED DESIGN R24/MECH/NWC</t>
    </r>
  </si>
  <si>
    <r>
      <rPr>
        <rFont val="Calibri"/>
        <b/>
        <color rgb="FF1155CC"/>
        <sz val="11.0"/>
        <u/>
      </rPr>
      <t>CPQ11-PLMB-NPWT-SITE-R24.nwc</t>
    </r>
  </si>
  <si>
    <t>5.4 MB</t>
  </si>
  <si>
    <r>
      <rPr>
        <rFont val="Calibri"/>
        <b/>
        <color rgb="FF1155CC"/>
        <sz val="11.0"/>
        <u/>
      </rPr>
      <t>01-WORK IN PROGRESS/BIM/MODELS/DELEGATED DESIGN R24/MEP</t>
    </r>
  </si>
  <si>
    <r>
      <rPr>
        <rFont val="Calibri"/>
        <b/>
        <color rgb="FF1155CC"/>
        <sz val="11.0"/>
        <u/>
      </rPr>
      <t>CPQ11-BASM-DEVS-DATA-R24.rvt</t>
    </r>
  </si>
  <si>
    <t>53.4 MB</t>
  </si>
  <si>
    <r>
      <rPr>
        <rFont val="Calibri"/>
        <b/>
        <color rgb="FF1155CC"/>
        <sz val="11.0"/>
        <u/>
      </rPr>
      <t>01-WORK IN PROGRESS/BIM/MODELS/DELEGATED DESIGN R24/MEP</t>
    </r>
  </si>
  <si>
    <r>
      <rPr>
        <rFont val="Calibri"/>
        <b/>
        <color rgb="FF1155CC"/>
        <sz val="11.0"/>
        <u/>
      </rPr>
      <t>CPQ11-BASM-DEVS-PUMP-R24.rvt</t>
    </r>
  </si>
  <si>
    <t>42.4 MB</t>
  </si>
  <si>
    <t>May 15, 2026 5:44 PM</t>
  </si>
  <si>
    <r>
      <rPr>
        <rFont val="Calibri"/>
        <b/>
        <color rgb="FF1155CC"/>
        <sz val="11.0"/>
        <u/>
      </rPr>
      <t>01-WORK IN PROGRESS/BIM/MODELS/DELEGATED DESIGN R24/MEP</t>
    </r>
  </si>
  <si>
    <r>
      <rPr>
        <rFont val="Calibri"/>
        <b/>
        <color rgb="FF1155CC"/>
        <sz val="11.0"/>
        <u/>
      </rPr>
      <t>CPQ11-BASM-INFR-DATA-R24.rvt</t>
    </r>
  </si>
  <si>
    <t>66.1 MB</t>
  </si>
  <si>
    <r>
      <rPr>
        <rFont val="Calibri"/>
        <b/>
        <color rgb="FF1155CC"/>
        <sz val="11.0"/>
        <u/>
      </rPr>
      <t>01-WORK IN PROGRESS/BIM/MODELS/DELEGATED DESIGN R24/MEP</t>
    </r>
  </si>
  <si>
    <r>
      <rPr>
        <rFont val="Calibri"/>
        <b/>
        <color rgb="FF1155CC"/>
        <sz val="11.0"/>
        <u/>
      </rPr>
      <t>CPQ11-BASM-INFR-PUMP-R24.rvt</t>
    </r>
  </si>
  <si>
    <t>34.4 MB</t>
  </si>
  <si>
    <r>
      <rPr>
        <rFont val="Calibri"/>
        <b/>
        <color rgb="FF1155CC"/>
        <sz val="11.0"/>
        <u/>
      </rPr>
      <t>01-WORK IN PROGRESS/BIM/MODELS/DELEGATED DESIGN R24/MEP</t>
    </r>
  </si>
  <si>
    <r>
      <rPr>
        <rFont val="Calibri"/>
        <b/>
        <color rgb="FF1155CC"/>
        <sz val="11.0"/>
        <u/>
      </rPr>
      <t>CPQ11-DALI-DEVS-DATA-R24.rvt</t>
    </r>
  </si>
  <si>
    <t>215.4 MB</t>
  </si>
  <si>
    <r>
      <rPr>
        <rFont val="Calibri"/>
        <b/>
        <color rgb="FF1155CC"/>
        <sz val="11.0"/>
        <u/>
      </rPr>
      <t>01-WORK IN PROGRESS/BIM/MODELS/DELEGATED DESIGN R24/MEP</t>
    </r>
  </si>
  <si>
    <r>
      <rPr>
        <rFont val="Calibri"/>
        <b/>
        <color rgb="FF1155CC"/>
        <sz val="11.0"/>
        <u/>
      </rPr>
      <t>CPQ11-DASM-DEVS-DATA-R24.rvt</t>
    </r>
  </si>
  <si>
    <t>340.4 MB</t>
  </si>
  <si>
    <r>
      <rPr>
        <rFont val="Calibri"/>
        <b/>
        <color rgb="FF1155CC"/>
        <sz val="11.0"/>
        <u/>
      </rPr>
      <t>01-WORK IN PROGRESS/BIM/MODELS/DELEGATED DESIGN R24/MEP</t>
    </r>
  </si>
  <si>
    <r>
      <rPr>
        <rFont val="Calibri"/>
        <b/>
        <color rgb="FF1155CC"/>
        <sz val="11.0"/>
        <u/>
      </rPr>
      <t>CPQ11-ELEC-ELEC-DATA-R24.rvt</t>
    </r>
  </si>
  <si>
    <t>302 MB</t>
  </si>
  <si>
    <r>
      <rPr>
        <rFont val="Calibri"/>
        <b/>
        <color rgb="FF1155CC"/>
        <sz val="11.0"/>
        <u/>
      </rPr>
      <t>01-WORK IN PROGRESS/BIM/MODELS/DELEGATED DESIGN R24/MEP</t>
    </r>
  </si>
  <si>
    <r>
      <rPr>
        <rFont val="Calibri"/>
        <b/>
        <color rgb="FF1155CC"/>
        <sz val="11.0"/>
        <u/>
      </rPr>
      <t>CPQ11-ELEC-ELEC-SITE-R24.rvt</t>
    </r>
  </si>
  <si>
    <t>45.4 MB</t>
  </si>
  <si>
    <t>May 19, 2026 3:56 PM</t>
  </si>
  <si>
    <r>
      <rPr>
        <rFont val="Calibri"/>
        <b/>
        <color rgb="FF1155CC"/>
        <sz val="11.0"/>
        <u/>
      </rPr>
      <t>01-WORK IN PROGRESS/BIM/MODELS/DELEGATED DESIGN R24/MEP</t>
    </r>
  </si>
  <si>
    <r>
      <rPr>
        <rFont val="Calibri"/>
        <b/>
        <color rgb="FF1155CC"/>
        <sz val="11.0"/>
        <u/>
      </rPr>
      <t>CPQ11-ELEC-SPDA-DATA-R24.rvt</t>
    </r>
  </si>
  <si>
    <t>118.1 MB</t>
  </si>
  <si>
    <r>
      <rPr>
        <rFont val="Calibri"/>
        <b/>
        <color rgb="FF1155CC"/>
        <sz val="11.0"/>
        <u/>
      </rPr>
      <t>01-WORK IN PROGRESS/BIM/MODELS/DELEGATED DESIGN R24/MEP</t>
    </r>
  </si>
  <si>
    <r>
      <rPr>
        <rFont val="Calibri"/>
        <b/>
        <color rgb="FF1155CC"/>
        <sz val="11.0"/>
        <u/>
      </rPr>
      <t>CPQ11-ELEC-SPDA-SITE-R24.rvt</t>
    </r>
  </si>
  <si>
    <t>70.9 MB</t>
  </si>
  <si>
    <r>
      <rPr>
        <rFont val="Calibri"/>
        <b/>
        <color rgb="FF1155CC"/>
        <sz val="11.0"/>
        <u/>
      </rPr>
      <t>01-WORK IN PROGRESS/BIM/MODELS/DELEGATED DESIGN R24/MEP</t>
    </r>
  </si>
  <si>
    <r>
      <rPr>
        <rFont val="Calibri"/>
        <b/>
        <color rgb="FF1155CC"/>
        <sz val="11.0"/>
        <u/>
      </rPr>
      <t>CPQ11-EPMS-DEVS-DATA-R24.rvt</t>
    </r>
  </si>
  <si>
    <t>27.3 MB</t>
  </si>
  <si>
    <r>
      <rPr>
        <rFont val="Calibri"/>
        <b/>
        <color rgb="FF1155CC"/>
        <sz val="11.0"/>
        <u/>
      </rPr>
      <t>01-WORK IN PROGRESS/BIM/MODELS/DELEGATED DESIGN R24/MEP</t>
    </r>
  </si>
  <si>
    <r>
      <rPr>
        <rFont val="Calibri"/>
        <b/>
        <color rgb="FF1155CC"/>
        <sz val="11.0"/>
        <u/>
      </rPr>
      <t>CPQ11-EPMS-DEVS-SITE-R24.rvt</t>
    </r>
  </si>
  <si>
    <t>15.5 MB</t>
  </si>
  <si>
    <t>May 15, 2026 5:45 PM</t>
  </si>
  <si>
    <r>
      <rPr>
        <rFont val="Calibri"/>
        <b/>
        <color rgb="FF1155CC"/>
        <sz val="11.0"/>
        <u/>
      </rPr>
      <t>01-WORK IN PROGRESS/BIM/MODELS/DELEGATED DESIGN R24/MEP</t>
    </r>
  </si>
  <si>
    <r>
      <rPr>
        <rFont val="Calibri"/>
        <b/>
        <color rgb="FF1155CC"/>
        <sz val="11.0"/>
        <u/>
      </rPr>
      <t>CPQ11-FALM-FALM-DATA-R24.rvt</t>
    </r>
  </si>
  <si>
    <t>71.8 MB</t>
  </si>
  <si>
    <r>
      <rPr>
        <rFont val="Calibri"/>
        <b/>
        <color rgb="FF1155CC"/>
        <sz val="11.0"/>
        <u/>
      </rPr>
      <t>01-WORK IN PROGRESS/BIM/MODELS/DELEGATED DESIGN R24/MEP</t>
    </r>
  </si>
  <si>
    <r>
      <rPr>
        <rFont val="Calibri"/>
        <b/>
        <color rgb="FF1155CC"/>
        <sz val="11.0"/>
        <u/>
      </rPr>
      <t>CPQ11-FALM-FALM-SITE-R24.rvt</t>
    </r>
  </si>
  <si>
    <t>17.5 MB</t>
  </si>
  <si>
    <r>
      <rPr>
        <rFont val="Calibri"/>
        <b/>
        <color rgb="FF1155CC"/>
        <sz val="11.0"/>
        <u/>
      </rPr>
      <t>01-WORK IN PROGRESS/BIM/MODELS/DELEGATED DESIGN R24/MEP</t>
    </r>
  </si>
  <si>
    <r>
      <rPr>
        <rFont val="Calibri"/>
        <b/>
        <color rgb="FF1155CC"/>
        <sz val="11.0"/>
        <u/>
      </rPr>
      <t>CPQ11-FPRT-FPRT-DATA-R24.rvt</t>
    </r>
  </si>
  <si>
    <t>140.8 MB</t>
  </si>
  <si>
    <r>
      <rPr>
        <rFont val="Calibri"/>
        <b/>
        <color rgb="FF1155CC"/>
        <sz val="11.0"/>
        <u/>
      </rPr>
      <t>01-WORK IN PROGRESS/BIM/MODELS/DELEGATED DESIGN R24/MEP</t>
    </r>
  </si>
  <si>
    <r>
      <rPr>
        <rFont val="Calibri"/>
        <b/>
        <color rgb="FF1155CC"/>
        <sz val="11.0"/>
        <u/>
      </rPr>
      <t>CPQ11-FPRT-FPRT-SITE-R24.rvt</t>
    </r>
  </si>
  <si>
    <t>92.9 MB</t>
  </si>
  <si>
    <r>
      <rPr>
        <rFont val="Calibri"/>
        <b/>
        <color rgb="FF1155CC"/>
        <sz val="11.0"/>
        <u/>
      </rPr>
      <t>01-WORK IN PROGRESS/BIM/MODELS/DELEGATED DESIGN R24/MEP</t>
    </r>
  </si>
  <si>
    <r>
      <rPr>
        <rFont val="Calibri"/>
        <b/>
        <color rgb="FF1155CC"/>
        <sz val="11.0"/>
        <u/>
      </rPr>
      <t>CPQ11-FPRT-METK-UTLS-R24.rvt</t>
    </r>
  </si>
  <si>
    <r>
      <rPr>
        <rFont val="Calibri"/>
        <b/>
        <color rgb="FF1155CC"/>
        <sz val="11.0"/>
        <u/>
      </rPr>
      <t>01-WORK IN PROGRESS/BIM/MODELS/DELEGATED DESIGN R24/MEP</t>
    </r>
  </si>
  <si>
    <r>
      <rPr>
        <rFont val="Calibri"/>
        <b/>
        <color rgb="FF1155CC"/>
        <sz val="11.0"/>
        <u/>
      </rPr>
      <t>CPQ11-PLMB-DIES-SITE-R24.rvt</t>
    </r>
  </si>
  <si>
    <t>11.8 MB</t>
  </si>
  <si>
    <r>
      <rPr>
        <rFont val="Calibri"/>
        <b/>
        <color rgb="FF1155CC"/>
        <sz val="11.0"/>
        <u/>
      </rPr>
      <t>01-WORK IN PROGRESS/BIM/MODELS/DELEGATED DESIGN R24/MEP</t>
    </r>
  </si>
  <si>
    <r>
      <rPr>
        <rFont val="Calibri"/>
        <b/>
        <color rgb="FF1155CC"/>
        <sz val="11.0"/>
        <u/>
      </rPr>
      <t>CPQ11-PLMB-PLMB-DATA-R24.rvt</t>
    </r>
  </si>
  <si>
    <t>138.1 MB</t>
  </si>
  <si>
    <r>
      <rPr>
        <rFont val="Calibri"/>
        <b/>
        <color rgb="FF1155CC"/>
        <sz val="11.0"/>
        <u/>
      </rPr>
      <t>01-WORK IN PROGRESS/BIM/MODELS/DELEGATED DESIGN R24/MEP</t>
    </r>
  </si>
  <si>
    <r>
      <rPr>
        <rFont val="Calibri"/>
        <b/>
        <color rgb="FF1155CC"/>
        <sz val="11.0"/>
        <u/>
      </rPr>
      <t>CPQ11-PLMB-PLMB-SITE-R24.rvt</t>
    </r>
  </si>
  <si>
    <t>68.6 MB</t>
  </si>
  <si>
    <r>
      <rPr>
        <rFont val="Calibri"/>
        <b/>
        <color rgb="FF1155CC"/>
        <sz val="11.0"/>
        <u/>
      </rPr>
      <t>01-WORK IN PROGRESS/BIM/MODELS/DELEGATED DESIGN R24/MEP</t>
    </r>
  </si>
  <si>
    <r>
      <rPr>
        <rFont val="Calibri"/>
        <b/>
        <color rgb="FF1155CC"/>
        <sz val="11.0"/>
        <u/>
      </rPr>
      <t>CPQ11-ROIP-DEVS-DATA-R24.rvt</t>
    </r>
  </si>
  <si>
    <t>698.8 MB</t>
  </si>
  <si>
    <r>
      <rPr>
        <rFont val="Calibri"/>
        <b/>
        <color rgb="FF1155CC"/>
        <sz val="11.0"/>
        <u/>
      </rPr>
      <t>01-WORK IN PROGRESS/BIM/MODELS/DELEGATED DESIGN R24/MEP</t>
    </r>
  </si>
  <si>
    <r>
      <rPr>
        <rFont val="Calibri"/>
        <b/>
        <color rgb="FF1155CC"/>
        <sz val="11.0"/>
        <u/>
      </rPr>
      <t>CPQ11-ROIP-DEVS-GUAR-R24.rvt</t>
    </r>
  </si>
  <si>
    <t>39.5 MB</t>
  </si>
  <si>
    <r>
      <rPr>
        <rFont val="Calibri"/>
        <b/>
        <color rgb="FF1155CC"/>
        <sz val="11.0"/>
        <u/>
      </rPr>
      <t>01-WORK IN PROGRESS/BIM/MODELS/DELEGATED DESIGN R24/MEP</t>
    </r>
  </si>
  <si>
    <r>
      <rPr>
        <rFont val="Calibri"/>
        <b/>
        <color rgb="FF1155CC"/>
        <sz val="11.0"/>
        <u/>
      </rPr>
      <t>CPQ11-SCTY-DEVS-DATA-R24.rvt</t>
    </r>
  </si>
  <si>
    <t>232.5 MB</t>
  </si>
  <si>
    <r>
      <rPr>
        <rFont val="Calibri"/>
        <b/>
        <color rgb="FF1155CC"/>
        <sz val="11.0"/>
        <u/>
      </rPr>
      <t>01-WORK IN PROGRESS/BIM/MODELS/DELEGATED DESIGN R24/MEP</t>
    </r>
  </si>
  <si>
    <r>
      <rPr>
        <rFont val="Calibri"/>
        <b/>
        <color rgb="FF1155CC"/>
        <sz val="11.0"/>
        <u/>
      </rPr>
      <t>CPQ11-SCTY-DEVS-SITE-R24.rvt</t>
    </r>
  </si>
  <si>
    <t>234.5 MB</t>
  </si>
  <si>
    <t>May 20, 2026 9:33 AM</t>
  </si>
  <si>
    <r>
      <rPr>
        <rFont val="Calibri"/>
        <b/>
        <color rgb="FF1155CC"/>
        <sz val="11.0"/>
        <u/>
      </rPr>
      <t>01-WORK IN PROGRESS/BIM/MODELS/DELEGATED DESIGN R24/MEP</t>
    </r>
  </si>
  <si>
    <r>
      <rPr>
        <rFont val="Calibri"/>
        <b/>
        <color rgb="FF1155CC"/>
        <sz val="11.0"/>
        <u/>
      </rPr>
      <t>CPQ11-SCTY-GATE-SITE-R24.ifc</t>
    </r>
  </si>
  <si>
    <t>48 MB</t>
  </si>
  <si>
    <t>May 19, 2026 2:19 PM</t>
  </si>
  <si>
    <r>
      <rPr>
        <rFont val="Calibri"/>
        <b/>
        <color rgb="FF1155CC"/>
        <sz val="11.0"/>
        <u/>
      </rPr>
      <t>01-WORK IN PROGRESS/BIM/MODELS/DELEGATED DESIGN R24/MEP</t>
    </r>
  </si>
  <si>
    <r>
      <rPr>
        <rFont val="Calibri"/>
        <b/>
        <color rgb="FF1155CC"/>
        <sz val="11.0"/>
        <u/>
      </rPr>
      <t>CPQ11-SCTY-GATE-SITE-R24.rvt</t>
    </r>
  </si>
  <si>
    <t>94.6 MB</t>
  </si>
  <si>
    <r>
      <rPr>
        <rFont val="Calibri"/>
        <b/>
        <color rgb="FF1155CC"/>
        <sz val="11.0"/>
        <u/>
      </rPr>
      <t>01-WORK IN PROGRESS/BIM/MODELS/DELEGATED DESIGN R24/MEP</t>
    </r>
  </si>
  <si>
    <r>
      <rPr>
        <rFont val="Calibri"/>
        <b/>
        <color rgb="FF1155CC"/>
        <sz val="11.0"/>
        <u/>
      </rPr>
      <t>CPQ11-SCTY-INFR-DATA-R24.rvt</t>
    </r>
  </si>
  <si>
    <t>35.1 MB</t>
  </si>
  <si>
    <r>
      <rPr>
        <rFont val="Calibri"/>
        <b/>
        <color rgb="FF1155CC"/>
        <sz val="11.0"/>
        <u/>
      </rPr>
      <t>01-WORK IN PROGRESS/BIM/MODELS/DELEGATED DESIGN R24/MEP</t>
    </r>
  </si>
  <si>
    <r>
      <rPr>
        <rFont val="Calibri"/>
        <b/>
        <color rgb="FF1155CC"/>
        <sz val="11.0"/>
        <u/>
      </rPr>
      <t>CPQ11-SCTY-INFR-SITE-R24.rvt</t>
    </r>
  </si>
  <si>
    <t>33.5 MB</t>
  </si>
  <si>
    <r>
      <rPr>
        <rFont val="Calibri"/>
        <b/>
        <color rgb="FF1155CC"/>
        <sz val="11.0"/>
        <u/>
      </rPr>
      <t>01-WORK IN PROGRESS/BIM/MODELS/DELEGATED DESIGN R24/MEP</t>
    </r>
  </si>
  <si>
    <r>
      <rPr>
        <rFont val="Calibri"/>
        <b/>
        <color rgb="FF1155CC"/>
        <sz val="11.0"/>
        <u/>
      </rPr>
      <t>CPQ11-SYST-INFR-DATA-R24.rvt</t>
    </r>
  </si>
  <si>
    <t>121.7 MB</t>
  </si>
  <si>
    <r>
      <rPr>
        <rFont val="Calibri"/>
        <b/>
        <color rgb="FF1155CC"/>
        <sz val="11.0"/>
        <u/>
      </rPr>
      <t>01-WORK IN PROGRESS/BIM/MODELS/DELEGATED DESIGN R24/MEP</t>
    </r>
  </si>
  <si>
    <r>
      <rPr>
        <rFont val="Calibri"/>
        <b/>
        <color rgb="FF1155CC"/>
        <sz val="11.0"/>
        <u/>
      </rPr>
      <t>CPQ11-SYST-INFR-SITE-R24.rvt</t>
    </r>
  </si>
  <si>
    <t>79.4 MB</t>
  </si>
  <si>
    <r>
      <rPr>
        <rFont val="Calibri"/>
        <b/>
        <color rgb="FF1155CC"/>
        <sz val="11.0"/>
        <u/>
      </rPr>
      <t>01-WORK IN PROGRESS/BIM/MODELS/DELEGATED DESIGN R24/MEP</t>
    </r>
  </si>
  <si>
    <r>
      <rPr>
        <rFont val="Calibri"/>
        <b/>
        <color rgb="FF1155CC"/>
        <sz val="11.0"/>
        <u/>
      </rPr>
      <t>CPQ11-TCOM-DEVS-DATA-R24.rvt</t>
    </r>
  </si>
  <si>
    <t>121.8 MB</t>
  </si>
  <si>
    <r>
      <rPr>
        <rFont val="Calibri"/>
        <b/>
        <color rgb="FF1155CC"/>
        <sz val="11.0"/>
        <u/>
      </rPr>
      <t>01-WORK IN PROGRESS/BIM/MODELS/DELEGATED DESIGN R24/MEP</t>
    </r>
  </si>
  <si>
    <r>
      <rPr>
        <rFont val="Calibri"/>
        <b/>
        <color rgb="FF1155CC"/>
        <sz val="11.0"/>
        <u/>
      </rPr>
      <t>CPQ11-TCOM-DEVS-SITE-R24.rvt</t>
    </r>
  </si>
  <si>
    <t>40.3 MB</t>
  </si>
  <si>
    <r>
      <rPr>
        <rFont val="Calibri"/>
        <b/>
        <color rgb="FF1155CC"/>
        <sz val="11.0"/>
        <u/>
      </rPr>
      <t>01-WORK IN PROGRESS/BIM/MODELS/DELEGATED DESIGN R24/MEP/NWC</t>
    </r>
  </si>
  <si>
    <r>
      <rPr>
        <rFont val="Calibri"/>
        <b/>
        <color rgb="FF1155CC"/>
        <sz val="11.0"/>
        <u/>
      </rPr>
      <t>CPQ11-BASM-DEVS-DATA-R24.nwc</t>
    </r>
  </si>
  <si>
    <t>1.6 MB</t>
  </si>
  <si>
    <r>
      <rPr>
        <rFont val="Calibri"/>
        <b/>
        <color rgb="FF1155CC"/>
        <sz val="11.0"/>
        <u/>
      </rPr>
      <t>01-WORK IN PROGRESS/BIM/MODELS/DELEGATED DESIGN R24/MEP/NWC</t>
    </r>
  </si>
  <si>
    <r>
      <rPr>
        <rFont val="Calibri"/>
        <b/>
        <color rgb="FF1155CC"/>
        <sz val="11.0"/>
        <u/>
      </rPr>
      <t>CPQ11-BASM-DEVS-PUMP-R24.nwc</t>
    </r>
  </si>
  <si>
    <t>830 KB</t>
  </si>
  <si>
    <r>
      <rPr>
        <rFont val="Calibri"/>
        <b/>
        <color rgb="FF1155CC"/>
        <sz val="11.0"/>
        <u/>
      </rPr>
      <t>01-WORK IN PROGRESS/BIM/MODELS/DELEGATED DESIGN R24/MEP/NWC</t>
    </r>
  </si>
  <si>
    <r>
      <rPr>
        <rFont val="Calibri"/>
        <b/>
        <color rgb="FF1155CC"/>
        <sz val="11.0"/>
        <u/>
      </rPr>
      <t>CPQ11-BASM-INFR-DATA-R24.nwc</t>
    </r>
  </si>
  <si>
    <t>40.9 MB</t>
  </si>
  <si>
    <r>
      <rPr>
        <rFont val="Calibri"/>
        <b/>
        <color rgb="FF1155CC"/>
        <sz val="11.0"/>
        <u/>
      </rPr>
      <t>01-WORK IN PROGRESS/BIM/MODELS/DELEGATED DESIGN R24/MEP/NWC</t>
    </r>
  </si>
  <si>
    <r>
      <rPr>
        <rFont val="Calibri"/>
        <b/>
        <color rgb="FF1155CC"/>
        <sz val="11.0"/>
        <u/>
      </rPr>
      <t>CPQ11-BASM-INFR-PUMP-R24.nwc</t>
    </r>
  </si>
  <si>
    <t>1.3 MB</t>
  </si>
  <si>
    <r>
      <rPr>
        <rFont val="Calibri"/>
        <b/>
        <color rgb="FF1155CC"/>
        <sz val="11.0"/>
        <u/>
      </rPr>
      <t>01-WORK IN PROGRESS/BIM/MODELS/DELEGATED DESIGN R24/MEP/NWC</t>
    </r>
  </si>
  <si>
    <r>
      <rPr>
        <rFont val="Calibri"/>
        <b/>
        <color rgb="FF1155CC"/>
        <sz val="11.0"/>
        <u/>
      </rPr>
      <t>CPQ11-DALI-DEVS-DATA-R24.nwc</t>
    </r>
  </si>
  <si>
    <t>2.2 MB</t>
  </si>
  <si>
    <r>
      <rPr>
        <rFont val="Calibri"/>
        <b/>
        <color rgb="FF1155CC"/>
        <sz val="11.0"/>
        <u/>
      </rPr>
      <t>01-WORK IN PROGRESS/BIM/MODELS/DELEGATED DESIGN R24/MEP/NWC</t>
    </r>
  </si>
  <si>
    <r>
      <rPr>
        <rFont val="Calibri"/>
        <b/>
        <color rgb="FF1155CC"/>
        <sz val="11.0"/>
        <u/>
      </rPr>
      <t>CPQ11-DASM-DEVS-DATA-R24.nwc</t>
    </r>
  </si>
  <si>
    <t>33.1 MB</t>
  </si>
  <si>
    <r>
      <rPr>
        <rFont val="Calibri"/>
        <b/>
        <color rgb="FF1155CC"/>
        <sz val="11.0"/>
        <u/>
      </rPr>
      <t>01-WORK IN PROGRESS/BIM/MODELS/DELEGATED DESIGN R24/MEP/NWC</t>
    </r>
  </si>
  <si>
    <r>
      <rPr>
        <rFont val="Calibri"/>
        <b/>
        <color rgb="FF1155CC"/>
        <sz val="11.0"/>
        <u/>
      </rPr>
      <t>CPQ11-ELEC-ELEC-DATA-R24.nwc</t>
    </r>
  </si>
  <si>
    <t>199.5 MB</t>
  </si>
  <si>
    <r>
      <rPr>
        <rFont val="Calibri"/>
        <b/>
        <color rgb="FF1155CC"/>
        <sz val="11.0"/>
        <u/>
      </rPr>
      <t>01-WORK IN PROGRESS/BIM/MODELS/DELEGATED DESIGN R24/MEP/NWC</t>
    </r>
  </si>
  <si>
    <r>
      <rPr>
        <rFont val="Calibri"/>
        <b/>
        <color rgb="FF1155CC"/>
        <sz val="11.0"/>
        <u/>
      </rPr>
      <t>CPQ11-ELEC-ELEC-SITE-R24.nwc</t>
    </r>
  </si>
  <si>
    <t>162.7 MB</t>
  </si>
  <si>
    <t>May 18, 2026 8:11 AM</t>
  </si>
  <si>
    <r>
      <rPr>
        <rFont val="Calibri"/>
        <b/>
        <color rgb="FF1155CC"/>
        <sz val="11.0"/>
        <u/>
      </rPr>
      <t>01-WORK IN PROGRESS/BIM/MODELS/DELEGATED DESIGN R24/MEP/NWC</t>
    </r>
  </si>
  <si>
    <r>
      <rPr>
        <rFont val="Calibri"/>
        <b/>
        <color rgb="FF1155CC"/>
        <sz val="11.0"/>
        <u/>
      </rPr>
      <t>CPQ11-ELEC-SPDA-DATA-R24.nwc</t>
    </r>
  </si>
  <si>
    <t>55 MB</t>
  </si>
  <si>
    <r>
      <rPr>
        <rFont val="Calibri"/>
        <b/>
        <color rgb="FF1155CC"/>
        <sz val="11.0"/>
        <u/>
      </rPr>
      <t>01-WORK IN PROGRESS/BIM/MODELS/DELEGATED DESIGN R24/MEP/NWC</t>
    </r>
  </si>
  <si>
    <r>
      <rPr>
        <rFont val="Calibri"/>
        <b/>
        <color rgb="FF1155CC"/>
        <sz val="11.0"/>
        <u/>
      </rPr>
      <t>CPQ11-ELEC-SPDA-SITE-R24.nwc</t>
    </r>
  </si>
  <si>
    <r>
      <rPr>
        <rFont val="Calibri"/>
        <b/>
        <color rgb="FF1155CC"/>
        <sz val="11.0"/>
        <u/>
      </rPr>
      <t>01-WORK IN PROGRESS/BIM/MODELS/DELEGATED DESIGN R24/MEP/NWC</t>
    </r>
  </si>
  <si>
    <r>
      <rPr>
        <rFont val="Calibri"/>
        <b/>
        <color rgb="FF1155CC"/>
        <sz val="11.0"/>
        <u/>
      </rPr>
      <t>CPQ11-EPMS-DEVS-DATA-R24.nwc</t>
    </r>
  </si>
  <si>
    <t>57.2 KB</t>
  </si>
  <si>
    <r>
      <rPr>
        <rFont val="Calibri"/>
        <b/>
        <color rgb="FF1155CC"/>
        <sz val="11.0"/>
        <u/>
      </rPr>
      <t>01-WORK IN PROGRESS/BIM/MODELS/DELEGATED DESIGN R24/MEP/NWC</t>
    </r>
  </si>
  <si>
    <r>
      <rPr>
        <rFont val="Calibri"/>
        <b/>
        <color rgb="FF1155CC"/>
        <sz val="11.0"/>
        <u/>
      </rPr>
      <t>CPQ11-EPMS-DEVS-SITE-R24.nwc</t>
    </r>
  </si>
  <si>
    <t>70.1 KB</t>
  </si>
  <si>
    <r>
      <rPr>
        <rFont val="Calibri"/>
        <b/>
        <color rgb="FF1155CC"/>
        <sz val="11.0"/>
        <u/>
      </rPr>
      <t>01-WORK IN PROGRESS/BIM/MODELS/DELEGATED DESIGN R24/MEP/NWC</t>
    </r>
  </si>
  <si>
    <r>
      <rPr>
        <rFont val="Calibri"/>
        <b/>
        <color rgb="FF1155CC"/>
        <sz val="11.0"/>
        <u/>
      </rPr>
      <t>CPQ11-FALM-FALM-DATA-R24.nwc</t>
    </r>
  </si>
  <si>
    <t>142.4 MB</t>
  </si>
  <si>
    <r>
      <rPr>
        <rFont val="Calibri"/>
        <b/>
        <color rgb="FF1155CC"/>
        <sz val="11.0"/>
        <u/>
      </rPr>
      <t>01-WORK IN PROGRESS/BIM/MODELS/DELEGATED DESIGN R24/MEP/NWC</t>
    </r>
  </si>
  <si>
    <r>
      <rPr>
        <rFont val="Calibri"/>
        <b/>
        <color rgb="FF1155CC"/>
        <sz val="11.0"/>
        <u/>
      </rPr>
      <t>CPQ11-FALM-FALM-SITE-R24.nwc</t>
    </r>
  </si>
  <si>
    <r>
      <rPr>
        <rFont val="Calibri"/>
        <b/>
        <color rgb="FF1155CC"/>
        <sz val="11.0"/>
        <u/>
      </rPr>
      <t>01-WORK IN PROGRESS/BIM/MODELS/DELEGATED DESIGN R24/MEP/NWC</t>
    </r>
  </si>
  <si>
    <r>
      <rPr>
        <rFont val="Calibri"/>
        <b/>
        <color rgb="FF1155CC"/>
        <sz val="11.0"/>
        <u/>
      </rPr>
      <t>CPQ11-FPRT-FPRT-DATA-R24.nwc</t>
    </r>
  </si>
  <si>
    <t>111.7 MB</t>
  </si>
  <si>
    <r>
      <rPr>
        <rFont val="Calibri"/>
        <b/>
        <color rgb="FF1155CC"/>
        <sz val="11.0"/>
        <u/>
      </rPr>
      <t>01-WORK IN PROGRESS/BIM/MODELS/DELEGATED DESIGN R24/MEP/NWC</t>
    </r>
  </si>
  <si>
    <r>
      <rPr>
        <rFont val="Calibri"/>
        <b/>
        <color rgb="FF1155CC"/>
        <sz val="11.0"/>
        <u/>
      </rPr>
      <t>CPQ11-FPRT-FPRT-SITE-R24.nwc</t>
    </r>
  </si>
  <si>
    <t>19.2 MB</t>
  </si>
  <si>
    <r>
      <rPr>
        <rFont val="Calibri"/>
        <b/>
        <color rgb="FF1155CC"/>
        <sz val="11.0"/>
        <u/>
      </rPr>
      <t>01-WORK IN PROGRESS/BIM/MODELS/DELEGATED DESIGN R24/MEP/NWC</t>
    </r>
  </si>
  <si>
    <r>
      <rPr>
        <rFont val="Calibri"/>
        <b/>
        <color rgb="FF1155CC"/>
        <sz val="11.0"/>
        <u/>
      </rPr>
      <t>CPQ11-FPRT-METK-UTLS-R24.nwc</t>
    </r>
  </si>
  <si>
    <r>
      <rPr>
        <rFont val="Calibri"/>
        <b/>
        <color rgb="FF1155CC"/>
        <sz val="11.0"/>
        <u/>
      </rPr>
      <t>01-WORK IN PROGRESS/BIM/MODELS/DELEGATED DESIGN R24/MEP/NWC</t>
    </r>
  </si>
  <si>
    <r>
      <rPr>
        <rFont val="Calibri"/>
        <b/>
        <color rgb="FF1155CC"/>
        <sz val="11.0"/>
        <u/>
      </rPr>
      <t>CPQ11-PLMB-DIES-SITE-R24.nwc</t>
    </r>
  </si>
  <si>
    <t>3.9 MB</t>
  </si>
  <si>
    <r>
      <rPr>
        <rFont val="Calibri"/>
        <b/>
        <color rgb="FF1155CC"/>
        <sz val="11.0"/>
        <u/>
      </rPr>
      <t>01-WORK IN PROGRESS/BIM/MODELS/DELEGATED DESIGN R24/MEP/NWC</t>
    </r>
  </si>
  <si>
    <r>
      <rPr>
        <rFont val="Calibri"/>
        <b/>
        <color rgb="FF1155CC"/>
        <sz val="11.0"/>
        <u/>
      </rPr>
      <t>CPQ11-PLMB-PLMB-DATA-R24.nwc</t>
    </r>
  </si>
  <si>
    <t>31.4 MB</t>
  </si>
  <si>
    <r>
      <rPr>
        <rFont val="Calibri"/>
        <b/>
        <color rgb="FF1155CC"/>
        <sz val="11.0"/>
        <u/>
      </rPr>
      <t>01-WORK IN PROGRESS/BIM/MODELS/DELEGATED DESIGN R24/MEP/NWC</t>
    </r>
  </si>
  <si>
    <r>
      <rPr>
        <rFont val="Calibri"/>
        <b/>
        <color rgb="FF1155CC"/>
        <sz val="11.0"/>
        <u/>
      </rPr>
      <t>CPQ11-PLMB-PLMB-SITE-R24.nwc</t>
    </r>
  </si>
  <si>
    <t>6.7 MB</t>
  </si>
  <si>
    <r>
      <rPr>
        <rFont val="Calibri"/>
        <b/>
        <color rgb="FF1155CC"/>
        <sz val="11.0"/>
        <u/>
      </rPr>
      <t>01-WORK IN PROGRESS/BIM/MODELS/DELEGATED DESIGN R24/MEP/NWC</t>
    </r>
  </si>
  <si>
    <r>
      <rPr>
        <rFont val="Calibri"/>
        <b/>
        <color rgb="FF1155CC"/>
        <sz val="11.0"/>
        <u/>
      </rPr>
      <t>CPQ11-ROIP-DEVS-DATA-R24.nwc</t>
    </r>
  </si>
  <si>
    <r>
      <rPr>
        <rFont val="Calibri"/>
        <b/>
        <color rgb="FF1155CC"/>
        <sz val="11.0"/>
        <u/>
      </rPr>
      <t>01-WORK IN PROGRESS/BIM/MODELS/DELEGATED DESIGN R24/MEP/NWC</t>
    </r>
  </si>
  <si>
    <r>
      <rPr>
        <rFont val="Calibri"/>
        <b/>
        <color rgb="FF1155CC"/>
        <sz val="11.0"/>
        <u/>
      </rPr>
      <t>CPQ11-ROIP-DEVS-GUAR-R24.nwc</t>
    </r>
  </si>
  <si>
    <t>2.3 MB</t>
  </si>
  <si>
    <r>
      <rPr>
        <rFont val="Calibri"/>
        <b/>
        <color rgb="FF1155CC"/>
        <sz val="11.0"/>
        <u/>
      </rPr>
      <t>01-WORK IN PROGRESS/BIM/MODELS/DELEGATED DESIGN R24/MEP/NWC</t>
    </r>
  </si>
  <si>
    <r>
      <rPr>
        <rFont val="Calibri"/>
        <b/>
        <color rgb="FF1155CC"/>
        <sz val="11.0"/>
        <u/>
      </rPr>
      <t>CPQ11-SCTY-DEVS-DATA-R24.nwc</t>
    </r>
  </si>
  <si>
    <t>4.6 MB</t>
  </si>
  <si>
    <r>
      <rPr>
        <rFont val="Calibri"/>
        <b/>
        <color rgb="FF1155CC"/>
        <sz val="11.0"/>
        <u/>
      </rPr>
      <t>01-WORK IN PROGRESS/BIM/MODELS/DELEGATED DESIGN R24/MEP/NWC</t>
    </r>
  </si>
  <si>
    <r>
      <rPr>
        <rFont val="Calibri"/>
        <b/>
        <color rgb="FF1155CC"/>
        <sz val="11.0"/>
        <u/>
      </rPr>
      <t>CPQ11-SCTY-GATE-SITE-R24.nwc</t>
    </r>
  </si>
  <si>
    <t>4.7 MB</t>
  </si>
  <si>
    <r>
      <rPr>
        <rFont val="Calibri"/>
        <b/>
        <color rgb="FF1155CC"/>
        <sz val="11.0"/>
        <u/>
      </rPr>
      <t>01-WORK IN PROGRESS/BIM/MODELS/DELEGATED DESIGN R24/MEP/NWC</t>
    </r>
  </si>
  <si>
    <r>
      <rPr>
        <rFont val="Calibri"/>
        <b/>
        <color rgb="FF1155CC"/>
        <sz val="11.0"/>
        <u/>
      </rPr>
      <t>CPQ11-SCTY-INFR-DATA-R24.nwc</t>
    </r>
  </si>
  <si>
    <t>35.9 MB</t>
  </si>
  <si>
    <r>
      <rPr>
        <rFont val="Calibri"/>
        <b/>
        <color rgb="FF1155CC"/>
        <sz val="11.0"/>
        <u/>
      </rPr>
      <t>01-WORK IN PROGRESS/BIM/MODELS/DELEGATED DESIGN R24/MEP/NWC</t>
    </r>
  </si>
  <si>
    <r>
      <rPr>
        <rFont val="Calibri"/>
        <b/>
        <color rgb="FF1155CC"/>
        <sz val="11.0"/>
        <u/>
      </rPr>
      <t>CPQ11-SCTY-INFR-SITE-R24.nwc</t>
    </r>
  </si>
  <si>
    <t>915.3 KB</t>
  </si>
  <si>
    <r>
      <rPr>
        <rFont val="Calibri"/>
        <b/>
        <color rgb="FF1155CC"/>
        <sz val="11.0"/>
        <u/>
      </rPr>
      <t>01-WORK IN PROGRESS/BIM/MODELS/DELEGATED DESIGN R24/MEP/NWC</t>
    </r>
  </si>
  <si>
    <r>
      <rPr>
        <rFont val="Calibri"/>
        <b/>
        <color rgb="FF1155CC"/>
        <sz val="11.0"/>
        <u/>
      </rPr>
      <t>CPQ11-SYST-INFR-DATA-R24.nwc</t>
    </r>
  </si>
  <si>
    <t>62.5 MB</t>
  </si>
  <si>
    <r>
      <rPr>
        <rFont val="Calibri"/>
        <b/>
        <color rgb="FF1155CC"/>
        <sz val="11.0"/>
        <u/>
      </rPr>
      <t>01-WORK IN PROGRESS/BIM/MODELS/DELEGATED DESIGN R24/MEP/NWC</t>
    </r>
  </si>
  <si>
    <r>
      <rPr>
        <rFont val="Calibri"/>
        <b/>
        <color rgb="FF1155CC"/>
        <sz val="11.0"/>
        <u/>
      </rPr>
      <t>CPQ11-SYST-INFR-SITE-R24.nwc</t>
    </r>
  </si>
  <si>
    <t>155.4 MB</t>
  </si>
  <si>
    <r>
      <rPr>
        <rFont val="Calibri"/>
        <b/>
        <color rgb="FF1155CC"/>
        <sz val="11.0"/>
        <u/>
      </rPr>
      <t>01-WORK IN PROGRESS/BIM/MODELS/DELEGATED DESIGN R24/MEP/NWC</t>
    </r>
  </si>
  <si>
    <r>
      <rPr>
        <rFont val="Calibri"/>
        <b/>
        <color rgb="FF1155CC"/>
        <sz val="11.0"/>
        <u/>
      </rPr>
      <t>CPQ11-TCOM-DEVS-DATA-R24.nwc</t>
    </r>
  </si>
  <si>
    <t>6 MB</t>
  </si>
  <si>
    <r>
      <rPr>
        <rFont val="Calibri"/>
        <b/>
        <color rgb="FF1155CC"/>
        <sz val="11.0"/>
        <u/>
      </rPr>
      <t>01-WORK IN PROGRESS/BIM/MODELS/DELEGATED DESIGN R24/MEP/NWC</t>
    </r>
  </si>
  <si>
    <r>
      <rPr>
        <rFont val="Calibri"/>
        <b/>
        <color rgb="FF1155CC"/>
        <sz val="11.0"/>
        <u/>
      </rPr>
      <t>CPQ11-TCOM-DEVS-SITE-R24.nwc</t>
    </r>
  </si>
  <si>
    <t>190.4 KB</t>
  </si>
  <si>
    <r>
      <rPr>
        <rFont val="Calibri"/>
        <b/>
        <color rgb="FF1155CC"/>
        <sz val="11.0"/>
        <u/>
      </rPr>
      <t>01-WORK IN PROGRESS/BIM/MODELS/DELEGATED DESIGN R24/STEEL</t>
    </r>
  </si>
  <si>
    <r>
      <rPr>
        <rFont val="Calibri"/>
        <b/>
        <color rgb="FF1155CC"/>
        <sz val="11.0"/>
        <u/>
      </rPr>
      <t>CPQ11-STRC-STEE-ADMN-R24.rvt</t>
    </r>
  </si>
  <si>
    <t>213.2 MB</t>
  </si>
  <si>
    <t>May 20, 2026 9:25 AM</t>
  </si>
  <si>
    <r>
      <rPr>
        <rFont val="Calibri"/>
        <b/>
        <color rgb="FF1155CC"/>
        <sz val="11.0"/>
        <u/>
      </rPr>
      <t>01-WORK IN PROGRESS/BIM/MODELS/DELEGATED DESIGN R24/STEEL</t>
    </r>
  </si>
  <si>
    <r>
      <rPr>
        <rFont val="Calibri"/>
        <b/>
        <color rgb="FF1155CC"/>
        <sz val="11.0"/>
        <u/>
      </rPr>
      <t>CPQ11-STRC-STEE-COL1-R24.rvt</t>
    </r>
  </si>
  <si>
    <t>645.9 MB</t>
  </si>
  <si>
    <t>May 20, 2026 11:13 AM</t>
  </si>
  <si>
    <r>
      <rPr>
        <rFont val="Calibri"/>
        <b/>
        <color rgb="FF1155CC"/>
        <sz val="11.0"/>
        <u/>
      </rPr>
      <t>01-WORK IN PROGRESS/BIM/MODELS/DELEGATED DESIGN R24/STEEL</t>
    </r>
  </si>
  <si>
    <r>
      <rPr>
        <rFont val="Calibri"/>
        <b/>
        <color rgb="FF1155CC"/>
        <sz val="11.0"/>
        <u/>
      </rPr>
      <t>CPQ11-STRC-STEE-COL2-R24.rvt</t>
    </r>
  </si>
  <si>
    <t>724 MB</t>
  </si>
  <si>
    <t>May 20, 2026 12:45 PM</t>
  </si>
  <si>
    <r>
      <rPr>
        <rFont val="Calibri"/>
        <b/>
        <color rgb="FF1155CC"/>
        <sz val="11.0"/>
        <u/>
      </rPr>
      <t>01-WORK IN PROGRESS/BIM/MODELS/DELEGATED DESIGN R24/STEEL</t>
    </r>
  </si>
  <si>
    <r>
      <rPr>
        <rFont val="Calibri"/>
        <b/>
        <color rgb="FF1155CC"/>
        <sz val="11.0"/>
        <u/>
      </rPr>
      <t>CPQ11-STRC-STEE-COL3-R24.rvt</t>
    </r>
  </si>
  <si>
    <t>724.3 MB</t>
  </si>
  <si>
    <t>May 20, 2026 2:16 PM</t>
  </si>
  <si>
    <r>
      <rPr>
        <rFont val="Calibri"/>
        <b/>
        <color rgb="FF1155CC"/>
        <sz val="11.0"/>
        <u/>
      </rPr>
      <t>01-WORK IN PROGRESS/BIM/MODELS/DELEGATED DESIGN R24/STEEL</t>
    </r>
  </si>
  <si>
    <r>
      <rPr>
        <rFont val="Calibri"/>
        <b/>
        <color rgb="FF1155CC"/>
        <sz val="11.0"/>
        <u/>
      </rPr>
      <t>CPQ11-STRC-STEE-COL4-R24.rvt</t>
    </r>
  </si>
  <si>
    <t>661.3 MB</t>
  </si>
  <si>
    <t>May 20, 2026 5:52 PM</t>
  </si>
  <si>
    <r>
      <rPr>
        <rFont val="Calibri"/>
        <b/>
        <color rgb="FF1155CC"/>
        <sz val="11.0"/>
        <u/>
      </rPr>
      <t>01-WORK IN PROGRESS/BIM/MODELS/DELEGATED DESIGN R24/STEEL</t>
    </r>
  </si>
  <si>
    <r>
      <rPr>
        <rFont val="Calibri"/>
        <b/>
        <color rgb="FF1155CC"/>
        <sz val="11.0"/>
        <u/>
      </rPr>
      <t>CPQ11-STRC-STEE-COL5-R24.rvt</t>
    </r>
  </si>
  <si>
    <t>740.2 MB</t>
  </si>
  <si>
    <t>May 20, 2026 5:51 PM</t>
  </si>
  <si>
    <r>
      <rPr>
        <rFont val="Calibri"/>
        <b/>
        <color rgb="FF1155CC"/>
        <sz val="11.0"/>
        <u/>
      </rPr>
      <t>01-WORK IN PROGRESS/BIM/MODELS/DELEGATED DESIGN R24/STEEL</t>
    </r>
  </si>
  <si>
    <r>
      <rPr>
        <rFont val="Calibri"/>
        <b/>
        <color rgb="FF1155CC"/>
        <sz val="11.0"/>
        <u/>
      </rPr>
      <t>CPQ11-STRC-STEE-GUAR-R24.rvt</t>
    </r>
  </si>
  <si>
    <t>25.1 MB</t>
  </si>
  <si>
    <t>May 20, 2026 3:49 PM</t>
  </si>
  <si>
    <r>
      <rPr>
        <rFont val="Calibri"/>
        <b/>
        <color rgb="FF1155CC"/>
        <sz val="11.0"/>
        <u/>
      </rPr>
      <t>01-WORK IN PROGRESS/BIM/MODELS/DELEGATED DESIGN R24/STEEL</t>
    </r>
  </si>
  <si>
    <r>
      <rPr>
        <rFont val="Calibri"/>
        <b/>
        <color rgb="FF1155CC"/>
        <sz val="11.0"/>
        <u/>
      </rPr>
      <t>CPQ11-STRC-STEE-STIR-R24.rvt</t>
    </r>
  </si>
  <si>
    <t>103.7 MB</t>
  </si>
  <si>
    <t>May 20, 2026 4:13 PM</t>
  </si>
  <si>
    <r>
      <rPr>
        <rFont val="Calibri"/>
        <b/>
        <color rgb="FF1155CC"/>
        <sz val="11.0"/>
        <u/>
      </rPr>
      <t>01-WORK IN PROGRESS/BIM/MODELS/DELEGATED DESIGN R24/STEEL</t>
    </r>
  </si>
  <si>
    <r>
      <rPr>
        <rFont val="Calibri"/>
        <b/>
        <color rgb="FF1155CC"/>
        <sz val="11.0"/>
        <u/>
      </rPr>
      <t>CPQ11-STRC-STEE-UTLS-R24.rvt</t>
    </r>
  </si>
  <si>
    <t>101.8 MB</t>
  </si>
  <si>
    <t>May 20, 2026 4:24 PM</t>
  </si>
  <si>
    <r>
      <rPr>
        <rFont val="Calibri"/>
        <b/>
        <color rgb="FF1155CC"/>
        <sz val="11.0"/>
        <u/>
      </rPr>
      <t>01-WORK IN PROGRESS/BIM/MODELS/DELEGATED DESIGN R24/STEEL/IFC</t>
    </r>
  </si>
  <si>
    <r>
      <rPr>
        <rFont val="Calibri"/>
        <b/>
        <color rgb="FF1155CC"/>
        <sz val="11.0"/>
        <u/>
      </rPr>
      <t>837-RACIONAL-PROJETO_GALILEU.zip</t>
    </r>
  </si>
  <si>
    <t>Not synced</t>
  </si>
  <si>
    <t>303.1 MB</t>
  </si>
  <si>
    <t>May 21, 2026 5:25 PM</t>
  </si>
  <si>
    <r>
      <rPr>
        <rFont val="Calibri"/>
        <b/>
        <color rgb="FF1155CC"/>
        <sz val="11.0"/>
        <u/>
      </rPr>
      <t>01-WORK IN PROGRESS/BIM/MODELS/DELEGATED DESIGN R24/STEEL/IFC</t>
    </r>
  </si>
  <si>
    <r>
      <rPr>
        <rFont val="Calibri"/>
        <b/>
        <color rgb="FF1155CC"/>
        <sz val="11.0"/>
        <u/>
      </rPr>
      <t>CPQ11-STRC-STEE-ADMN-2X3.ifc</t>
    </r>
  </si>
  <si>
    <t>36.5 MB</t>
  </si>
  <si>
    <r>
      <rPr>
        <rFont val="Calibri"/>
        <b/>
        <color rgb="FF1155CC"/>
        <sz val="11.0"/>
        <u/>
      </rPr>
      <t>01-WORK IN PROGRESS/BIM/MODELS/DELEGATED DESIGN R24/STEEL/IFC</t>
    </r>
  </si>
  <si>
    <r>
      <rPr>
        <rFont val="Calibri"/>
        <b/>
        <color rgb="FF1155CC"/>
        <sz val="11.0"/>
        <u/>
      </rPr>
      <t>CPQ11-STRC-STEE-COL1-2X3.ifc</t>
    </r>
  </si>
  <si>
    <t>84.9 MB</t>
  </si>
  <si>
    <r>
      <rPr>
        <rFont val="Calibri"/>
        <b/>
        <color rgb="FF1155CC"/>
        <sz val="11.0"/>
        <u/>
      </rPr>
      <t>01-WORK IN PROGRESS/BIM/MODELS/DELEGATED DESIGN R24/STEEL/IFC</t>
    </r>
  </si>
  <si>
    <r>
      <rPr>
        <rFont val="Calibri"/>
        <b/>
        <color rgb="FF1155CC"/>
        <sz val="11.0"/>
        <u/>
      </rPr>
      <t>CPQ11-STRC-STEE-COL2-2X3.ifc</t>
    </r>
  </si>
  <si>
    <t>88.7 MB</t>
  </si>
  <si>
    <r>
      <rPr>
        <rFont val="Calibri"/>
        <b/>
        <color rgb="FF1155CC"/>
        <sz val="11.0"/>
        <u/>
      </rPr>
      <t>01-WORK IN PROGRESS/BIM/MODELS/DELEGATED DESIGN R24/STEEL/IFC</t>
    </r>
  </si>
  <si>
    <r>
      <rPr>
        <rFont val="Calibri"/>
        <b/>
        <color rgb="FF1155CC"/>
        <sz val="11.0"/>
        <u/>
      </rPr>
      <t>CPQ11-STRC-STEE-COL3-2X3.ifc</t>
    </r>
  </si>
  <si>
    <t>88.9 MB</t>
  </si>
  <si>
    <r>
      <rPr>
        <rFont val="Calibri"/>
        <b/>
        <color rgb="FF1155CC"/>
        <sz val="11.0"/>
        <u/>
      </rPr>
      <t>01-WORK IN PROGRESS/BIM/MODELS/DELEGATED DESIGN R24/STEEL/IFC</t>
    </r>
  </si>
  <si>
    <r>
      <rPr>
        <rFont val="Calibri"/>
        <b/>
        <color rgb="FF1155CC"/>
        <sz val="11.0"/>
        <u/>
      </rPr>
      <t>CPQ11-STRC-STEE-COL4-2X3.ifc</t>
    </r>
  </si>
  <si>
    <t>90.6 MB</t>
  </si>
  <si>
    <r>
      <rPr>
        <rFont val="Calibri"/>
        <b/>
        <color rgb="FF1155CC"/>
        <sz val="11.0"/>
        <u/>
      </rPr>
      <t>01-WORK IN PROGRESS/BIM/MODELS/DELEGATED DESIGN R24/STEEL/IFC</t>
    </r>
  </si>
  <si>
    <r>
      <rPr>
        <rFont val="Calibri"/>
        <b/>
        <color rgb="FF1155CC"/>
        <sz val="11.0"/>
        <u/>
      </rPr>
      <t>CPQ11-STRC-STEE-COL5-2X3.ifc</t>
    </r>
  </si>
  <si>
    <r>
      <rPr>
        <rFont val="Calibri"/>
        <b/>
        <color rgb="FF1155CC"/>
        <sz val="11.0"/>
        <u/>
      </rPr>
      <t>01-WORK IN PROGRESS/BIM/MODELS/DELEGATED DESIGN R24/STEEL/IFC</t>
    </r>
  </si>
  <si>
    <r>
      <rPr>
        <rFont val="Calibri"/>
        <b/>
        <color rgb="FF1155CC"/>
        <sz val="11.0"/>
        <u/>
      </rPr>
      <t>CPQ11-STRC-STEE-GUAR-2X3.ifc</t>
    </r>
  </si>
  <si>
    <t>4 MB</t>
  </si>
  <si>
    <r>
      <rPr>
        <rFont val="Calibri"/>
        <b/>
        <color rgb="FF1155CC"/>
        <sz val="11.0"/>
        <u/>
      </rPr>
      <t>01-WORK IN PROGRESS/BIM/MODELS/DELEGATED DESIGN R24/STEEL/IFC</t>
    </r>
  </si>
  <si>
    <r>
      <rPr>
        <rFont val="Calibri"/>
        <b/>
        <color rgb="FF1155CC"/>
        <sz val="11.0"/>
        <u/>
      </rPr>
      <t>CPQ11-STRC-STEE-STIR-2X3.ifc</t>
    </r>
  </si>
  <si>
    <t>12.2 MB</t>
  </si>
  <si>
    <r>
      <rPr>
        <rFont val="Calibri"/>
        <b/>
        <color rgb="FF1155CC"/>
        <sz val="11.0"/>
        <u/>
      </rPr>
      <t>01-WORK IN PROGRESS/BIM/MODELS/DELEGATED DESIGN R24/STEEL/IFC</t>
    </r>
  </si>
  <si>
    <r>
      <rPr>
        <rFont val="Calibri"/>
        <b/>
        <color rgb="FF1155CC"/>
        <sz val="11.0"/>
        <u/>
      </rPr>
      <t>CPQ11-STRC-STEE-UTLS-2X3.ifc</t>
    </r>
  </si>
  <si>
    <t>18.2 MB</t>
  </si>
  <si>
    <r>
      <rPr>
        <rFont val="Calibri"/>
        <b/>
        <color rgb="FF1155CC"/>
        <sz val="11.0"/>
        <u/>
      </rPr>
      <t>01-WORK IN PROGRESS/BIM/MODELS/DELEGATED DESIGN R24/STRC</t>
    </r>
  </si>
  <si>
    <r>
      <rPr>
        <rFont val="Calibri"/>
        <b/>
        <color rgb="FF1155CC"/>
        <sz val="11.0"/>
        <u/>
      </rPr>
      <t>CPQ11-STRC-CONC-DATA-R24.rvt</t>
    </r>
  </si>
  <si>
    <t>16.9 MB</t>
  </si>
  <si>
    <t>May 15, 2026 8:51 AM</t>
  </si>
  <si>
    <r>
      <rPr>
        <rFont val="Calibri"/>
        <b/>
        <color rgb="FF1155CC"/>
        <sz val="11.0"/>
        <u/>
      </rPr>
      <t>01-WORK IN PROGRESS/BIM/MODELS/DELEGATED DESIGN R24/STRC</t>
    </r>
  </si>
  <si>
    <r>
      <rPr>
        <rFont val="Calibri"/>
        <b/>
        <color rgb="FF1155CC"/>
        <sz val="11.0"/>
        <u/>
      </rPr>
      <t>CPQ11-STRC-CONC-SITE-R24.rvt</t>
    </r>
  </si>
  <si>
    <t>27.2 MB</t>
  </si>
  <si>
    <t>May 15, 2026 8:52 AM</t>
  </si>
  <si>
    <r>
      <rPr>
        <rFont val="Calibri"/>
        <b/>
        <color rgb="FF1155CC"/>
        <sz val="11.0"/>
        <u/>
      </rPr>
      <t>01-WORK IN PROGRESS/BIM/MODELS/DELEGATED DESIGN R24/STRC</t>
    </r>
  </si>
  <si>
    <r>
      <rPr>
        <rFont val="Calibri"/>
        <b/>
        <color rgb="FF1155CC"/>
        <sz val="11.0"/>
        <u/>
      </rPr>
      <t>CPQ11-STRC-DPFN-DATA-R24.rvt</t>
    </r>
  </si>
  <si>
    <r>
      <rPr>
        <rFont val="Calibri"/>
        <b/>
        <color rgb="FF1155CC"/>
        <sz val="11.0"/>
        <u/>
      </rPr>
      <t>01-WORK IN PROGRESS/BIM/MODELS/DELEGATED DESIGN R24/STRC</t>
    </r>
  </si>
  <si>
    <r>
      <rPr>
        <rFont val="Calibri"/>
        <b/>
        <color rgb="FF1155CC"/>
        <sz val="11.0"/>
        <u/>
      </rPr>
      <t>CPQ11-STRC-DPFN-SITE-R24.rvt</t>
    </r>
  </si>
  <si>
    <t>13.6 MB</t>
  </si>
  <si>
    <r>
      <rPr>
        <rFont val="Calibri"/>
        <b/>
        <color rgb="FF1155CC"/>
        <sz val="11.0"/>
        <u/>
      </rPr>
      <t>01-WORK IN PROGRESS/BIM/MODELS/DELEGATED DESIGN R24/STRC</t>
    </r>
  </si>
  <si>
    <r>
      <rPr>
        <rFont val="Calibri"/>
        <b/>
        <color rgb="FF1155CC"/>
        <sz val="11.0"/>
        <u/>
      </rPr>
      <t>CPQ11-STRC-FLOO-DATA-R24.rvt</t>
    </r>
  </si>
  <si>
    <t>122.5 MB</t>
  </si>
  <si>
    <r>
      <rPr>
        <rFont val="Calibri"/>
        <b/>
        <color rgb="FF1155CC"/>
        <sz val="11.0"/>
        <u/>
      </rPr>
      <t>01-WORK IN PROGRESS/BIM/MODELS/DELEGATED DESIGN R24/STRC</t>
    </r>
  </si>
  <si>
    <r>
      <rPr>
        <rFont val="Calibri"/>
        <b/>
        <color rgb="FF1155CC"/>
        <sz val="11.0"/>
        <u/>
      </rPr>
      <t>CPQ11-STRC-FLOO-SITE-R24.rvt</t>
    </r>
  </si>
  <si>
    <t>15.8 MB</t>
  </si>
  <si>
    <t>May 26, 2026 11:37 AM</t>
  </si>
  <si>
    <r>
      <rPr>
        <rFont val="Calibri"/>
        <b/>
        <color rgb="FF1155CC"/>
        <sz val="11.0"/>
        <u/>
      </rPr>
      <t>01-WORK IN PROGRESS/BIM/MODELS/DELEGATED DESIGN R24/STRC/NWC</t>
    </r>
  </si>
  <si>
    <r>
      <rPr>
        <rFont val="Calibri"/>
        <b/>
        <color rgb="FF1155CC"/>
        <sz val="11.0"/>
        <u/>
      </rPr>
      <t>CPQ11-STRC-CONC-DATA-R24.nwc</t>
    </r>
  </si>
  <si>
    <t>476 KB</t>
  </si>
  <si>
    <t>May 15, 2026 8:50 AM</t>
  </si>
  <si>
    <r>
      <rPr>
        <rFont val="Calibri"/>
        <b/>
        <color rgb="FF1155CC"/>
        <sz val="11.0"/>
        <u/>
      </rPr>
      <t>01-WORK IN PROGRESS/BIM/MODELS/DELEGATED DESIGN R24/STRC/NWC</t>
    </r>
  </si>
  <si>
    <r>
      <rPr>
        <rFont val="Calibri"/>
        <b/>
        <color rgb="FF1155CC"/>
        <sz val="11.0"/>
        <u/>
      </rPr>
      <t>CPQ11-STRC-CONC-SITE-R24.nwc</t>
    </r>
  </si>
  <si>
    <t>598.6 KB</t>
  </si>
  <si>
    <r>
      <rPr>
        <rFont val="Calibri"/>
        <b/>
        <color rgb="FF1155CC"/>
        <sz val="11.0"/>
        <u/>
      </rPr>
      <t>01-WORK IN PROGRESS/BIM/MODELS/DELEGATED DESIGN R24/STRC/NWC</t>
    </r>
  </si>
  <si>
    <r>
      <rPr>
        <rFont val="Calibri"/>
        <b/>
        <color rgb="FF1155CC"/>
        <sz val="11.0"/>
        <u/>
      </rPr>
      <t>CPQ11-STRC-DPFN-DATA-R24.nwc</t>
    </r>
  </si>
  <si>
    <t>259.5 KB</t>
  </si>
  <si>
    <r>
      <rPr>
        <rFont val="Calibri"/>
        <b/>
        <color rgb="FF1155CC"/>
        <sz val="11.0"/>
        <u/>
      </rPr>
      <t>01-WORK IN PROGRESS/BIM/MODELS/DELEGATED DESIGN R24/STRC/NWC</t>
    </r>
  </si>
  <si>
    <r>
      <rPr>
        <rFont val="Calibri"/>
        <b/>
        <color rgb="FF1155CC"/>
        <sz val="11.0"/>
        <u/>
      </rPr>
      <t>CPQ11-STRC-DPFN-SITE-R24.nwc</t>
    </r>
  </si>
  <si>
    <r>
      <rPr>
        <rFont val="Calibri"/>
        <b/>
        <color rgb="FF1155CC"/>
        <sz val="11.0"/>
        <u/>
      </rPr>
      <t>01-WORK IN PROGRESS/BIM/MODELS/DELEGATED DESIGN R24/STRC/NWC</t>
    </r>
  </si>
  <si>
    <r>
      <rPr>
        <rFont val="Calibri"/>
        <b/>
        <color rgb="FF1155CC"/>
        <sz val="11.0"/>
        <u/>
      </rPr>
      <t>CPQ11-STRC-FLOO-DATA-R24.nwc</t>
    </r>
  </si>
  <si>
    <t>203.3 MB</t>
  </si>
  <si>
    <r>
      <rPr>
        <rFont val="Calibri"/>
        <b/>
        <color rgb="FF1155CC"/>
        <sz val="11.0"/>
        <u/>
      </rPr>
      <t>01-WORK IN PROGRESS/BIM/MODELS/DELEGATED DESIGN R24/STRC/NWC</t>
    </r>
  </si>
  <si>
    <r>
      <rPr>
        <rFont val="Calibri"/>
        <b/>
        <color rgb="FF1155CC"/>
        <sz val="11.0"/>
        <u/>
      </rPr>
      <t>CPQ11-STRC-FLOO-SITE-R24.nwc</t>
    </r>
  </si>
  <si>
    <t>10.2 MB</t>
  </si>
  <si>
    <t>May 26, 2026 11:36 AM</t>
  </si>
  <si>
    <r>
      <rPr>
        <rFont val="Calibri"/>
        <b/>
        <color rgb="FF1155CC"/>
        <sz val="11.0"/>
        <u/>
      </rPr>
      <t>01-WORK IN PROGRESS/BIM/MODELS/DELEGATED DESIGN R22/ARCH/NWC</t>
    </r>
  </si>
  <si>
    <r>
      <rPr>
        <rFont val="Calibri"/>
        <b/>
        <color rgb="FF1155CC"/>
        <sz val="11.0"/>
        <u/>
      </rPr>
      <t>CPQ11-ARCH-ARCH-DATA-R22.nwc</t>
    </r>
  </si>
  <si>
    <t>V27</t>
  </si>
  <si>
    <t>7.1 MB</t>
  </si>
  <si>
    <t>Apr 10, 2026 4:49 PM</t>
  </si>
  <si>
    <r>
      <rPr>
        <rFont val="Calibri"/>
        <b/>
        <color rgb="FF1155CC"/>
        <sz val="11.0"/>
        <u/>
      </rPr>
      <t>01-WORK IN PROGRESS/BIM/MODELS/DELEGATED DESIGN R22/ARCH/NWC</t>
    </r>
  </si>
  <si>
    <r>
      <rPr>
        <rFont val="Calibri"/>
        <b/>
        <color rgb="FF1155CC"/>
        <sz val="11.0"/>
        <u/>
      </rPr>
      <t>CPQ11-ARCH-ARCH-SITE-R22.nwc</t>
    </r>
  </si>
  <si>
    <t>1.8 MB</t>
  </si>
  <si>
    <t>Apr 17, 2026 4:45 PM</t>
  </si>
  <si>
    <r>
      <rPr>
        <rFont val="Calibri"/>
        <b/>
        <color rgb="FF1155CC"/>
        <sz val="11.0"/>
        <u/>
      </rPr>
      <t>01-WORK IN PROGRESS/BIM/MODELS/DELEGATED DESIGN R22/ARCH/NWC</t>
    </r>
  </si>
  <si>
    <r>
      <rPr>
        <rFont val="Calibri"/>
        <b/>
        <color rgb="FF1155CC"/>
        <sz val="11.0"/>
        <u/>
      </rPr>
      <t>CPQ11-ARCH-BLPR-GUAR-R22.nwc</t>
    </r>
  </si>
  <si>
    <t>Dec 4, 2025 6:42 AM</t>
  </si>
  <si>
    <r>
      <rPr>
        <rFont val="Calibri"/>
        <b/>
        <color rgb="FF1155CC"/>
        <sz val="11.0"/>
        <u/>
      </rPr>
      <t>01-WORK IN PROGRESS/BIM/MODELS/DELEGATED DESIGN R22/ARCH/NWC</t>
    </r>
  </si>
  <si>
    <r>
      <rPr>
        <rFont val="Calibri"/>
        <b/>
        <color rgb="FF1155CC"/>
        <sz val="11.0"/>
        <u/>
      </rPr>
      <t>CPQ11-ARCH-CEIL-DATA-R22.nwc</t>
    </r>
  </si>
  <si>
    <t>5.3 MB</t>
  </si>
  <si>
    <t>Apr 29, 2026 6:51 AM</t>
  </si>
  <si>
    <r>
      <rPr>
        <rFont val="Calibri"/>
        <b/>
        <color rgb="FF1155CC"/>
        <sz val="11.0"/>
        <u/>
      </rPr>
      <t>01-WORK IN PROGRESS/BIM/MODELS/DELEGATED DESIGN R22/ARCH/NWC</t>
    </r>
  </si>
  <si>
    <r>
      <rPr>
        <rFont val="Calibri"/>
        <b/>
        <color rgb="FF1155CC"/>
        <sz val="11.0"/>
        <u/>
      </rPr>
      <t>CPQ11-ARCH-CEIL-SITE-R22.nwc</t>
    </r>
  </si>
  <si>
    <t>21.9 KB</t>
  </si>
  <si>
    <t>Apr 29, 2026 6:50 AM</t>
  </si>
  <si>
    <r>
      <rPr>
        <rFont val="Calibri"/>
        <b/>
        <color rgb="FF1155CC"/>
        <sz val="11.0"/>
        <u/>
      </rPr>
      <t>01-WORK IN PROGRESS/BIM/MODELS/DELEGATED DESIGN R22/ARCH/NWC</t>
    </r>
  </si>
  <si>
    <r>
      <rPr>
        <rFont val="Calibri"/>
        <b/>
        <color rgb="FF1155CC"/>
        <sz val="11.0"/>
        <u/>
      </rPr>
      <t>CPQ11-ARCH-CHAI-SITE-R22.nwc</t>
    </r>
  </si>
  <si>
    <t>Apr 6, 2026 10:43 AM</t>
  </si>
  <si>
    <r>
      <rPr>
        <rFont val="Calibri"/>
        <b/>
        <color rgb="FF1155CC"/>
        <sz val="11.0"/>
        <u/>
      </rPr>
      <t>01-WORK IN PROGRESS/BIM/MODELS/DELEGATED DESIGN R22/ARCH/NWC</t>
    </r>
  </si>
  <si>
    <r>
      <rPr>
        <rFont val="Calibri"/>
        <b/>
        <color rgb="FF1155CC"/>
        <sz val="11.0"/>
        <u/>
      </rPr>
      <t>CPQ11-ARCH-FACD-DATA-R22.nwc</t>
    </r>
  </si>
  <si>
    <t>120.2 MB</t>
  </si>
  <si>
    <t>Apr 10, 2026 5:50 PM</t>
  </si>
  <si>
    <r>
      <rPr>
        <rFont val="Calibri"/>
        <b/>
        <color rgb="FF1155CC"/>
        <sz val="11.0"/>
        <u/>
      </rPr>
      <t>01-WORK IN PROGRESS/BIM/MODELS/DELEGATED DESIGN R22/ARCH/NWC</t>
    </r>
  </si>
  <si>
    <r>
      <rPr>
        <rFont val="Calibri"/>
        <b/>
        <color rgb="FF1155CC"/>
        <sz val="11.0"/>
        <u/>
      </rPr>
      <t>CPQ11-ARCH-HM90-DATA-R22.nwc</t>
    </r>
  </si>
  <si>
    <t>305.7 KB</t>
  </si>
  <si>
    <r>
      <rPr>
        <rFont val="Calibri"/>
        <b/>
        <color rgb="FF1155CC"/>
        <sz val="11.0"/>
        <u/>
      </rPr>
      <t>01-WORK IN PROGRESS/BIM/MODELS/DELEGATED DESIGN R22/ARCH/NWC</t>
    </r>
  </si>
  <si>
    <r>
      <rPr>
        <rFont val="Calibri"/>
        <b/>
        <color rgb="FF1155CC"/>
        <sz val="11.0"/>
        <u/>
      </rPr>
      <t>CPQ11-ARCH-HMET-DATA-R22.nwc</t>
    </r>
  </si>
  <si>
    <t>Apr 8, 2026 8:02 AM</t>
  </si>
  <si>
    <r>
      <rPr>
        <rFont val="Calibri"/>
        <b/>
        <color rgb="FF1155CC"/>
        <sz val="11.0"/>
        <u/>
      </rPr>
      <t>01-WORK IN PROGRESS/BIM/MODELS/DELEGATED DESIGN R22/ARCH/NWC</t>
    </r>
  </si>
  <si>
    <r>
      <rPr>
        <rFont val="Calibri"/>
        <b/>
        <color rgb="FF1155CC"/>
        <sz val="11.0"/>
        <u/>
      </rPr>
      <t>CPQ11-ARCH-HMET-SITE-R22.nwc</t>
    </r>
  </si>
  <si>
    <t>Apr 10, 2026 8:25 AM</t>
  </si>
  <si>
    <r>
      <rPr>
        <rFont val="Calibri"/>
        <b/>
        <color rgb="FF1155CC"/>
        <sz val="11.0"/>
        <u/>
      </rPr>
      <t>01-WORK IN PROGRESS/BIM/MODELS/DELEGATED DESIGN R22/ARCH/NWC</t>
    </r>
  </si>
  <si>
    <r>
      <rPr>
        <rFont val="Calibri"/>
        <b/>
        <color rgb="FF1155CC"/>
        <sz val="11.0"/>
        <u/>
      </rPr>
      <t>CPQ11-ARCH-METL-SITE-R22.nwc</t>
    </r>
  </si>
  <si>
    <t>162.6 MB</t>
  </si>
  <si>
    <t>May 5, 2026 10:51 AM</t>
  </si>
  <si>
    <r>
      <rPr>
        <rFont val="Calibri"/>
        <b/>
        <color rgb="FF1155CC"/>
        <sz val="11.0"/>
        <u/>
      </rPr>
      <t>01-WORK IN PROGRESS/BIM/MODELS/DELEGATED DESIGN R22/ARCH/NWC</t>
    </r>
  </si>
  <si>
    <r>
      <rPr>
        <rFont val="Calibri"/>
        <b/>
        <color rgb="FF1155CC"/>
        <sz val="11.0"/>
        <u/>
      </rPr>
      <t>CPQ11-ARCH-OHCD-DATA-R22.nwc</t>
    </r>
  </si>
  <si>
    <t>229.3 KB</t>
  </si>
  <si>
    <t>Apr 10, 2026 9:03 AM</t>
  </si>
  <si>
    <r>
      <rPr>
        <rFont val="Calibri"/>
        <b/>
        <color rgb="FF1155CC"/>
        <sz val="11.0"/>
        <u/>
      </rPr>
      <t>01-WORK IN PROGRESS/BIM/MODELS/DELEGATED DESIGN R22/ARCH/NWC</t>
    </r>
  </si>
  <si>
    <r>
      <rPr>
        <rFont val="Calibri"/>
        <b/>
        <color rgb="FF1155CC"/>
        <sz val="11.0"/>
        <u/>
      </rPr>
      <t>CPQ11-ARCH-PART-C12A-R22.nwc</t>
    </r>
  </si>
  <si>
    <t>5.2 MB</t>
  </si>
  <si>
    <t>Apr 7, 2026 10:09 PM</t>
  </si>
  <si>
    <r>
      <rPr>
        <rFont val="Calibri"/>
        <b/>
        <color rgb="FF1155CC"/>
        <sz val="11.0"/>
        <u/>
      </rPr>
      <t>01-WORK IN PROGRESS/BIM/MODELS/DELEGATED DESIGN R22/ARCH/NWC</t>
    </r>
  </si>
  <si>
    <r>
      <rPr>
        <rFont val="Calibri"/>
        <b/>
        <color rgb="FF1155CC"/>
        <sz val="11.0"/>
        <u/>
      </rPr>
      <t>CPQ11-ARCH-PART-C345-R22.nwc</t>
    </r>
  </si>
  <si>
    <t>3.6 MB</t>
  </si>
  <si>
    <r>
      <rPr>
        <rFont val="Calibri"/>
        <b/>
        <color rgb="FF1155CC"/>
        <sz val="11.0"/>
        <u/>
      </rPr>
      <t>01-WORK IN PROGRESS/BIM/MODELS/DELEGATED DESIGN R22/ARCH/NWC</t>
    </r>
  </si>
  <si>
    <r>
      <rPr>
        <rFont val="Calibri"/>
        <b/>
        <color rgb="FF1155CC"/>
        <sz val="11.0"/>
        <u/>
      </rPr>
      <t>CPQ11-ARCH-PART-SITE-R22.nwc</t>
    </r>
  </si>
  <si>
    <t>666.8 KB</t>
  </si>
  <si>
    <r>
      <rPr>
        <rFont val="Calibri"/>
        <b/>
        <color rgb="FF1155CC"/>
        <sz val="11.0"/>
        <u/>
      </rPr>
      <t>01-WORK IN PROGRESS/BIM/MODELS/DELEGATED DESIGN R22/ARCH/NWC</t>
    </r>
  </si>
  <si>
    <r>
      <rPr>
        <rFont val="Calibri"/>
        <b/>
        <color rgb="FF1155CC"/>
        <sz val="11.0"/>
        <u/>
      </rPr>
      <t>CPQ11-ARCH-ROOF-DATA-R22.nwc</t>
    </r>
  </si>
  <si>
    <t>13.1 MB</t>
  </si>
  <si>
    <r>
      <rPr>
        <rFont val="Calibri"/>
        <b/>
        <color rgb="FF1155CC"/>
        <sz val="11.0"/>
        <u/>
      </rPr>
      <t>01-WORK IN PROGRESS/BIM/MODELS/DELEGATED DESIGN R22/ARCH/NWC</t>
    </r>
  </si>
  <si>
    <r>
      <rPr>
        <rFont val="Calibri"/>
        <b/>
        <color rgb="FF1155CC"/>
        <sz val="11.0"/>
        <u/>
      </rPr>
      <t>CPQ11-ARCH-SHLV-DATA-R22.nwc</t>
    </r>
  </si>
  <si>
    <t>47.4 MB</t>
  </si>
  <si>
    <r>
      <rPr>
        <rFont val="Calibri"/>
        <b/>
        <color rgb="FF1155CC"/>
        <sz val="11.0"/>
        <u/>
      </rPr>
      <t>01-WORK IN PROGRESS/BIM/MODELS/DELEGATED DESIGN R22/ARCH/NWC</t>
    </r>
  </si>
  <si>
    <r>
      <rPr>
        <rFont val="Calibri"/>
        <b/>
        <color rgb="FF1155CC"/>
        <sz val="11.0"/>
        <u/>
      </rPr>
      <t>CPQ11-ARCH-STON-SITE-R22.nwc</t>
    </r>
  </si>
  <si>
    <t>390.9 KB</t>
  </si>
  <si>
    <r>
      <rPr>
        <rFont val="Calibri"/>
        <b/>
        <color rgb="FF1155CC"/>
        <sz val="11.0"/>
        <u/>
      </rPr>
      <t>01-WORK IN PROGRESS/BIM/MODELS/DELEGATED DESIGN R22/ARCH/NWC</t>
    </r>
  </si>
  <si>
    <r>
      <rPr>
        <rFont val="Calibri"/>
        <b/>
        <color rgb="FF1155CC"/>
        <sz val="11.0"/>
        <u/>
      </rPr>
      <t>CPQ11-ARCH-STON-SITE-R23.nwc</t>
    </r>
  </si>
  <si>
    <t>5.1 KB</t>
  </si>
  <si>
    <t>May 11, 2026 12:36 PM</t>
  </si>
  <si>
    <r>
      <rPr>
        <rFont val="Calibri"/>
        <b/>
        <color rgb="FF1155CC"/>
        <sz val="11.0"/>
        <u/>
      </rPr>
      <t>01-WORK IN PROGRESS/BIM/MODELS/DELEGATED DESIGN R22/ARCH/NWC</t>
    </r>
  </si>
  <si>
    <r>
      <rPr>
        <rFont val="Calibri"/>
        <b/>
        <color rgb="FF1155CC"/>
        <sz val="11.0"/>
        <u/>
      </rPr>
      <t>CPQ11-ARCH-WMES-DATA-R22.nwc</t>
    </r>
  </si>
  <si>
    <t>113.4 KB</t>
  </si>
  <si>
    <r>
      <rPr>
        <rFont val="Calibri"/>
        <b/>
        <color rgb="FF1155CC"/>
        <sz val="11.0"/>
        <u/>
      </rPr>
      <t>01-WORK IN PROGRESS/BIM/MODELS/DELEGATED DESIGN R22/ARCH/OBSOLET</t>
    </r>
  </si>
  <si>
    <r>
      <rPr>
        <rFont val="Calibri"/>
        <b/>
        <color rgb="FF1155CC"/>
        <sz val="11.0"/>
        <u/>
      </rPr>
      <t>CPQ11-ARCH-ARCH-DATA-R22.nwd</t>
    </r>
  </si>
  <si>
    <t>Feb 4, 2025 2:38 PM</t>
  </si>
  <si>
    <r>
      <rPr>
        <rFont val="Calibri"/>
        <b/>
        <color rgb="FF1155CC"/>
        <sz val="11.0"/>
        <u/>
      </rPr>
      <t>01-WORK IN PROGRESS/BIM/MODELS/DELEGATED DESIGN R22/ARCH/OBSOLET</t>
    </r>
  </si>
  <si>
    <r>
      <rPr>
        <rFont val="Calibri"/>
        <b/>
        <color rgb="FF1155CC"/>
        <sz val="11.0"/>
        <u/>
      </rPr>
      <t>CPQ11-ARCH-ARCH-SITE-R22.nwd</t>
    </r>
  </si>
  <si>
    <t>142.2 MB</t>
  </si>
  <si>
    <r>
      <rPr>
        <rFont val="Calibri"/>
        <b/>
        <color rgb="FF1155CC"/>
        <sz val="11.0"/>
        <u/>
      </rPr>
      <t>01-WORK IN PROGRESS/BIM/MODELS/DELEGATED DESIGN R22/ARCH/OBSOLET</t>
    </r>
  </si>
  <si>
    <r>
      <rPr>
        <rFont val="Calibri"/>
        <b/>
        <color rgb="FF1155CC"/>
        <sz val="11.0"/>
        <u/>
      </rPr>
      <t>CPQ11-ARCH-PART-CL030405-R22.rvt</t>
    </r>
  </si>
  <si>
    <t>Revit 2022</t>
  </si>
  <si>
    <t>88.3 MB</t>
  </si>
  <si>
    <t>Feb 4, 2025 10:40 AM</t>
  </si>
  <si>
    <r>
      <rPr>
        <rFont val="Calibri"/>
        <b/>
        <color rgb="FF1155CC"/>
        <sz val="11.0"/>
        <u/>
      </rPr>
      <t>01-WORK IN PROGRESS/BIM/MODELS/DELEGATED DESIGN R22/ARCH/OBSOLET</t>
    </r>
  </si>
  <si>
    <r>
      <rPr>
        <rFont val="Calibri"/>
        <b/>
        <color rgb="FF1155CC"/>
        <sz val="11.0"/>
        <u/>
      </rPr>
      <t>CPQ11-ARCH-PART-CORE-R22.rvt</t>
    </r>
  </si>
  <si>
    <t>267.6 MB</t>
  </si>
  <si>
    <r>
      <rPr>
        <rFont val="Calibri"/>
        <b/>
        <color rgb="FF1155CC"/>
        <sz val="11.0"/>
        <u/>
      </rPr>
      <t>01-WORK IN PROGRESS/BIM/MODELS/DELEGATED DESIGN R22/ARCH/OBSOLET</t>
    </r>
  </si>
  <si>
    <r>
      <rPr>
        <rFont val="Calibri"/>
        <b/>
        <color rgb="FF1155CC"/>
        <sz val="11.0"/>
        <u/>
      </rPr>
      <t>CPQ11-ARCH-R23.rvt</t>
    </r>
  </si>
  <si>
    <t>253.6 MB</t>
  </si>
  <si>
    <t>Feb 4, 2025 10:41 AM</t>
  </si>
  <si>
    <r>
      <rPr>
        <rFont val="Calibri"/>
        <b/>
        <color rgb="FF1155CC"/>
        <sz val="11.0"/>
        <u/>
      </rPr>
      <t>01-WORK IN PROGRESS/BIM/MODELS/DELEGATED DESIGN R22/ARCH/OBSOLET</t>
    </r>
  </si>
  <si>
    <r>
      <rPr>
        <rFont val="Calibri"/>
        <b/>
        <color rgb="FF1155CC"/>
        <sz val="11.0"/>
        <u/>
      </rPr>
      <t>CPQ11-ARCH-ROOF-CORE-R22.nwc</t>
    </r>
  </si>
  <si>
    <t>13 MB</t>
  </si>
  <si>
    <t>Feb 4, 2025 10:39 AM</t>
  </si>
  <si>
    <r>
      <rPr>
        <rFont val="Calibri"/>
        <b/>
        <color rgb="FF1155CC"/>
        <sz val="11.0"/>
        <u/>
      </rPr>
      <t>01-WORK IN PROGRESS/BIM/MODELS/DELEGATED DESIGN R22/ARCH/OBSOLET</t>
    </r>
  </si>
  <si>
    <r>
      <rPr>
        <rFont val="Calibri"/>
        <b/>
        <color rgb="FF1155CC"/>
        <sz val="11.0"/>
        <u/>
      </rPr>
      <t>CPQ11-ARCH-ROOF-CORE-R22.rvt</t>
    </r>
  </si>
  <si>
    <t>19.3 MB</t>
  </si>
  <si>
    <r>
      <rPr>
        <rFont val="Calibri"/>
        <b/>
        <color rgb="FF1155CC"/>
        <sz val="11.0"/>
        <u/>
      </rPr>
      <t>01-WORK IN PROGRESS/BIM/MODELS/DELEGATED DESIGN R22/ARCH/OBSOLET</t>
    </r>
  </si>
  <si>
    <r>
      <rPr>
        <rFont val="Calibri"/>
        <b/>
        <color rgb="FF1155CC"/>
        <sz val="11.0"/>
        <u/>
      </rPr>
      <t>CPQ11-ARCH-SITE-R23.rvt</t>
    </r>
  </si>
  <si>
    <t>247 MB</t>
  </si>
  <si>
    <r>
      <rPr>
        <rFont val="Calibri"/>
        <b/>
        <color rgb="FF1155CC"/>
        <sz val="11.0"/>
        <u/>
      </rPr>
      <t>01-WORK IN PROGRESS/BIM/MODELS/DELEGATED DESIGN R22/ARCH/OBSOLET</t>
    </r>
  </si>
  <si>
    <r>
      <rPr>
        <rFont val="Calibri"/>
        <b/>
        <color rgb="FF1155CC"/>
        <sz val="11.0"/>
        <u/>
      </rPr>
      <t>CPQ11-RAC-ARCH-FACD-OMTR-R22.rvt</t>
    </r>
  </si>
  <si>
    <t>102.9 MB</t>
  </si>
  <si>
    <r>
      <rPr>
        <rFont val="Calibri"/>
        <b/>
        <color rgb="FF1155CC"/>
        <sz val="11.0"/>
        <u/>
      </rPr>
      <t>01-WORK IN PROGRESS/BIM/MODELS/DELEGATED DESIGN R22/ARCH</t>
    </r>
  </si>
  <si>
    <r>
      <rPr>
        <rFont val="Calibri"/>
        <b/>
        <color rgb="FF1155CC"/>
        <sz val="11.0"/>
        <u/>
      </rPr>
      <t>CPQ11-ARCH-ARCH-DATA-R22.rvt</t>
    </r>
  </si>
  <si>
    <t>226.6 MB</t>
  </si>
  <si>
    <t>Apr 13, 2026 6:05 PM</t>
  </si>
  <si>
    <r>
      <rPr>
        <rFont val="Calibri"/>
        <b/>
        <color rgb="FF1155CC"/>
        <sz val="11.0"/>
        <u/>
      </rPr>
      <t>01-WORK IN PROGRESS/BIM/MODELS/DELEGATED DESIGN R22/ARCH</t>
    </r>
  </si>
  <si>
    <r>
      <rPr>
        <rFont val="Calibri"/>
        <b/>
        <color rgb="FF1155CC"/>
        <sz val="11.0"/>
        <u/>
      </rPr>
      <t>CPQ11-ARCH-ARCH-SITE-R22.rvt</t>
    </r>
  </si>
  <si>
    <t>74.1 MB</t>
  </si>
  <si>
    <t>Apr 17, 2026 4:46 PM</t>
  </si>
  <si>
    <r>
      <rPr>
        <rFont val="Calibri"/>
        <b/>
        <color rgb="FF1155CC"/>
        <sz val="11.0"/>
        <u/>
      </rPr>
      <t>01-WORK IN PROGRESS/BIM/MODELS/DELEGATED DESIGN R22/ARCH</t>
    </r>
  </si>
  <si>
    <r>
      <rPr>
        <rFont val="Calibri"/>
        <b/>
        <color rgb="FF1155CC"/>
        <sz val="11.0"/>
        <u/>
      </rPr>
      <t>CPQ11-ARCH-BLPR-GUAR-R22.rvt</t>
    </r>
  </si>
  <si>
    <t>38.2 MB</t>
  </si>
  <si>
    <r>
      <rPr>
        <rFont val="Calibri"/>
        <b/>
        <color rgb="FF1155CC"/>
        <sz val="11.0"/>
        <u/>
      </rPr>
      <t>01-WORK IN PROGRESS/BIM/MODELS/DELEGATED DESIGN R22/ARCH</t>
    </r>
  </si>
  <si>
    <r>
      <rPr>
        <rFont val="Calibri"/>
        <b/>
        <color rgb="FF1155CC"/>
        <sz val="11.0"/>
        <u/>
      </rPr>
      <t>CPQ11-ARCH-CEIL-DATA-R22.rvt</t>
    </r>
  </si>
  <si>
    <t>168.5 MB</t>
  </si>
  <si>
    <t>Apr 29, 2026 7:10 AM</t>
  </si>
  <si>
    <r>
      <rPr>
        <rFont val="Calibri"/>
        <b/>
        <color rgb="FF1155CC"/>
        <sz val="11.0"/>
        <u/>
      </rPr>
      <t>01-WORK IN PROGRESS/BIM/MODELS/DELEGATED DESIGN R22/ARCH</t>
    </r>
  </si>
  <si>
    <r>
      <rPr>
        <rFont val="Calibri"/>
        <b/>
        <color rgb="FF1155CC"/>
        <sz val="11.0"/>
        <u/>
      </rPr>
      <t>CPQ11-ARCH-CEIL-SITE-R22.rvt</t>
    </r>
  </si>
  <si>
    <t>Apr 29, 2026 6:54 AM</t>
  </si>
  <si>
    <r>
      <rPr>
        <rFont val="Calibri"/>
        <b/>
        <color rgb="FF1155CC"/>
        <sz val="11.0"/>
        <u/>
      </rPr>
      <t>01-WORK IN PROGRESS/BIM/MODELS/DELEGATED DESIGN R22/ARCH</t>
    </r>
  </si>
  <si>
    <r>
      <rPr>
        <rFont val="Calibri"/>
        <b/>
        <color rgb="FF1155CC"/>
        <sz val="11.0"/>
        <u/>
      </rPr>
      <t>CPQ11-ARCH-CHAI-SITE-R22.rvt</t>
    </r>
  </si>
  <si>
    <t>9.9 MB</t>
  </si>
  <si>
    <t>Apr 6, 2026 10:44 AM</t>
  </si>
  <si>
    <r>
      <rPr>
        <rFont val="Calibri"/>
        <b/>
        <color rgb="FF1155CC"/>
        <sz val="11.0"/>
        <u/>
      </rPr>
      <t>01-WORK IN PROGRESS/BIM/MODELS/DELEGATED DESIGN R22/ARCH</t>
    </r>
  </si>
  <si>
    <r>
      <rPr>
        <rFont val="Calibri"/>
        <b/>
        <color rgb="FF1155CC"/>
        <sz val="11.0"/>
        <u/>
      </rPr>
      <t>CPQ11-ARCH-FACD-DATA-R22.rvt</t>
    </r>
  </si>
  <si>
    <t>V25</t>
  </si>
  <si>
    <t>128.4 MB</t>
  </si>
  <si>
    <t>May 6, 2026 5:41 PM</t>
  </si>
  <si>
    <r>
      <rPr>
        <rFont val="Calibri"/>
        <b/>
        <color rgb="FF1155CC"/>
        <sz val="11.0"/>
        <u/>
      </rPr>
      <t>01-WORK IN PROGRESS/BIM/MODELS/DELEGATED DESIGN R22/ARCH</t>
    </r>
  </si>
  <si>
    <r>
      <rPr>
        <rFont val="Calibri"/>
        <b/>
        <color rgb="FF1155CC"/>
        <sz val="11.0"/>
        <u/>
      </rPr>
      <t>CPQ11-ARCH-HM90-DATA-R22.rvt</t>
    </r>
  </si>
  <si>
    <t>25 MB</t>
  </si>
  <si>
    <r>
      <rPr>
        <rFont val="Calibri"/>
        <b/>
        <color rgb="FF1155CC"/>
        <sz val="11.0"/>
        <u/>
      </rPr>
      <t>01-WORK IN PROGRESS/BIM/MODELS/DELEGATED DESIGN R22/ARCH</t>
    </r>
  </si>
  <si>
    <r>
      <rPr>
        <rFont val="Calibri"/>
        <b/>
        <color rgb="FF1155CC"/>
        <sz val="11.0"/>
        <u/>
      </rPr>
      <t>CPQ11-ARCH-HMET-DATA-R22.rvt</t>
    </r>
  </si>
  <si>
    <t>3 unresolved issues</t>
  </si>
  <si>
    <t>72.6 MB</t>
  </si>
  <si>
    <t>Apr 8, 2026 8:06 AM</t>
  </si>
  <si>
    <r>
      <rPr>
        <rFont val="Calibri"/>
        <b/>
        <color rgb="FF1155CC"/>
        <sz val="11.0"/>
        <u/>
      </rPr>
      <t>01-WORK IN PROGRESS/BIM/MODELS/DELEGATED DESIGN R22/ARCH</t>
    </r>
  </si>
  <si>
    <r>
      <rPr>
        <rFont val="Calibri"/>
        <b/>
        <color rgb="FF1155CC"/>
        <sz val="11.0"/>
        <u/>
      </rPr>
      <t>CPQ11-ARCH-HMET-SITE-R22.rvt</t>
    </r>
  </si>
  <si>
    <t>25.2 MB</t>
  </si>
  <si>
    <t>Apr 10, 2026 8:28 AM</t>
  </si>
  <si>
    <r>
      <rPr>
        <rFont val="Calibri"/>
        <b/>
        <color rgb="FF1155CC"/>
        <sz val="11.0"/>
        <u/>
      </rPr>
      <t>01-WORK IN PROGRESS/BIM/MODELS/DELEGATED DESIGN R22/ARCH</t>
    </r>
  </si>
  <si>
    <r>
      <rPr>
        <rFont val="Calibri"/>
        <b/>
        <color rgb="FF1155CC"/>
        <sz val="11.0"/>
        <u/>
      </rPr>
      <t>CPQ11-ARCH-METL-SITE-R22.rvt</t>
    </r>
  </si>
  <si>
    <t>35.6 MB</t>
  </si>
  <si>
    <t>May 5, 2026 11:11 AM</t>
  </si>
  <si>
    <r>
      <rPr>
        <rFont val="Calibri"/>
        <b/>
        <color rgb="FF1155CC"/>
        <sz val="11.0"/>
        <u/>
      </rPr>
      <t>01-WORK IN PROGRESS/BIM/MODELS/DELEGATED DESIGN R22/ARCH</t>
    </r>
  </si>
  <si>
    <r>
      <rPr>
        <rFont val="Calibri"/>
        <b/>
        <color rgb="FF1155CC"/>
        <sz val="11.0"/>
        <u/>
      </rPr>
      <t>CPQ11-ARCH-OHCD-DATA-R22.rvt</t>
    </r>
  </si>
  <si>
    <t>11 MB</t>
  </si>
  <si>
    <t>Apr 10, 2026 8:59 AM</t>
  </si>
  <si>
    <r>
      <rPr>
        <rFont val="Calibri"/>
        <b/>
        <color rgb="FF1155CC"/>
        <sz val="11.0"/>
        <u/>
      </rPr>
      <t>01-WORK IN PROGRESS/BIM/MODELS/DELEGATED DESIGN R22/ARCH</t>
    </r>
  </si>
  <si>
    <r>
      <rPr>
        <rFont val="Calibri"/>
        <b/>
        <color rgb="FF1155CC"/>
        <sz val="11.0"/>
        <u/>
      </rPr>
      <t>CPQ11-ARCH-PART-C12A-R22.rvt</t>
    </r>
  </si>
  <si>
    <t>112.4 MB</t>
  </si>
  <si>
    <t>Apr 7, 2026 10:17 PM</t>
  </si>
  <si>
    <r>
      <rPr>
        <rFont val="Calibri"/>
        <b/>
        <color rgb="FF1155CC"/>
        <sz val="11.0"/>
        <u/>
      </rPr>
      <t>01-WORK IN PROGRESS/BIM/MODELS/DELEGATED DESIGN R22/ARCH</t>
    </r>
  </si>
  <si>
    <r>
      <rPr>
        <rFont val="Calibri"/>
        <b/>
        <color rgb="FF1155CC"/>
        <sz val="11.0"/>
        <u/>
      </rPr>
      <t>CPQ11-ARCH-PART-C345-R22.rvt</t>
    </r>
  </si>
  <si>
    <t>105.8 MB</t>
  </si>
  <si>
    <r>
      <rPr>
        <rFont val="Calibri"/>
        <b/>
        <color rgb="FF1155CC"/>
        <sz val="11.0"/>
        <u/>
      </rPr>
      <t>01-WORK IN PROGRESS/BIM/MODELS/DELEGATED DESIGN R22/ARCH</t>
    </r>
  </si>
  <si>
    <r>
      <rPr>
        <rFont val="Calibri"/>
        <b/>
        <color rgb="FF1155CC"/>
        <sz val="11.0"/>
        <u/>
      </rPr>
      <t>CPQ11-ARCH-PART-SITE-R22.rvt</t>
    </r>
  </si>
  <si>
    <t>24.9 MB</t>
  </si>
  <si>
    <r>
      <rPr>
        <rFont val="Calibri"/>
        <b/>
        <color rgb="FF1155CC"/>
        <sz val="11.0"/>
        <u/>
      </rPr>
      <t>01-WORK IN PROGRESS/BIM/MODELS/DELEGATED DESIGN R22/ARCH</t>
    </r>
  </si>
  <si>
    <r>
      <rPr>
        <rFont val="Calibri"/>
        <b/>
        <color rgb="FF1155CC"/>
        <sz val="11.0"/>
        <u/>
      </rPr>
      <t>CPQ11-ARCH-ROOF-DATA-R22.rvt</t>
    </r>
  </si>
  <si>
    <t>20.9 MB</t>
  </si>
  <si>
    <r>
      <rPr>
        <rFont val="Calibri"/>
        <b/>
        <color rgb="FF1155CC"/>
        <sz val="11.0"/>
        <u/>
      </rPr>
      <t>01-WORK IN PROGRESS/BIM/MODELS/DELEGATED DESIGN R22/ARCH</t>
    </r>
  </si>
  <si>
    <r>
      <rPr>
        <rFont val="Calibri"/>
        <b/>
        <color rgb="FF1155CC"/>
        <sz val="11.0"/>
        <u/>
      </rPr>
      <t>CPQ11-ARCH-SHLV-DATA-R22.rvt</t>
    </r>
  </si>
  <si>
    <t>Feb 28, 2026 8:25 PM</t>
  </si>
  <si>
    <r>
      <rPr>
        <rFont val="Calibri"/>
        <b/>
        <color rgb="FF1155CC"/>
        <sz val="11.0"/>
        <u/>
      </rPr>
      <t>01-WORK IN PROGRESS/BIM/MODELS/DELEGATED DESIGN R22/ARCH</t>
    </r>
  </si>
  <si>
    <r>
      <rPr>
        <rFont val="Calibri"/>
        <b/>
        <color rgb="FF1155CC"/>
        <sz val="11.0"/>
        <u/>
      </rPr>
      <t>CPQ11-ARCH-STON-SITE-R23.ifc</t>
    </r>
  </si>
  <si>
    <t>3.3 MB</t>
  </si>
  <si>
    <t>May 11, 2026 12:33 PM</t>
  </si>
  <si>
    <r>
      <rPr>
        <rFont val="Calibri"/>
        <b/>
        <color rgb="FF1155CC"/>
        <sz val="11.0"/>
        <u/>
      </rPr>
      <t>01-WORK IN PROGRESS/BIM/MODELS/DELEGATED DESIGN R22/ARCH</t>
    </r>
  </si>
  <si>
    <r>
      <rPr>
        <rFont val="Calibri"/>
        <b/>
        <color rgb="FF1155CC"/>
        <sz val="11.0"/>
        <u/>
      </rPr>
      <t>CPQ11-ARCH-STON-SITE-R23.rvt</t>
    </r>
  </si>
  <si>
    <t>Revit 2023</t>
  </si>
  <si>
    <t>9.7 MB</t>
  </si>
  <si>
    <r>
      <rPr>
        <rFont val="Calibri"/>
        <b/>
        <color rgb="FF1155CC"/>
        <sz val="11.0"/>
        <u/>
      </rPr>
      <t>01-WORK IN PROGRESS/BIM/MODELS/DELEGATED DESIGN R22/ARCH</t>
    </r>
  </si>
  <si>
    <r>
      <rPr>
        <rFont val="Calibri"/>
        <b/>
        <color rgb="FF1155CC"/>
        <sz val="11.0"/>
        <u/>
      </rPr>
      <t>CPQ11-ARCH-WMES-DATA-R22.rvt</t>
    </r>
  </si>
  <si>
    <t>14.9 MB</t>
  </si>
  <si>
    <r>
      <rPr>
        <rFont val="Calibri"/>
        <b/>
        <color rgb="FF1155CC"/>
        <sz val="11.0"/>
        <u/>
      </rPr>
      <t>01-WORK IN PROGRESS/BIM/MODELS/DELEGATED DESIGN R22/CIVIL/NWC</t>
    </r>
  </si>
  <si>
    <r>
      <rPr>
        <rFont val="Calibri"/>
        <b/>
        <color rgb="FF1155CC"/>
        <sz val="11.0"/>
        <u/>
      </rPr>
      <t>CPQ11-CIVL-DRNG-SITE-R22.nwc</t>
    </r>
  </si>
  <si>
    <t>12 MB</t>
  </si>
  <si>
    <t>May 6, 2026 8:32 AM</t>
  </si>
  <si>
    <r>
      <rPr>
        <rFont val="Calibri"/>
        <b/>
        <color rgb="FF1155CC"/>
        <sz val="11.0"/>
        <u/>
      </rPr>
      <t>01-WORK IN PROGRESS/BIM/MODELS/DELEGATED DESIGN R22/CIVIL/NWC</t>
    </r>
  </si>
  <si>
    <r>
      <rPr>
        <rFont val="Calibri"/>
        <b/>
        <color rgb="FF1155CC"/>
        <sz val="11.0"/>
        <u/>
      </rPr>
      <t>CPQ11-CIVL-ERTH-SITE-R22.nwc</t>
    </r>
  </si>
  <si>
    <t>1.4 MB</t>
  </si>
  <si>
    <t>Apr 8, 2026 1:22 PM</t>
  </si>
  <si>
    <r>
      <rPr>
        <rFont val="Calibri"/>
        <b/>
        <color rgb="FF1155CC"/>
        <sz val="11.0"/>
        <u/>
      </rPr>
      <t>01-WORK IN PROGRESS/BIM/MODELS/DELEGATED DESIGN R22/CIVIL/NWC</t>
    </r>
  </si>
  <si>
    <r>
      <rPr>
        <rFont val="Calibri"/>
        <b/>
        <color rgb="FF1155CC"/>
        <sz val="11.0"/>
        <u/>
      </rPr>
      <t>CPQ11-CIVL-LOCK-SITE-R22.nwc</t>
    </r>
  </si>
  <si>
    <t>188.4 MB</t>
  </si>
  <si>
    <r>
      <rPr>
        <rFont val="Calibri"/>
        <b/>
        <color rgb="FF1155CC"/>
        <sz val="11.0"/>
        <u/>
      </rPr>
      <t>01-WORK IN PROGRESS/BIM/MODELS/DELEGATED DESIGN R22/CIVIL/NWC</t>
    </r>
  </si>
  <si>
    <r>
      <rPr>
        <rFont val="Calibri"/>
        <b/>
        <color rgb="FF1155CC"/>
        <sz val="11.0"/>
        <u/>
      </rPr>
      <t>CPQ11-CIVL-PAVM-SITE-R22.nwc</t>
    </r>
  </si>
  <si>
    <t>14.4 MB</t>
  </si>
  <si>
    <t>Apr 30, 2026 9:16 AM</t>
  </si>
  <si>
    <r>
      <rPr>
        <rFont val="Calibri"/>
        <b/>
        <color rgb="FF1155CC"/>
        <sz val="11.0"/>
        <u/>
      </rPr>
      <t>01-WORK IN PROGRESS/BIM/MODELS/DELEGATED DESIGN R22/CIVIL</t>
    </r>
  </si>
  <si>
    <r>
      <rPr>
        <rFont val="Calibri"/>
        <b/>
        <color rgb="FF1155CC"/>
        <sz val="11.0"/>
        <u/>
      </rPr>
      <t>CPQ11-CIVL-DRNG-SITE-R22.rvt</t>
    </r>
  </si>
  <si>
    <t>82.7 MB</t>
  </si>
  <si>
    <t>May 6, 2026 8:34 AM</t>
  </si>
  <si>
    <r>
      <rPr>
        <rFont val="Calibri"/>
        <b/>
        <color rgb="FF1155CC"/>
        <sz val="11.0"/>
        <u/>
      </rPr>
      <t>01-WORK IN PROGRESS/BIM/MODELS/DELEGATED DESIGN R22/CIVIL</t>
    </r>
  </si>
  <si>
    <r>
      <rPr>
        <rFont val="Calibri"/>
        <b/>
        <color rgb="FF1155CC"/>
        <sz val="11.0"/>
        <u/>
      </rPr>
      <t>CPQ11-CIVL-ERTH-SITE-R22.rvt</t>
    </r>
  </si>
  <si>
    <t>17.4 MB</t>
  </si>
  <si>
    <t>Apr 8, 2026 1:25 PM</t>
  </si>
  <si>
    <r>
      <rPr>
        <rFont val="Calibri"/>
        <b/>
        <color rgb="FF1155CC"/>
        <sz val="11.0"/>
        <u/>
      </rPr>
      <t>01-WORK IN PROGRESS/BIM/MODELS/DELEGATED DESIGN R22/CIVIL</t>
    </r>
  </si>
  <si>
    <r>
      <rPr>
        <rFont val="Calibri"/>
        <b/>
        <color rgb="FF1155CC"/>
        <sz val="11.0"/>
        <u/>
      </rPr>
      <t>CPQ11-CIVL-LOCK-SITE-R22.rvt</t>
    </r>
  </si>
  <si>
    <t>327.2 MB</t>
  </si>
  <si>
    <r>
      <rPr>
        <rFont val="Calibri"/>
        <b/>
        <color rgb="FF1155CC"/>
        <sz val="11.0"/>
        <u/>
      </rPr>
      <t>01-WORK IN PROGRESS/BIM/MODELS/DELEGATED DESIGN R22/CIVIL</t>
    </r>
  </si>
  <si>
    <r>
      <rPr>
        <rFont val="Calibri"/>
        <b/>
        <color rgb="FF1155CC"/>
        <sz val="11.0"/>
        <u/>
      </rPr>
      <t>CPQ11-CIVL-PAVM-SITE-R22.rvt</t>
    </r>
  </si>
  <si>
    <t>49.5 MB</t>
  </si>
  <si>
    <r>
      <rPr>
        <rFont val="Calibri"/>
        <b/>
        <color rgb="FF1155CC"/>
        <sz val="11.0"/>
        <u/>
      </rPr>
      <t>01-WORK IN PROGRESS/BIM/MODELS/DELEGATED DESIGN R22/MECH/NWC</t>
    </r>
  </si>
  <si>
    <r>
      <rPr>
        <rFont val="Calibri"/>
        <b/>
        <color rgb="FF1155CC"/>
        <sz val="11.0"/>
        <u/>
      </rPr>
      <t>CPQ11-MECH-MECH-DATA-R22.nwc</t>
    </r>
  </si>
  <si>
    <t>V50</t>
  </si>
  <si>
    <t>28.5 MB</t>
  </si>
  <si>
    <t>Apr 17, 2026 3:28 PM</t>
  </si>
  <si>
    <r>
      <rPr>
        <rFont val="Calibri"/>
        <b/>
        <color rgb="FF1155CC"/>
        <sz val="11.0"/>
        <u/>
      </rPr>
      <t>01-WORK IN PROGRESS/BIM/MODELS/DELEGATED DESIGN R22/MECH/NWC</t>
    </r>
  </si>
  <si>
    <r>
      <rPr>
        <rFont val="Calibri"/>
        <b/>
        <color rgb="FF1155CC"/>
        <sz val="11.0"/>
        <u/>
      </rPr>
      <t>CPQ11-MECH-MECH-GUAR-R22.nwc</t>
    </r>
  </si>
  <si>
    <t>1.2 MB</t>
  </si>
  <si>
    <t>Apr 16, 2026 9:16 AM</t>
  </si>
  <si>
    <r>
      <rPr>
        <rFont val="Calibri"/>
        <b/>
        <color rgb="FF1155CC"/>
        <sz val="11.0"/>
        <u/>
      </rPr>
      <t>01-WORK IN PROGRESS/BIM/MODELS/DELEGATED DESIGN R22/MECH/NWC</t>
    </r>
  </si>
  <si>
    <r>
      <rPr>
        <rFont val="Calibri"/>
        <b/>
        <color rgb="FF1155CC"/>
        <sz val="11.0"/>
        <u/>
      </rPr>
      <t>CPQ11-PLMB-METK-UTLS-R22.nwc</t>
    </r>
  </si>
  <si>
    <t>Feb 26, 2026 5:40 PM</t>
  </si>
  <si>
    <r>
      <rPr>
        <rFont val="Calibri"/>
        <b/>
        <color rgb="FF1155CC"/>
        <sz val="11.0"/>
        <u/>
      </rPr>
      <t>01-WORK IN PROGRESS/BIM/MODELS/DELEGATED DESIGN R22/MECH/NWC</t>
    </r>
  </si>
  <si>
    <r>
      <rPr>
        <rFont val="Calibri"/>
        <b/>
        <color rgb="FF1155CC"/>
        <sz val="11.0"/>
        <u/>
      </rPr>
      <t>CPQ11-PLMB-NPWT-DATA-R22.nwc</t>
    </r>
  </si>
  <si>
    <t>12.9 MB</t>
  </si>
  <si>
    <t>Apr 30, 2026 5:21 PM</t>
  </si>
  <si>
    <r>
      <rPr>
        <rFont val="Calibri"/>
        <b/>
        <color rgb="FF1155CC"/>
        <sz val="11.0"/>
        <u/>
      </rPr>
      <t>01-WORK IN PROGRESS/BIM/MODELS/DELEGATED DESIGN R22/MECH/NWC</t>
    </r>
  </si>
  <si>
    <r>
      <rPr>
        <rFont val="Calibri"/>
        <b/>
        <color rgb="FF1155CC"/>
        <sz val="11.0"/>
        <u/>
      </rPr>
      <t>CPQ11-PLMB-NPWT-SITE-R22.nwc</t>
    </r>
  </si>
  <si>
    <t>V41</t>
  </si>
  <si>
    <t>Apr 24, 2026 2:44 PM</t>
  </si>
  <si>
    <r>
      <rPr>
        <rFont val="Calibri"/>
        <b/>
        <color rgb="FF1155CC"/>
        <sz val="11.0"/>
        <u/>
      </rPr>
      <t>01-WORK IN PROGRESS/BIM/MODELS/DELEGATED DESIGN R22/MECH/OBSOLET</t>
    </r>
  </si>
  <si>
    <r>
      <rPr>
        <rFont val="Calibri"/>
        <b/>
        <color rgb="FF1155CC"/>
        <sz val="11.0"/>
        <u/>
      </rPr>
      <t>CPQ11-MECH-GENL-R22.nwc</t>
    </r>
  </si>
  <si>
    <t>Dec 17, 2024 6:31 PM</t>
  </si>
  <si>
    <r>
      <rPr>
        <rFont val="Calibri"/>
        <b/>
        <color rgb="FF1155CC"/>
        <sz val="11.0"/>
        <u/>
      </rPr>
      <t>01-WORK IN PROGRESS/BIM/MODELS/DELEGATED DESIGN R22/MECH/OBSOLET</t>
    </r>
  </si>
  <si>
    <r>
      <rPr>
        <rFont val="Calibri"/>
        <b/>
        <color rgb="FF1155CC"/>
        <sz val="11.0"/>
        <u/>
      </rPr>
      <t>CPQ11-MECH-GENL-R22.rvt</t>
    </r>
  </si>
  <si>
    <t>135.5 MB</t>
  </si>
  <si>
    <r>
      <rPr>
        <rFont val="Calibri"/>
        <b/>
        <color rgb="FF1155CC"/>
        <sz val="11.0"/>
        <u/>
      </rPr>
      <t>01-WORK IN PROGRESS/BIM/MODELS/DELEGATED DESIGN R22/MECH/OBSOLET</t>
    </r>
  </si>
  <si>
    <r>
      <rPr>
        <rFont val="Calibri"/>
        <b/>
        <color rgb="FF1155CC"/>
        <sz val="11.0"/>
        <u/>
      </rPr>
      <t>CPQ11-MECH-MECH-DATA-R22.nwc</t>
    </r>
  </si>
  <si>
    <t>30.5 MB</t>
  </si>
  <si>
    <t>Apr 16, 2025 6:20 PM</t>
  </si>
  <si>
    <r>
      <rPr>
        <rFont val="Calibri"/>
        <b/>
        <color rgb="FF1155CC"/>
        <sz val="11.0"/>
        <u/>
      </rPr>
      <t>01-WORK IN PROGRESS/BIM/MODELS/DELEGATED DESIGN R22/MECH/OBSOLET</t>
    </r>
  </si>
  <si>
    <r>
      <rPr>
        <rFont val="Calibri"/>
        <b/>
        <color rgb="FF1155CC"/>
        <sz val="11.0"/>
        <u/>
      </rPr>
      <t>CPQ11-MECH-MECH-GUAR-R22.nwc</t>
    </r>
  </si>
  <si>
    <t>Apr 16, 2025 6:17 PM</t>
  </si>
  <si>
    <r>
      <rPr>
        <rFont val="Calibri"/>
        <b/>
        <color rgb="FF1155CC"/>
        <sz val="11.0"/>
        <u/>
      </rPr>
      <t>01-WORK IN PROGRESS/BIM/MODELS/DELEGATED DESIGN R22/MECH/OBSOLET</t>
    </r>
  </si>
  <si>
    <r>
      <rPr>
        <rFont val="Calibri"/>
        <b/>
        <color rgb="FF1155CC"/>
        <sz val="11.0"/>
        <u/>
      </rPr>
      <t>CPQ11-PLMB-GENL-R22.nwc</t>
    </r>
  </si>
  <si>
    <t>6.1 MB</t>
  </si>
  <si>
    <t>Dec 19, 2024 10:08 AM</t>
  </si>
  <si>
    <r>
      <rPr>
        <rFont val="Calibri"/>
        <b/>
        <color rgb="FF1155CC"/>
        <sz val="11.0"/>
        <u/>
      </rPr>
      <t>01-WORK IN PROGRESS/BIM/MODELS/DELEGATED DESIGN R22/MECH/OBSOLET</t>
    </r>
  </si>
  <si>
    <r>
      <rPr>
        <rFont val="Calibri"/>
        <b/>
        <color rgb="FF1155CC"/>
        <sz val="11.0"/>
        <u/>
      </rPr>
      <t>CPQ11-PLMB-GENL-R22.rvt</t>
    </r>
  </si>
  <si>
    <t>105.6 MB</t>
  </si>
  <si>
    <t>Dec 19, 2024 10:07 AM</t>
  </si>
  <si>
    <r>
      <rPr>
        <rFont val="Calibri"/>
        <b/>
        <color rgb="FF1155CC"/>
        <sz val="11.0"/>
        <u/>
      </rPr>
      <t>01-WORK IN PROGRESS/BIM/MODELS/DELEGATED DESIGN R22/MECH/OBSOLET</t>
    </r>
  </si>
  <si>
    <r>
      <rPr>
        <rFont val="Calibri"/>
        <b/>
        <color rgb="FF1155CC"/>
        <sz val="11.0"/>
        <u/>
      </rPr>
      <t>CPQ11-PLMB-METK-UTLS-R22.nwc</t>
    </r>
  </si>
  <si>
    <r>
      <rPr>
        <rFont val="Calibri"/>
        <b/>
        <color rgb="FF1155CC"/>
        <sz val="11.0"/>
        <u/>
      </rPr>
      <t>01-WORK IN PROGRESS/BIM/MODELS/DELEGATED DESIGN R22/MECH/OBSOLET</t>
    </r>
  </si>
  <si>
    <r>
      <rPr>
        <rFont val="Calibri"/>
        <b/>
        <color rgb="FF1155CC"/>
        <sz val="11.0"/>
        <u/>
      </rPr>
      <t>CPQ11-PLMB-NPWT-DATA-R22.nwc</t>
    </r>
  </si>
  <si>
    <t>10.8 MB</t>
  </si>
  <si>
    <r>
      <rPr>
        <rFont val="Calibri"/>
        <b/>
        <color rgb="FF1155CC"/>
        <sz val="11.0"/>
        <u/>
      </rPr>
      <t>01-WORK IN PROGRESS/BIM/MODELS/DELEGATED DESIGN R22/MECH/OBSOLET</t>
    </r>
  </si>
  <si>
    <r>
      <rPr>
        <rFont val="Calibri"/>
        <b/>
        <color rgb="FF1155CC"/>
        <sz val="11.0"/>
        <u/>
      </rPr>
      <t>CPQ11-PLMB-NPWT-SITE-R22.nwc</t>
    </r>
  </si>
  <si>
    <r>
      <rPr>
        <rFont val="Calibri"/>
        <b/>
        <color rgb="FF1155CC"/>
        <sz val="11.0"/>
        <u/>
      </rPr>
      <t>01-WORK IN PROGRESS/BIM/MODELS/DELEGATED DESIGN R22/MECH/OBSOLET</t>
    </r>
  </si>
  <si>
    <r>
      <rPr>
        <rFont val="Calibri"/>
        <b/>
        <color rgb="FF1155CC"/>
        <sz val="11.0"/>
        <u/>
      </rPr>
      <t>CPQ11-PLMB-SITE-R22.nwc</t>
    </r>
  </si>
  <si>
    <t>Dec 18, 2024 10:34 AM</t>
  </si>
  <si>
    <r>
      <rPr>
        <rFont val="Calibri"/>
        <b/>
        <color rgb="FF1155CC"/>
        <sz val="11.0"/>
        <u/>
      </rPr>
      <t>01-WORK IN PROGRESS/BIM/MODELS/DELEGATED DESIGN R22/MECH/OBSOLET</t>
    </r>
  </si>
  <si>
    <r>
      <rPr>
        <rFont val="Calibri"/>
        <b/>
        <color rgb="FF1155CC"/>
        <sz val="11.0"/>
        <u/>
      </rPr>
      <t>CPQ11-PLMB-SITE-R22.rvt</t>
    </r>
  </si>
  <si>
    <t>100.7 MB</t>
  </si>
  <si>
    <r>
      <rPr>
        <rFont val="Calibri"/>
        <b/>
        <color rgb="FF1155CC"/>
        <sz val="11.0"/>
        <u/>
      </rPr>
      <t>01-WORK IN PROGRESS/BIM/MODELS/DELEGATED DESIGN R22/MECH</t>
    </r>
  </si>
  <si>
    <r>
      <rPr>
        <rFont val="Calibri"/>
        <b/>
        <color rgb="FF1155CC"/>
        <sz val="11.0"/>
        <u/>
      </rPr>
      <t>CPQ11-MECH-MECH-DATA-R22.rvt</t>
    </r>
  </si>
  <si>
    <t>168.9 MB</t>
  </si>
  <si>
    <t>Apr 17, 2026 3:44 PM</t>
  </si>
  <si>
    <r>
      <rPr>
        <rFont val="Calibri"/>
        <b/>
        <color rgb="FF1155CC"/>
        <sz val="11.0"/>
        <u/>
      </rPr>
      <t>01-WORK IN PROGRESS/BIM/MODELS/DELEGATED DESIGN R22/MECH</t>
    </r>
  </si>
  <si>
    <r>
      <rPr>
        <rFont val="Calibri"/>
        <b/>
        <color rgb="FF1155CC"/>
        <sz val="11.0"/>
        <u/>
      </rPr>
      <t>CPQ11-MECH-MECH-GUAR-R22.rvt</t>
    </r>
  </si>
  <si>
    <t>118.5 MB</t>
  </si>
  <si>
    <t>Apr 16, 2026 9:15 AM</t>
  </si>
  <si>
    <r>
      <rPr>
        <rFont val="Calibri"/>
        <b/>
        <color rgb="FF1155CC"/>
        <sz val="11.0"/>
        <u/>
      </rPr>
      <t>01-WORK IN PROGRESS/BIM/MODELS/DELEGATED DESIGN R22/MECH</t>
    </r>
  </si>
  <si>
    <r>
      <rPr>
        <rFont val="Calibri"/>
        <b/>
        <color rgb="FF1155CC"/>
        <sz val="11.0"/>
        <u/>
      </rPr>
      <t>CPQ11-PLMB-METK-UTLS-R22.rvt</t>
    </r>
  </si>
  <si>
    <t>60.5 MB</t>
  </si>
  <si>
    <t>Feb 26, 2026 5:41 PM</t>
  </si>
  <si>
    <r>
      <rPr>
        <rFont val="Calibri"/>
        <b/>
        <color rgb="FF1155CC"/>
        <sz val="11.0"/>
        <u/>
      </rPr>
      <t>01-WORK IN PROGRESS/BIM/MODELS/DELEGATED DESIGN R22/MECH</t>
    </r>
  </si>
  <si>
    <r>
      <rPr>
        <rFont val="Calibri"/>
        <b/>
        <color rgb="FF1155CC"/>
        <sz val="11.0"/>
        <u/>
      </rPr>
      <t>CPQ11-PLMB-NPWT-DATA-R22.rvt</t>
    </r>
  </si>
  <si>
    <t>157.3 MB</t>
  </si>
  <si>
    <t>Apr 30, 2026 5:57 PM</t>
  </si>
  <si>
    <r>
      <rPr>
        <rFont val="Calibri"/>
        <b/>
        <color rgb="FF1155CC"/>
        <sz val="11.0"/>
        <u/>
      </rPr>
      <t>01-WORK IN PROGRESS/BIM/MODELS/DELEGATED DESIGN R22/MECH</t>
    </r>
  </si>
  <si>
    <r>
      <rPr>
        <rFont val="Calibri"/>
        <b/>
        <color rgb="FF1155CC"/>
        <sz val="11.0"/>
        <u/>
      </rPr>
      <t>CPQ11-PLMB-NPWT-SITE-R22.rvt</t>
    </r>
  </si>
  <si>
    <t>V46</t>
  </si>
  <si>
    <t>123 MB</t>
  </si>
  <si>
    <t>Apr 24, 2026 2:45 PM</t>
  </si>
  <si>
    <r>
      <rPr>
        <rFont val="Calibri"/>
        <b/>
        <color rgb="FF1155CC"/>
        <sz val="11.0"/>
        <u/>
      </rPr>
      <t>01-WORK IN PROGRESS/BIM/MODELS/DELEGATED DESIGN R22/MEP/NWC</t>
    </r>
  </si>
  <si>
    <r>
      <rPr>
        <rFont val="Calibri"/>
        <b/>
        <color rgb="FF1155CC"/>
        <sz val="11.0"/>
        <u/>
      </rPr>
      <t>CPQ11-BASM-DEVS-DATA-R22.nwc</t>
    </r>
  </si>
  <si>
    <t>May 5, 2026 4:01 PM</t>
  </si>
  <si>
    <r>
      <rPr>
        <rFont val="Calibri"/>
        <b/>
        <color rgb="FF1155CC"/>
        <sz val="11.0"/>
        <u/>
      </rPr>
      <t>01-WORK IN PROGRESS/BIM/MODELS/DELEGATED DESIGN R22/MEP/NWC</t>
    </r>
  </si>
  <si>
    <r>
      <rPr>
        <rFont val="Calibri"/>
        <b/>
        <color rgb="FF1155CC"/>
        <sz val="11.0"/>
        <u/>
      </rPr>
      <t>CPQ11-BASM-DEVS-PUMP-R22.nwc</t>
    </r>
  </si>
  <si>
    <t>827.9 KB</t>
  </si>
  <si>
    <t>Feb 3, 2026 4:35 PM</t>
  </si>
  <si>
    <r>
      <rPr>
        <rFont val="Calibri"/>
        <b/>
        <color rgb="FF1155CC"/>
        <sz val="11.0"/>
        <u/>
      </rPr>
      <t>01-WORK IN PROGRESS/BIM/MODELS/DELEGATED DESIGN R22/MEP/NWC</t>
    </r>
  </si>
  <si>
    <r>
      <rPr>
        <rFont val="Calibri"/>
        <b/>
        <color rgb="FF1155CC"/>
        <sz val="11.0"/>
        <u/>
      </rPr>
      <t>CPQ11-BASM-INFR-DATA-R22.nwc</t>
    </r>
  </si>
  <si>
    <t>41.6 MB</t>
  </si>
  <si>
    <r>
      <rPr>
        <rFont val="Calibri"/>
        <b/>
        <color rgb="FF1155CC"/>
        <sz val="11.0"/>
        <u/>
      </rPr>
      <t>01-WORK IN PROGRESS/BIM/MODELS/DELEGATED DESIGN R22/MEP/NWC</t>
    </r>
  </si>
  <si>
    <r>
      <rPr>
        <rFont val="Calibri"/>
        <b/>
        <color rgb="FF1155CC"/>
        <sz val="11.0"/>
        <u/>
      </rPr>
      <t>CPQ11-BASM-INFR-PUMP-R22.nwc</t>
    </r>
  </si>
  <si>
    <t>Apr 24, 2026 11:18 AM</t>
  </si>
  <si>
    <r>
      <rPr>
        <rFont val="Calibri"/>
        <b/>
        <color rgb="FF1155CC"/>
        <sz val="11.0"/>
        <u/>
      </rPr>
      <t>01-WORK IN PROGRESS/BIM/MODELS/DELEGATED DESIGN R22/MEP/NWC</t>
    </r>
  </si>
  <si>
    <r>
      <rPr>
        <rFont val="Calibri"/>
        <b/>
        <color rgb="FF1155CC"/>
        <sz val="11.0"/>
        <u/>
      </rPr>
      <t>CPQ11-DALI-DEVS-DATA-R22.nwc</t>
    </r>
  </si>
  <si>
    <t>Apr 15, 2026 5:53 PM</t>
  </si>
  <si>
    <r>
      <rPr>
        <rFont val="Calibri"/>
        <b/>
        <color rgb="FF1155CC"/>
        <sz val="11.0"/>
        <u/>
      </rPr>
      <t>01-WORK IN PROGRESS/BIM/MODELS/DELEGATED DESIGN R22/MEP/NWC</t>
    </r>
  </si>
  <si>
    <r>
      <rPr>
        <rFont val="Calibri"/>
        <b/>
        <color rgb="FF1155CC"/>
        <sz val="11.0"/>
        <u/>
      </rPr>
      <t>CPQ11-DASM-DEVS-DATA-R22.nwc</t>
    </r>
  </si>
  <si>
    <t>Apr 27, 2026 6:14 PM</t>
  </si>
  <si>
    <r>
      <rPr>
        <rFont val="Calibri"/>
        <b/>
        <color rgb="FF1155CC"/>
        <sz val="11.0"/>
        <u/>
      </rPr>
      <t>01-WORK IN PROGRESS/BIM/MODELS/DELEGATED DESIGN R22/MEP/NWC</t>
    </r>
  </si>
  <si>
    <r>
      <rPr>
        <rFont val="Calibri"/>
        <b/>
        <color rgb="FF1155CC"/>
        <sz val="11.0"/>
        <u/>
      </rPr>
      <t>CPQ11-ELEC-ELEC-DATA-R22.nwc</t>
    </r>
  </si>
  <si>
    <t>194.9 MB</t>
  </si>
  <si>
    <t>Apr 13, 2026 4:58 PM</t>
  </si>
  <si>
    <r>
      <rPr>
        <rFont val="Calibri"/>
        <b/>
        <color rgb="FF1155CC"/>
        <sz val="11.0"/>
        <u/>
      </rPr>
      <t>01-WORK IN PROGRESS/BIM/MODELS/DELEGATED DESIGN R22/MEP/NWC</t>
    </r>
  </si>
  <si>
    <r>
      <rPr>
        <rFont val="Calibri"/>
        <b/>
        <color rgb="FF1155CC"/>
        <sz val="11.0"/>
        <u/>
      </rPr>
      <t>CPQ11-ELEC-ELEC-SITE-R22.nwc</t>
    </r>
  </si>
  <si>
    <t>168.4 MB</t>
  </si>
  <si>
    <t>Dec 23, 2025 12:43 PM</t>
  </si>
  <si>
    <r>
      <rPr>
        <rFont val="Calibri"/>
        <b/>
        <color rgb="FF1155CC"/>
        <sz val="11.0"/>
        <u/>
      </rPr>
      <t>01-WORK IN PROGRESS/BIM/MODELS/DELEGATED DESIGN R22/MEP/NWC</t>
    </r>
  </si>
  <si>
    <r>
      <rPr>
        <rFont val="Calibri"/>
        <b/>
        <color rgb="FF1155CC"/>
        <sz val="11.0"/>
        <u/>
      </rPr>
      <t>CPQ11-ELEC-SPDA-DATA-R22.nwc</t>
    </r>
  </si>
  <si>
    <t>May 12, 2026 9:35 AM</t>
  </si>
  <si>
    <r>
      <rPr>
        <rFont val="Calibri"/>
        <b/>
        <color rgb="FF1155CC"/>
        <sz val="11.0"/>
        <u/>
      </rPr>
      <t>01-WORK IN PROGRESS/BIM/MODELS/DELEGATED DESIGN R22/MEP/NWC</t>
    </r>
  </si>
  <si>
    <r>
      <rPr>
        <rFont val="Calibri"/>
        <b/>
        <color rgb="FF1155CC"/>
        <sz val="11.0"/>
        <u/>
      </rPr>
      <t>CPQ11-ELEC-SPDA-SITE-R22.nwc</t>
    </r>
  </si>
  <si>
    <t>Dec 8, 2025 12:09 PM</t>
  </si>
  <si>
    <r>
      <rPr>
        <rFont val="Calibri"/>
        <b/>
        <color rgb="FF1155CC"/>
        <sz val="11.0"/>
        <u/>
      </rPr>
      <t>01-WORK IN PROGRESS/BIM/MODELS/DELEGATED DESIGN R22/MEP/NWC</t>
    </r>
  </si>
  <si>
    <r>
      <rPr>
        <rFont val="Calibri"/>
        <b/>
        <color rgb="FF1155CC"/>
        <sz val="11.0"/>
        <u/>
      </rPr>
      <t>CPQ11-EPMS-DEVS-DATA-R22.nwc</t>
    </r>
  </si>
  <si>
    <t>84.4 KB</t>
  </si>
  <si>
    <t>Apr 27, 2026 10:44 PM</t>
  </si>
  <si>
    <r>
      <rPr>
        <rFont val="Calibri"/>
        <b/>
        <color rgb="FF1155CC"/>
        <sz val="11.0"/>
        <u/>
      </rPr>
      <t>01-WORK IN PROGRESS/BIM/MODELS/DELEGATED DESIGN R22/MEP/NWC</t>
    </r>
  </si>
  <si>
    <r>
      <rPr>
        <rFont val="Calibri"/>
        <b/>
        <color rgb="FF1155CC"/>
        <sz val="11.0"/>
        <u/>
      </rPr>
      <t>CPQ11-EPMS-DEVS-SITE-R22.nwc</t>
    </r>
  </si>
  <si>
    <t>84.2 KB</t>
  </si>
  <si>
    <t>Feb 3, 2026 4:34 PM</t>
  </si>
  <si>
    <r>
      <rPr>
        <rFont val="Calibri"/>
        <b/>
        <color rgb="FF1155CC"/>
        <sz val="11.0"/>
        <u/>
      </rPr>
      <t>01-WORK IN PROGRESS/BIM/MODELS/DELEGATED DESIGN R22/MEP/NWC</t>
    </r>
  </si>
  <si>
    <r>
      <rPr>
        <rFont val="Calibri"/>
        <b/>
        <color rgb="FF1155CC"/>
        <sz val="11.0"/>
        <u/>
      </rPr>
      <t>CPQ11-FALM-FALM-DATA-R22.nwc</t>
    </r>
  </si>
  <si>
    <t>45.6 MB</t>
  </si>
  <si>
    <r>
      <rPr>
        <rFont val="Calibri"/>
        <b/>
        <color rgb="FF1155CC"/>
        <sz val="11.0"/>
        <u/>
      </rPr>
      <t>01-WORK IN PROGRESS/BIM/MODELS/DELEGATED DESIGN R22/MEP/NWC</t>
    </r>
  </si>
  <si>
    <r>
      <rPr>
        <rFont val="Calibri"/>
        <b/>
        <color rgb="FF1155CC"/>
        <sz val="11.0"/>
        <u/>
      </rPr>
      <t>CPQ11-FALM-FALM-SITE-R22.nwc</t>
    </r>
  </si>
  <si>
    <t>7.2 MB</t>
  </si>
  <si>
    <t>May 8, 2026 8:49 AM</t>
  </si>
  <si>
    <r>
      <rPr>
        <rFont val="Calibri"/>
        <b/>
        <color rgb="FF1155CC"/>
        <sz val="11.0"/>
        <u/>
      </rPr>
      <t>01-WORK IN PROGRESS/BIM/MODELS/DELEGATED DESIGN R22/MEP/NWC</t>
    </r>
  </si>
  <si>
    <r>
      <rPr>
        <rFont val="Calibri"/>
        <b/>
        <color rgb="FF1155CC"/>
        <sz val="11.0"/>
        <u/>
      </rPr>
      <t>CPQ11-FPRT-FPRT-DATA-R22.nwc</t>
    </r>
  </si>
  <si>
    <t>119 MB</t>
  </si>
  <si>
    <t>May 14, 2026 10:42 AM</t>
  </si>
  <si>
    <r>
      <rPr>
        <rFont val="Calibri"/>
        <b/>
        <color rgb="FF1155CC"/>
        <sz val="11.0"/>
        <u/>
      </rPr>
      <t>01-WORK IN PROGRESS/BIM/MODELS/DELEGATED DESIGN R22/MEP/NWC</t>
    </r>
  </si>
  <si>
    <r>
      <rPr>
        <rFont val="Calibri"/>
        <b/>
        <color rgb="FF1155CC"/>
        <sz val="11.0"/>
        <u/>
      </rPr>
      <t>CPQ11-FPRT-FPRT-SITE-R22.nwc</t>
    </r>
  </si>
  <si>
    <t>19.7 MB</t>
  </si>
  <si>
    <r>
      <rPr>
        <rFont val="Calibri"/>
        <b/>
        <color rgb="FF1155CC"/>
        <sz val="11.0"/>
        <u/>
      </rPr>
      <t>01-WORK IN PROGRESS/BIM/MODELS/DELEGATED DESIGN R22/MEP/NWC</t>
    </r>
  </si>
  <si>
    <r>
      <rPr>
        <rFont val="Calibri"/>
        <b/>
        <color rgb="FF1155CC"/>
        <sz val="11.0"/>
        <u/>
      </rPr>
      <t>CPQ11-FPRT-METK-UTLS-R22.nwc</t>
    </r>
  </si>
  <si>
    <r>
      <rPr>
        <rFont val="Calibri"/>
        <b/>
        <color rgb="FF1155CC"/>
        <sz val="11.0"/>
        <u/>
      </rPr>
      <t>01-WORK IN PROGRESS/BIM/MODELS/DELEGATED DESIGN R22/MEP/NWC</t>
    </r>
  </si>
  <si>
    <r>
      <rPr>
        <rFont val="Calibri"/>
        <b/>
        <color rgb="FF1155CC"/>
        <sz val="11.0"/>
        <u/>
      </rPr>
      <t>CPQ11-PLMB-DIES-SITE-R22.nwc</t>
    </r>
  </si>
  <si>
    <r>
      <rPr>
        <rFont val="Calibri"/>
        <b/>
        <color rgb="FF1155CC"/>
        <sz val="11.0"/>
        <u/>
      </rPr>
      <t>01-WORK IN PROGRESS/BIM/MODELS/DELEGATED DESIGN R22/MEP/NWC</t>
    </r>
  </si>
  <si>
    <r>
      <rPr>
        <rFont val="Calibri"/>
        <b/>
        <color rgb="FF1155CC"/>
        <sz val="11.0"/>
        <u/>
      </rPr>
      <t>CPQ11-PLMB-PLMB-DATA-R22.nwc</t>
    </r>
  </si>
  <si>
    <t>31 MB</t>
  </si>
  <si>
    <r>
      <rPr>
        <rFont val="Calibri"/>
        <b/>
        <color rgb="FF1155CC"/>
        <sz val="11.0"/>
        <u/>
      </rPr>
      <t>01-WORK IN PROGRESS/BIM/MODELS/DELEGATED DESIGN R22/MEP/NWC</t>
    </r>
  </si>
  <si>
    <r>
      <rPr>
        <rFont val="Calibri"/>
        <b/>
        <color rgb="FF1155CC"/>
        <sz val="11.0"/>
        <u/>
      </rPr>
      <t>CPQ11-PLMB-PLMB-SITE-R22.nwc</t>
    </r>
  </si>
  <si>
    <t>34.2 MB</t>
  </si>
  <si>
    <t>Apr 8, 2026 10:56 AM</t>
  </si>
  <si>
    <r>
      <rPr>
        <rFont val="Calibri"/>
        <b/>
        <color rgb="FF1155CC"/>
        <sz val="11.0"/>
        <u/>
      </rPr>
      <t>01-WORK IN PROGRESS/BIM/MODELS/DELEGATED DESIGN R22/MEP/NWC</t>
    </r>
  </si>
  <si>
    <r>
      <rPr>
        <rFont val="Calibri"/>
        <b/>
        <color rgb="FF1155CC"/>
        <sz val="11.0"/>
        <u/>
      </rPr>
      <t>CPQ11-ROIP-DEVS-DATA-R22.nwc</t>
    </r>
  </si>
  <si>
    <t>V36</t>
  </si>
  <si>
    <t>May 8, 2026 3:07 PM</t>
  </si>
  <si>
    <r>
      <rPr>
        <rFont val="Calibri"/>
        <b/>
        <color rgb="FF1155CC"/>
        <sz val="11.0"/>
        <u/>
      </rPr>
      <t>01-WORK IN PROGRESS/BIM/MODELS/DELEGATED DESIGN R22/MEP/NWC</t>
    </r>
  </si>
  <si>
    <r>
      <rPr>
        <rFont val="Calibri"/>
        <b/>
        <color rgb="FF1155CC"/>
        <sz val="11.0"/>
        <u/>
      </rPr>
      <t>CPQ11-ROIP-DEVS-GUAR-R22.nwc</t>
    </r>
  </si>
  <si>
    <t>May 13, 2026 3:04 PM</t>
  </si>
  <si>
    <r>
      <rPr>
        <rFont val="Calibri"/>
        <b/>
        <color rgb="FF1155CC"/>
        <sz val="11.0"/>
        <u/>
      </rPr>
      <t>01-WORK IN PROGRESS/BIM/MODELS/DELEGATED DESIGN R22/MEP/NWC</t>
    </r>
  </si>
  <si>
    <r>
      <rPr>
        <rFont val="Calibri"/>
        <b/>
        <color rgb="FF1155CC"/>
        <sz val="11.0"/>
        <u/>
      </rPr>
      <t>CPQ11-SCTY-DEVS-DATA-R22.nwc</t>
    </r>
  </si>
  <si>
    <t>V45</t>
  </si>
  <si>
    <t>4.8 MB</t>
  </si>
  <si>
    <t>May 6, 2026 9:07 AM</t>
  </si>
  <si>
    <r>
      <rPr>
        <rFont val="Calibri"/>
        <b/>
        <color rgb="FF1155CC"/>
        <sz val="11.0"/>
        <u/>
      </rPr>
      <t>01-WORK IN PROGRESS/BIM/MODELS/DELEGATED DESIGN R22/MEP/NWC</t>
    </r>
  </si>
  <si>
    <r>
      <rPr>
        <rFont val="Calibri"/>
        <b/>
        <color rgb="FF1155CC"/>
        <sz val="11.0"/>
        <u/>
      </rPr>
      <t>CPQ11-SCTY-DEVS-SITE-R22.nwc</t>
    </r>
  </si>
  <si>
    <t>4.1 MB</t>
  </si>
  <si>
    <t>Apr 10, 2026 4:37 PM</t>
  </si>
  <si>
    <r>
      <rPr>
        <rFont val="Calibri"/>
        <b/>
        <color rgb="FF1155CC"/>
        <sz val="11.0"/>
        <u/>
      </rPr>
      <t>01-WORK IN PROGRESS/BIM/MODELS/DELEGATED DESIGN R22/MEP/NWC</t>
    </r>
  </si>
  <si>
    <r>
      <rPr>
        <rFont val="Calibri"/>
        <b/>
        <color rgb="FF1155CC"/>
        <sz val="11.0"/>
        <u/>
      </rPr>
      <t>CPQ11-SCTY-GATE-SITE-R24.nwc</t>
    </r>
  </si>
  <si>
    <t>May 7, 2026 5:21 PM</t>
  </si>
  <si>
    <r>
      <rPr>
        <rFont val="Calibri"/>
        <b/>
        <color rgb="FF1155CC"/>
        <sz val="11.0"/>
        <u/>
      </rPr>
      <t>01-WORK IN PROGRESS/BIM/MODELS/DELEGATED DESIGN R22/MEP/NWC</t>
    </r>
  </si>
  <si>
    <r>
      <rPr>
        <rFont val="Calibri"/>
        <b/>
        <color rgb="FF1155CC"/>
        <sz val="11.0"/>
        <u/>
      </rPr>
      <t>CPQ11-SCTY-INFR-DATA-R22.nwc</t>
    </r>
  </si>
  <si>
    <r>
      <rPr>
        <rFont val="Calibri"/>
        <b/>
        <color rgb="FF1155CC"/>
        <sz val="11.0"/>
        <u/>
      </rPr>
      <t>01-WORK IN PROGRESS/BIM/MODELS/DELEGATED DESIGN R22/MEP/NWC</t>
    </r>
  </si>
  <si>
    <r>
      <rPr>
        <rFont val="Calibri"/>
        <b/>
        <color rgb="FF1155CC"/>
        <sz val="11.0"/>
        <u/>
      </rPr>
      <t>CPQ11-SCTY-INFR-SITE-R22.nwc</t>
    </r>
  </si>
  <si>
    <t>883.5 KB</t>
  </si>
  <si>
    <t>May 5, 2026 10:22 AM</t>
  </si>
  <si>
    <r>
      <rPr>
        <rFont val="Calibri"/>
        <b/>
        <color rgb="FF1155CC"/>
        <sz val="11.0"/>
        <u/>
      </rPr>
      <t>01-WORK IN PROGRESS/BIM/MODELS/DELEGATED DESIGN R22/MEP/NWC</t>
    </r>
  </si>
  <si>
    <r>
      <rPr>
        <rFont val="Calibri"/>
        <b/>
        <color rgb="FF1155CC"/>
        <sz val="11.0"/>
        <u/>
      </rPr>
      <t>CPQ11-SYST-INFR-DATA-R22.nwc</t>
    </r>
  </si>
  <si>
    <t>63.5 MB</t>
  </si>
  <si>
    <t>Apr 10, 2026 4:17 PM</t>
  </si>
  <si>
    <r>
      <rPr>
        <rFont val="Calibri"/>
        <b/>
        <color rgb="FF1155CC"/>
        <sz val="11.0"/>
        <u/>
      </rPr>
      <t>01-WORK IN PROGRESS/BIM/MODELS/DELEGATED DESIGN R22/MEP/NWC</t>
    </r>
  </si>
  <si>
    <r>
      <rPr>
        <rFont val="Calibri"/>
        <b/>
        <color rgb="FF1155CC"/>
        <sz val="11.0"/>
        <u/>
      </rPr>
      <t>CPQ11-SYST-INFR-SITE-R22.nwc</t>
    </r>
  </si>
  <si>
    <t>166.6 MB</t>
  </si>
  <si>
    <t>May 12, 2026 9:50 AM</t>
  </si>
  <si>
    <r>
      <rPr>
        <rFont val="Calibri"/>
        <b/>
        <color rgb="FF1155CC"/>
        <sz val="11.0"/>
        <u/>
      </rPr>
      <t>01-WORK IN PROGRESS/BIM/MODELS/DELEGATED DESIGN R22/MEP/NWC</t>
    </r>
  </si>
  <si>
    <r>
      <rPr>
        <rFont val="Calibri"/>
        <b/>
        <color rgb="FF1155CC"/>
        <sz val="11.0"/>
        <u/>
      </rPr>
      <t>CPQ11-TCOM-DEVS-DATA-R22.nwc</t>
    </r>
  </si>
  <si>
    <t>6.5 MB</t>
  </si>
  <si>
    <r>
      <rPr>
        <rFont val="Calibri"/>
        <b/>
        <color rgb="FF1155CC"/>
        <sz val="11.0"/>
        <u/>
      </rPr>
      <t>01-WORK IN PROGRESS/BIM/MODELS/DELEGATED DESIGN R22/MEP/NWC</t>
    </r>
  </si>
  <si>
    <r>
      <rPr>
        <rFont val="Calibri"/>
        <b/>
        <color rgb="FF1155CC"/>
        <sz val="11.0"/>
        <u/>
      </rPr>
      <t>CPQ11-TCOM-DEVS-SITE-R22.nwc</t>
    </r>
  </si>
  <si>
    <t>221.9 KB</t>
  </si>
  <si>
    <t>Apr 29, 2026 4:50 PM</t>
  </si>
  <si>
    <r>
      <rPr>
        <rFont val="Calibri"/>
        <b/>
        <color rgb="FF1155CC"/>
        <sz val="11.0"/>
        <u/>
      </rPr>
      <t>01-WORK IN PROGRESS/BIM/MODELS/DELEGATED DESIGN R22/MEP/OBSOLET</t>
    </r>
  </si>
  <si>
    <r>
      <rPr>
        <rFont val="Calibri"/>
        <b/>
        <color rgb="FF1155CC"/>
        <sz val="11.0"/>
        <u/>
      </rPr>
      <t>CPQ11-BAS-R22.rvt</t>
    </r>
  </si>
  <si>
    <t>119.8 MB</t>
  </si>
  <si>
    <t>Dec 13, 2024 2:45 PM</t>
  </si>
  <si>
    <r>
      <rPr>
        <rFont val="Calibri"/>
        <b/>
        <color rgb="FF1155CC"/>
        <sz val="11.0"/>
        <u/>
      </rPr>
      <t>01-WORK IN PROGRESS/BIM/MODELS/DELEGATED DESIGN R22/MEP/OBSOLET</t>
    </r>
  </si>
  <si>
    <r>
      <rPr>
        <rFont val="Calibri"/>
        <b/>
        <color rgb="FF1155CC"/>
        <sz val="11.0"/>
        <u/>
      </rPr>
      <t>CPQ11-ELEC-R22.nwc</t>
    </r>
  </si>
  <si>
    <t>125.5 MB</t>
  </si>
  <si>
    <t>Dec 18, 2024 10:36 AM</t>
  </si>
  <si>
    <r>
      <rPr>
        <rFont val="Calibri"/>
        <b/>
        <color rgb="FF1155CC"/>
        <sz val="11.0"/>
        <u/>
      </rPr>
      <t>01-WORK IN PROGRESS/BIM/MODELS/DELEGATED DESIGN R22/MEP/OBSOLET</t>
    </r>
  </si>
  <si>
    <r>
      <rPr>
        <rFont val="Calibri"/>
        <b/>
        <color rgb="FF1155CC"/>
        <sz val="11.0"/>
        <u/>
      </rPr>
      <t>CPQ11-ELEC-R22.rvt</t>
    </r>
  </si>
  <si>
    <t>360 MB</t>
  </si>
  <si>
    <r>
      <rPr>
        <rFont val="Calibri"/>
        <b/>
        <color rgb="FF1155CC"/>
        <sz val="11.0"/>
        <u/>
      </rPr>
      <t>01-WORK IN PROGRESS/BIM/MODELS/DELEGATED DESIGN R22/MEP/OBSOLET</t>
    </r>
  </si>
  <si>
    <r>
      <rPr>
        <rFont val="Calibri"/>
        <b/>
        <color rgb="FF1155CC"/>
        <sz val="11.0"/>
        <u/>
      </rPr>
      <t>CPQ11-ELEC-SITE-R22.nwc</t>
    </r>
  </si>
  <si>
    <t>155.7 MB</t>
  </si>
  <si>
    <r>
      <rPr>
        <rFont val="Calibri"/>
        <b/>
        <color rgb="FF1155CC"/>
        <sz val="11.0"/>
        <u/>
      </rPr>
      <t>01-WORK IN PROGRESS/BIM/MODELS/DELEGATED DESIGN R22/MEP/OBSOLET</t>
    </r>
  </si>
  <si>
    <r>
      <rPr>
        <rFont val="Calibri"/>
        <b/>
        <color rgb="FF1155CC"/>
        <sz val="11.0"/>
        <u/>
      </rPr>
      <t>CPQ11-ELEC-SITE-R22.rvt</t>
    </r>
  </si>
  <si>
    <t>52.1 MB</t>
  </si>
  <si>
    <r>
      <rPr>
        <rFont val="Calibri"/>
        <b/>
        <color rgb="FF1155CC"/>
        <sz val="11.0"/>
        <u/>
      </rPr>
      <t>01-WORK IN PROGRESS/BIM/MODELS/DELEGATED DESIGN R22/MEP/OBSOLET</t>
    </r>
  </si>
  <si>
    <r>
      <rPr>
        <rFont val="Calibri"/>
        <b/>
        <color rgb="FF1155CC"/>
        <sz val="11.0"/>
        <u/>
      </rPr>
      <t>CPQ11-FALM-R22.rvt</t>
    </r>
  </si>
  <si>
    <t>32.6 MB</t>
  </si>
  <si>
    <r>
      <rPr>
        <rFont val="Calibri"/>
        <b/>
        <color rgb="FF1155CC"/>
        <sz val="11.0"/>
        <u/>
      </rPr>
      <t>01-WORK IN PROGRESS/BIM/MODELS/DELEGATED DESIGN R22/MEP/OBSOLET</t>
    </r>
  </si>
  <si>
    <r>
      <rPr>
        <rFont val="Calibri"/>
        <b/>
        <color rgb="FF1155CC"/>
        <sz val="11.0"/>
        <u/>
      </rPr>
      <t>CPQ11-FPRT-R22.rvt</t>
    </r>
  </si>
  <si>
    <t>197.6 MB</t>
  </si>
  <si>
    <t>Dec 19, 2024 11:31 AM</t>
  </si>
  <si>
    <r>
      <rPr>
        <rFont val="Calibri"/>
        <b/>
        <color rgb="FF1155CC"/>
        <sz val="11.0"/>
        <u/>
      </rPr>
      <t>01-WORK IN PROGRESS/BIM/MODELS/DELEGATED DESIGN R22/MEP/OBSOLET</t>
    </r>
  </si>
  <si>
    <r>
      <rPr>
        <rFont val="Calibri"/>
        <b/>
        <color rgb="FF1155CC"/>
        <sz val="11.0"/>
        <u/>
      </rPr>
      <t>CPQ11-FPRT-SITE-R22.rvt</t>
    </r>
  </si>
  <si>
    <t>68.3 MB</t>
  </si>
  <si>
    <t>Dec 19, 2024 11:32 AM</t>
  </si>
  <si>
    <r>
      <rPr>
        <rFont val="Calibri"/>
        <b/>
        <color rgb="FF1155CC"/>
        <sz val="11.0"/>
        <u/>
      </rPr>
      <t>01-WORK IN PROGRESS/BIM/MODELS/DELEGATED DESIGN R22/MEP/OBSOLET</t>
    </r>
  </si>
  <si>
    <r>
      <rPr>
        <rFont val="Calibri"/>
        <b/>
        <color rgb="FF1155CC"/>
        <sz val="11.0"/>
        <u/>
      </rPr>
      <t>CPQ11-FRPT-METK-UTLS-R22.nwc</t>
    </r>
  </si>
  <si>
    <r>
      <rPr>
        <rFont val="Calibri"/>
        <b/>
        <color rgb="FF1155CC"/>
        <sz val="11.0"/>
        <u/>
      </rPr>
      <t>01-WORK IN PROGRESS/BIM/MODELS/DELEGATED DESIGN R22/MEP/OBSOLET</t>
    </r>
  </si>
  <si>
    <r>
      <rPr>
        <rFont val="Calibri"/>
        <b/>
        <color rgb="FF1155CC"/>
        <sz val="11.0"/>
        <u/>
      </rPr>
      <t>CPQ11-FRPT-METK-UTLS-R22.rvt</t>
    </r>
  </si>
  <si>
    <t>8.4 MB</t>
  </si>
  <si>
    <r>
      <rPr>
        <rFont val="Calibri"/>
        <b/>
        <color rgb="FF1155CC"/>
        <sz val="11.0"/>
        <u/>
      </rPr>
      <t>01-WORK IN PROGRESS/BIM/MODELS/DELEGATED DESIGN R22/MEP/OBSOLET</t>
    </r>
  </si>
  <si>
    <r>
      <rPr>
        <rFont val="Calibri"/>
        <b/>
        <color rgb="FF1155CC"/>
        <sz val="11.0"/>
        <u/>
      </rPr>
      <t>CPQ11-FRPT-METK-UTLS_-R22.rvt</t>
    </r>
  </si>
  <si>
    <r>
      <rPr>
        <rFont val="Calibri"/>
        <b/>
        <color rgb="FF1155CC"/>
        <sz val="11.0"/>
        <u/>
      </rPr>
      <t>01-WORK IN PROGRESS/BIM/MODELS/DELEGATED DESIGN R22/MEP/OBSOLET</t>
    </r>
  </si>
  <si>
    <r>
      <rPr>
        <rFont val="Calibri"/>
        <b/>
        <color rgb="FF1155CC"/>
        <sz val="11.0"/>
        <u/>
      </rPr>
      <t>CPQ11-PLMB-R22.rvt</t>
    </r>
  </si>
  <si>
    <t>148.6 MB</t>
  </si>
  <si>
    <t>Dec 19, 2024 10:09 AM</t>
  </si>
  <si>
    <r>
      <rPr>
        <rFont val="Calibri"/>
        <b/>
        <color rgb="FF1155CC"/>
        <sz val="11.0"/>
        <u/>
      </rPr>
      <t>01-WORK IN PROGRESS/BIM/MODELS/DELEGATED DESIGN R22/MEP/OBSOLET</t>
    </r>
  </si>
  <si>
    <r>
      <rPr>
        <rFont val="Calibri"/>
        <b/>
        <color rgb="FF1155CC"/>
        <sz val="11.0"/>
        <u/>
      </rPr>
      <t>CPQ11-PLMB-SITE-R22.nwc</t>
    </r>
  </si>
  <si>
    <t>37.7 MB</t>
  </si>
  <si>
    <t>Dec 19, 2024 10:10 AM</t>
  </si>
  <si>
    <r>
      <rPr>
        <rFont val="Calibri"/>
        <b/>
        <color rgb="FF1155CC"/>
        <sz val="11.0"/>
        <u/>
      </rPr>
      <t>01-WORK IN PROGRESS/BIM/MODELS/DELEGATED DESIGN R22/MEP/OBSOLET</t>
    </r>
  </si>
  <si>
    <r>
      <rPr>
        <rFont val="Calibri"/>
        <b/>
        <color rgb="FF1155CC"/>
        <sz val="11.0"/>
        <u/>
      </rPr>
      <t>CPQ11-PLMB-SITE-R22.rvt</t>
    </r>
  </si>
  <si>
    <t>105.4 MB</t>
  </si>
  <si>
    <r>
      <rPr>
        <rFont val="Calibri"/>
        <b/>
        <color rgb="FF1155CC"/>
        <sz val="11.0"/>
        <u/>
      </rPr>
      <t>01-WORK IN PROGRESS/BIM/MODELS/DELEGATED DESIGN R22/MEP/OBSOLET</t>
    </r>
  </si>
  <si>
    <r>
      <rPr>
        <rFont val="Calibri"/>
        <b/>
        <color rgb="FF1155CC"/>
        <sz val="11.0"/>
        <u/>
      </rPr>
      <t>CPQ11-SCTY-R22.nwc</t>
    </r>
  </si>
  <si>
    <t>29.6 MB</t>
  </si>
  <si>
    <r>
      <rPr>
        <rFont val="Calibri"/>
        <b/>
        <color rgb="FF1155CC"/>
        <sz val="11.0"/>
        <u/>
      </rPr>
      <t>01-WORK IN PROGRESS/BIM/MODELS/DELEGATED DESIGN R22/MEP/OBSOLET</t>
    </r>
  </si>
  <si>
    <r>
      <rPr>
        <rFont val="Calibri"/>
        <b/>
        <color rgb="FF1155CC"/>
        <sz val="11.0"/>
        <u/>
      </rPr>
      <t>CPQ11-SCTY-R22.rvt</t>
    </r>
  </si>
  <si>
    <r>
      <rPr>
        <rFont val="Calibri"/>
        <b/>
        <color rgb="FF1155CC"/>
        <sz val="11.0"/>
        <u/>
      </rPr>
      <t>01-WORK IN PROGRESS/BIM/MODELS/DELEGATED DESIGN R22/MEP/OBSOLET</t>
    </r>
  </si>
  <si>
    <r>
      <rPr>
        <rFont val="Calibri"/>
        <b/>
        <color rgb="FF1155CC"/>
        <sz val="11.0"/>
        <u/>
      </rPr>
      <t>CPQ11-SECURITY-SITE-R22.ifc</t>
    </r>
  </si>
  <si>
    <t>66.7 MB</t>
  </si>
  <si>
    <t>May 13, 2026 3:35 PM</t>
  </si>
  <si>
    <r>
      <rPr>
        <rFont val="Calibri"/>
        <b/>
        <color rgb="FF1155CC"/>
        <sz val="11.0"/>
        <u/>
      </rPr>
      <t>01-WORK IN PROGRESS/BIM/MODELS/DELEGATED DESIGN R22/MEP/OBSOLET</t>
    </r>
  </si>
  <si>
    <r>
      <rPr>
        <rFont val="Calibri"/>
        <b/>
        <color rgb="FF1155CC"/>
        <sz val="11.0"/>
        <u/>
      </rPr>
      <t>CPQ11-SECURITY-SITE-R22.rvt</t>
    </r>
  </si>
  <si>
    <t>48.3 MB</t>
  </si>
  <si>
    <r>
      <rPr>
        <rFont val="Calibri"/>
        <b/>
        <color rgb="FF1155CC"/>
        <sz val="11.0"/>
        <u/>
      </rPr>
      <t>01-WORK IN PROGRESS/BIM/MODELS/DELEGATED DESIGN R22/MEP/OBSOLET</t>
    </r>
  </si>
  <si>
    <r>
      <rPr>
        <rFont val="Calibri"/>
        <b/>
        <color rgb="FF1155CC"/>
        <sz val="11.0"/>
        <u/>
      </rPr>
      <t>CPQ11-TCOM-INFR-DATA-R22.nwc</t>
    </r>
  </si>
  <si>
    <t>88 MB</t>
  </si>
  <si>
    <r>
      <rPr>
        <rFont val="Calibri"/>
        <b/>
        <color rgb="FF1155CC"/>
        <sz val="11.0"/>
        <u/>
      </rPr>
      <t>01-WORK IN PROGRESS/BIM/MODELS/DELEGATED DESIGN R22/MEP/OBSOLET</t>
    </r>
  </si>
  <si>
    <r>
      <rPr>
        <rFont val="Calibri"/>
        <b/>
        <color rgb="FF1155CC"/>
        <sz val="11.0"/>
        <u/>
      </rPr>
      <t>CPQ11-TCOM-INFR-DATA-R22.rvt</t>
    </r>
  </si>
  <si>
    <t>303.2 MB</t>
  </si>
  <si>
    <r>
      <rPr>
        <rFont val="Calibri"/>
        <b/>
        <color rgb="FF1155CC"/>
        <sz val="11.0"/>
        <u/>
      </rPr>
      <t>01-WORK IN PROGRESS/BIM/MODELS/DELEGATED DESIGN R22/MEP/OBSOLET</t>
    </r>
  </si>
  <si>
    <r>
      <rPr>
        <rFont val="Calibri"/>
        <b/>
        <color rgb="FF1155CC"/>
        <sz val="11.0"/>
        <u/>
      </rPr>
      <t>CPQ11-TCOM-INFR-SITE-R22.nwc</t>
    </r>
  </si>
  <si>
    <t>162 MB</t>
  </si>
  <si>
    <r>
      <rPr>
        <rFont val="Calibri"/>
        <b/>
        <color rgb="FF1155CC"/>
        <sz val="11.0"/>
        <u/>
      </rPr>
      <t>01-WORK IN PROGRESS/BIM/MODELS/DELEGATED DESIGN R22/MEP/OBSOLET</t>
    </r>
  </si>
  <si>
    <r>
      <rPr>
        <rFont val="Calibri"/>
        <b/>
        <color rgb="FF1155CC"/>
        <sz val="11.0"/>
        <u/>
      </rPr>
      <t>CPQ11-TCOM-INFR-SITE-R22.rvt</t>
    </r>
  </si>
  <si>
    <t>295.1 MB</t>
  </si>
  <si>
    <r>
      <rPr>
        <rFont val="Calibri"/>
        <b/>
        <color rgb="FF1155CC"/>
        <sz val="11.0"/>
        <u/>
      </rPr>
      <t>01-WORK IN PROGRESS/BIM/MODELS/DELEGATED DESIGN R22/MEP/OBSOLET</t>
    </r>
  </si>
  <si>
    <r>
      <rPr>
        <rFont val="Calibri"/>
        <b/>
        <color rgb="FF1155CC"/>
        <sz val="11.0"/>
        <u/>
      </rPr>
      <t>CPQ11-TCOM-R22.nwc</t>
    </r>
  </si>
  <si>
    <t>249.3 MB</t>
  </si>
  <si>
    <r>
      <rPr>
        <rFont val="Calibri"/>
        <b/>
        <color rgb="FF1155CC"/>
        <sz val="11.0"/>
        <u/>
      </rPr>
      <t>01-WORK IN PROGRESS/BIM/MODELS/DELEGATED DESIGN R22/MEP/OBSOLET</t>
    </r>
  </si>
  <si>
    <r>
      <rPr>
        <rFont val="Calibri"/>
        <b/>
        <color rgb="FF1155CC"/>
        <sz val="11.0"/>
        <u/>
      </rPr>
      <t>CPQ11-TCOM-R22.rvt</t>
    </r>
  </si>
  <si>
    <t>309.4 MB</t>
  </si>
  <si>
    <r>
      <rPr>
        <rFont val="Calibri"/>
        <b/>
        <color rgb="FF1155CC"/>
        <sz val="11.0"/>
        <u/>
      </rPr>
      <t>01-WORK IN PROGRESS/BIM/MODELS/DELEGATED DESIGN R22/MEP</t>
    </r>
  </si>
  <si>
    <r>
      <rPr>
        <rFont val="Calibri"/>
        <b/>
        <color rgb="FF1155CC"/>
        <sz val="11.0"/>
        <u/>
      </rPr>
      <t>CPQ11-BASM-DEVS-DATA-R22.rvt</t>
    </r>
  </si>
  <si>
    <t>51.5 MB</t>
  </si>
  <si>
    <r>
      <rPr>
        <rFont val="Calibri"/>
        <b/>
        <color rgb="FF1155CC"/>
        <sz val="11.0"/>
        <u/>
      </rPr>
      <t>01-WORK IN PROGRESS/BIM/MODELS/DELEGATED DESIGN R22/MEP</t>
    </r>
  </si>
  <si>
    <r>
      <rPr>
        <rFont val="Calibri"/>
        <b/>
        <color rgb="FF1155CC"/>
        <sz val="11.0"/>
        <u/>
      </rPr>
      <t>CPQ11-BASM-DEVS-PUMP-R22.rvt</t>
    </r>
  </si>
  <si>
    <t>37.9 MB</t>
  </si>
  <si>
    <r>
      <rPr>
        <rFont val="Calibri"/>
        <b/>
        <color rgb="FF1155CC"/>
        <sz val="11.0"/>
        <u/>
      </rPr>
      <t>01-WORK IN PROGRESS/BIM/MODELS/DELEGATED DESIGN R22/MEP</t>
    </r>
  </si>
  <si>
    <r>
      <rPr>
        <rFont val="Calibri"/>
        <b/>
        <color rgb="FF1155CC"/>
        <sz val="11.0"/>
        <u/>
      </rPr>
      <t>CPQ11-BASM-INFR-DATA-R22.rvt</t>
    </r>
  </si>
  <si>
    <t>52.4 MB</t>
  </si>
  <si>
    <r>
      <rPr>
        <rFont val="Calibri"/>
        <b/>
        <color rgb="FF1155CC"/>
        <sz val="11.0"/>
        <u/>
      </rPr>
      <t>01-WORK IN PROGRESS/BIM/MODELS/DELEGATED DESIGN R22/MEP</t>
    </r>
  </si>
  <si>
    <r>
      <rPr>
        <rFont val="Calibri"/>
        <b/>
        <color rgb="FF1155CC"/>
        <sz val="11.0"/>
        <u/>
      </rPr>
      <t>CPQ11-BASM-INFR-PUMP-R22.rvt</t>
    </r>
  </si>
  <si>
    <t>32.4 MB</t>
  </si>
  <si>
    <t>Apr 24, 2026 11:20 AM</t>
  </si>
  <si>
    <r>
      <rPr>
        <rFont val="Calibri"/>
        <b/>
        <color rgb="FF1155CC"/>
        <sz val="11.0"/>
        <u/>
      </rPr>
      <t>01-WORK IN PROGRESS/BIM/MODELS/DELEGATED DESIGN R22/MEP</t>
    </r>
  </si>
  <si>
    <r>
      <rPr>
        <rFont val="Calibri"/>
        <b/>
        <color rgb="FF1155CC"/>
        <sz val="11.0"/>
        <u/>
      </rPr>
      <t>CPQ11-DALI-DEVS-DATA-R22.rvt</t>
    </r>
  </si>
  <si>
    <t>206.5 MB</t>
  </si>
  <si>
    <t>Apr 15, 2026 6:03 PM</t>
  </si>
  <si>
    <r>
      <rPr>
        <rFont val="Calibri"/>
        <b/>
        <color rgb="FF1155CC"/>
        <sz val="11.0"/>
        <u/>
      </rPr>
      <t>01-WORK IN PROGRESS/BIM/MODELS/DELEGATED DESIGN R22/MEP</t>
    </r>
  </si>
  <si>
    <r>
      <rPr>
        <rFont val="Calibri"/>
        <b/>
        <color rgb="FF1155CC"/>
        <sz val="11.0"/>
        <u/>
      </rPr>
      <t>CPQ11-DASM-DEVS-DATA-R22.rvt</t>
    </r>
  </si>
  <si>
    <t>328.1 MB</t>
  </si>
  <si>
    <t>Apr 16, 2026 10:45 AM</t>
  </si>
  <si>
    <r>
      <rPr>
        <rFont val="Calibri"/>
        <b/>
        <color rgb="FF1155CC"/>
        <sz val="11.0"/>
        <u/>
      </rPr>
      <t>01-WORK IN PROGRESS/BIM/MODELS/DELEGATED DESIGN R22/MEP</t>
    </r>
  </si>
  <si>
    <r>
      <rPr>
        <rFont val="Calibri"/>
        <b/>
        <color rgb="FF1155CC"/>
        <sz val="11.0"/>
        <u/>
      </rPr>
      <t>CPQ11-ELEC-ELEC-DATA-R22.rvt</t>
    </r>
  </si>
  <si>
    <t>V52</t>
  </si>
  <si>
    <t>282.7 MB</t>
  </si>
  <si>
    <t>Apr 30, 2026 11:36 PM</t>
  </si>
  <si>
    <r>
      <rPr>
        <rFont val="Calibri"/>
        <b/>
        <color rgb="FF1155CC"/>
        <sz val="11.0"/>
        <u/>
      </rPr>
      <t>01-WORK IN PROGRESS/BIM/MODELS/DELEGATED DESIGN R22/MEP</t>
    </r>
  </si>
  <si>
    <r>
      <rPr>
        <rFont val="Calibri"/>
        <b/>
        <color rgb="FF1155CC"/>
        <sz val="11.0"/>
        <u/>
      </rPr>
      <t>CPQ11-ELEC-ELEC-SITE-R22.rvt</t>
    </r>
  </si>
  <si>
    <t>1 unresolved issue</t>
  </si>
  <si>
    <t>46.7 MB</t>
  </si>
  <si>
    <r>
      <rPr>
        <rFont val="Calibri"/>
        <b/>
        <color rgb="FF1155CC"/>
        <sz val="11.0"/>
        <u/>
      </rPr>
      <t>01-WORK IN PROGRESS/BIM/MODELS/DELEGATED DESIGN R22/MEP</t>
    </r>
  </si>
  <si>
    <r>
      <rPr>
        <rFont val="Calibri"/>
        <b/>
        <color rgb="FF1155CC"/>
        <sz val="11.0"/>
        <u/>
      </rPr>
      <t>CPQ11-ELEC-SPDA-DATA-R22.rvt</t>
    </r>
  </si>
  <si>
    <t>98.2 MB</t>
  </si>
  <si>
    <t>May 12, 2026 9:41 AM</t>
  </si>
  <si>
    <r>
      <rPr>
        <rFont val="Calibri"/>
        <b/>
        <color rgb="FF1155CC"/>
        <sz val="11.0"/>
        <u/>
      </rPr>
      <t>01-WORK IN PROGRESS/BIM/MODELS/DELEGATED DESIGN R22/MEP</t>
    </r>
  </si>
  <si>
    <r>
      <rPr>
        <rFont val="Calibri"/>
        <b/>
        <color rgb="FF1155CC"/>
        <sz val="11.0"/>
        <u/>
      </rPr>
      <t>CPQ11-ELEC-SPDA-SITE-R22.rvt</t>
    </r>
  </si>
  <si>
    <t>69.3 MB</t>
  </si>
  <si>
    <r>
      <rPr>
        <rFont val="Calibri"/>
        <b/>
        <color rgb="FF1155CC"/>
        <sz val="11.0"/>
        <u/>
      </rPr>
      <t>01-WORK IN PROGRESS/BIM/MODELS/DELEGATED DESIGN R22/MEP</t>
    </r>
  </si>
  <si>
    <r>
      <rPr>
        <rFont val="Calibri"/>
        <b/>
        <color rgb="FF1155CC"/>
        <sz val="11.0"/>
        <u/>
      </rPr>
      <t>CPQ11-EPMS-DEVS-DATA-R22.rvt</t>
    </r>
  </si>
  <si>
    <t>23.2 MB</t>
  </si>
  <si>
    <t>Apr 27, 2026 10:43 PM</t>
  </si>
  <si>
    <r>
      <rPr>
        <rFont val="Calibri"/>
        <b/>
        <color rgb="FF1155CC"/>
        <sz val="11.0"/>
        <u/>
      </rPr>
      <t>01-WORK IN PROGRESS/BIM/MODELS/DELEGATED DESIGN R22/MEP</t>
    </r>
  </si>
  <si>
    <r>
      <rPr>
        <rFont val="Calibri"/>
        <b/>
        <color rgb="FF1155CC"/>
        <sz val="11.0"/>
        <u/>
      </rPr>
      <t>CPQ11-EPMS-DEVS-SITE-R22.rvt</t>
    </r>
  </si>
  <si>
    <t>14.8 MB</t>
  </si>
  <si>
    <t>Feb 3, 2026 4:36 PM</t>
  </si>
  <si>
    <r>
      <rPr>
        <rFont val="Calibri"/>
        <b/>
        <color rgb="FF1155CC"/>
        <sz val="11.0"/>
        <u/>
      </rPr>
      <t>01-WORK IN PROGRESS/BIM/MODELS/DELEGATED DESIGN R22/MEP</t>
    </r>
  </si>
  <si>
    <r>
      <rPr>
        <rFont val="Calibri"/>
        <b/>
        <color rgb="FF1155CC"/>
        <sz val="11.0"/>
        <u/>
      </rPr>
      <t>CPQ11-FALM-FALM-DATA-R22.rvt</t>
    </r>
  </si>
  <si>
    <t>52.3 MB</t>
  </si>
  <si>
    <t>May 15, 2026 5:02 PM</t>
  </si>
  <si>
    <r>
      <rPr>
        <rFont val="Calibri"/>
        <b/>
        <color rgb="FF1155CC"/>
        <sz val="11.0"/>
        <u/>
      </rPr>
      <t>01-WORK IN PROGRESS/BIM/MODELS/DELEGATED DESIGN R22/MEP</t>
    </r>
  </si>
  <si>
    <r>
      <rPr>
        <rFont val="Calibri"/>
        <b/>
        <color rgb="FF1155CC"/>
        <sz val="11.0"/>
        <u/>
      </rPr>
      <t>CPQ11-FALM-FALM-SITE-R22.rvt</t>
    </r>
  </si>
  <si>
    <t>May 8, 2026 8:46 AM</t>
  </si>
  <si>
    <r>
      <rPr>
        <rFont val="Calibri"/>
        <b/>
        <color rgb="FF1155CC"/>
        <sz val="11.0"/>
        <u/>
      </rPr>
      <t>01-WORK IN PROGRESS/BIM/MODELS/DELEGATED DESIGN R22/MEP</t>
    </r>
  </si>
  <si>
    <r>
      <rPr>
        <rFont val="Calibri"/>
        <b/>
        <color rgb="FF1155CC"/>
        <sz val="11.0"/>
        <u/>
      </rPr>
      <t>CPQ11-FPRT-FPRT-DATA-R22.rvt</t>
    </r>
  </si>
  <si>
    <t>136.1 MB</t>
  </si>
  <si>
    <t>May 14, 2026 11:16 AM</t>
  </si>
  <si>
    <r>
      <rPr>
        <rFont val="Calibri"/>
        <b/>
        <color rgb="FF1155CC"/>
        <sz val="11.0"/>
        <u/>
      </rPr>
      <t>01-WORK IN PROGRESS/BIM/MODELS/DELEGATED DESIGN R22/MEP</t>
    </r>
  </si>
  <si>
    <r>
      <rPr>
        <rFont val="Calibri"/>
        <b/>
        <color rgb="FF1155CC"/>
        <sz val="11.0"/>
        <u/>
      </rPr>
      <t>CPQ11-FPRT-FPRT-SITE-R22.rvt</t>
    </r>
  </si>
  <si>
    <t>106.9 MB</t>
  </si>
  <si>
    <t>May 14, 2026 10:48 AM</t>
  </si>
  <si>
    <r>
      <rPr>
        <rFont val="Calibri"/>
        <b/>
        <color rgb="FF1155CC"/>
        <sz val="11.0"/>
        <u/>
      </rPr>
      <t>01-WORK IN PROGRESS/BIM/MODELS/DELEGATED DESIGN R22/MEP</t>
    </r>
  </si>
  <si>
    <r>
      <rPr>
        <rFont val="Calibri"/>
        <b/>
        <color rgb="FF1155CC"/>
        <sz val="11.0"/>
        <u/>
      </rPr>
      <t>CPQ11-FPRT-METK-UTLS-R22.rvt</t>
    </r>
  </si>
  <si>
    <r>
      <rPr>
        <rFont val="Calibri"/>
        <b/>
        <color rgb="FF1155CC"/>
        <sz val="11.0"/>
        <u/>
      </rPr>
      <t>01-WORK IN PROGRESS/BIM/MODELS/DELEGATED DESIGN R22/MEP</t>
    </r>
  </si>
  <si>
    <r>
      <rPr>
        <rFont val="Calibri"/>
        <b/>
        <color rgb="FF1155CC"/>
        <sz val="11.0"/>
        <u/>
      </rPr>
      <t>CPQ11-PLMB-DIES-SITE-R22.rvt</t>
    </r>
  </si>
  <si>
    <t>13.2 MB</t>
  </si>
  <si>
    <r>
      <rPr>
        <rFont val="Calibri"/>
        <b/>
        <color rgb="FF1155CC"/>
        <sz val="11.0"/>
        <u/>
      </rPr>
      <t>01-WORK IN PROGRESS/BIM/MODELS/DELEGATED DESIGN R22/MEP</t>
    </r>
  </si>
  <si>
    <r>
      <rPr>
        <rFont val="Calibri"/>
        <b/>
        <color rgb="FF1155CC"/>
        <sz val="11.0"/>
        <u/>
      </rPr>
      <t>CPQ11-PLMB-PLMB-DATA-R22.rvt</t>
    </r>
  </si>
  <si>
    <r>
      <rPr>
        <rFont val="Calibri"/>
        <b/>
        <color rgb="FF1155CC"/>
        <sz val="11.0"/>
        <u/>
      </rPr>
      <t>01-WORK IN PROGRESS/BIM/MODELS/DELEGATED DESIGN R22/MEP</t>
    </r>
  </si>
  <si>
    <r>
      <rPr>
        <rFont val="Calibri"/>
        <b/>
        <color rgb="FF1155CC"/>
        <sz val="11.0"/>
        <u/>
      </rPr>
      <t>CPQ11-PLMB-PLMB-SITE-R22.rvt</t>
    </r>
  </si>
  <si>
    <t>61.4 MB</t>
  </si>
  <si>
    <t>Apr 8, 2026 11:01 AM</t>
  </si>
  <si>
    <r>
      <rPr>
        <rFont val="Calibri"/>
        <b/>
        <color rgb="FF1155CC"/>
        <sz val="11.0"/>
        <u/>
      </rPr>
      <t>01-WORK IN PROGRESS/BIM/MODELS/DELEGATED DESIGN R22/MEP</t>
    </r>
  </si>
  <si>
    <r>
      <rPr>
        <rFont val="Calibri"/>
        <b/>
        <color rgb="FF1155CC"/>
        <sz val="11.0"/>
        <u/>
      </rPr>
      <t>CPQ11-ROIP-DEVS-DATA-R22.rvt</t>
    </r>
  </si>
  <si>
    <t>692.6 MB</t>
  </si>
  <si>
    <t>May 8, 2026 3:16 PM</t>
  </si>
  <si>
    <r>
      <rPr>
        <rFont val="Calibri"/>
        <b/>
        <color rgb="FF1155CC"/>
        <sz val="11.0"/>
        <u/>
      </rPr>
      <t>01-WORK IN PROGRESS/BIM/MODELS/DELEGATED DESIGN R22/MEP</t>
    </r>
  </si>
  <si>
    <r>
      <rPr>
        <rFont val="Calibri"/>
        <b/>
        <color rgb="FF1155CC"/>
        <sz val="11.0"/>
        <u/>
      </rPr>
      <t>CPQ11-ROIP-DEVS-GUAR-R22.rvt</t>
    </r>
  </si>
  <si>
    <t>38 MB</t>
  </si>
  <si>
    <r>
      <rPr>
        <rFont val="Calibri"/>
        <b/>
        <color rgb="FF1155CC"/>
        <sz val="11.0"/>
        <u/>
      </rPr>
      <t>01-WORK IN PROGRESS/BIM/MODELS/DELEGATED DESIGN R22/MEP</t>
    </r>
  </si>
  <si>
    <r>
      <rPr>
        <rFont val="Calibri"/>
        <b/>
        <color rgb="FF1155CC"/>
        <sz val="11.0"/>
        <u/>
      </rPr>
      <t>CPQ11-SCTY-DEVS-DATA-R22.rvt</t>
    </r>
  </si>
  <si>
    <t>V40</t>
  </si>
  <si>
    <t>208.4 MB</t>
  </si>
  <si>
    <t>May 6, 2026 9:11 AM</t>
  </si>
  <si>
    <r>
      <rPr>
        <rFont val="Calibri"/>
        <b/>
        <color rgb="FF1155CC"/>
        <sz val="11.0"/>
        <u/>
      </rPr>
      <t>01-WORK IN PROGRESS/BIM/MODELS/DELEGATED DESIGN R22/MEP</t>
    </r>
  </si>
  <si>
    <r>
      <rPr>
        <rFont val="Calibri"/>
        <b/>
        <color rgb="FF1155CC"/>
        <sz val="11.0"/>
        <u/>
      </rPr>
      <t>CPQ11-SCTY-DEVS-SITE-R22.rvt</t>
    </r>
  </si>
  <si>
    <t>222.7 MB</t>
  </si>
  <si>
    <t>Apr 10, 2026 4:38 PM</t>
  </si>
  <si>
    <r>
      <rPr>
        <rFont val="Calibri"/>
        <b/>
        <color rgb="FF1155CC"/>
        <sz val="11.0"/>
        <u/>
      </rPr>
      <t>01-WORK IN PROGRESS/BIM/MODELS/DELEGATED DESIGN R22/MEP</t>
    </r>
  </si>
  <si>
    <r>
      <rPr>
        <rFont val="Calibri"/>
        <b/>
        <color rgb="FF1155CC"/>
        <sz val="11.0"/>
        <u/>
      </rPr>
      <t>CPQ11-SCTY-GATE-SITE-R24.ifc</t>
    </r>
  </si>
  <si>
    <t>May 7, 2026 5:22 PM</t>
  </si>
  <si>
    <r>
      <rPr>
        <rFont val="Calibri"/>
        <b/>
        <color rgb="FF1155CC"/>
        <sz val="11.0"/>
        <u/>
      </rPr>
      <t>01-WORK IN PROGRESS/BIM/MODELS/DELEGATED DESIGN R22/MEP</t>
    </r>
  </si>
  <si>
    <r>
      <rPr>
        <rFont val="Calibri"/>
        <b/>
        <color rgb="FF1155CC"/>
        <sz val="11.0"/>
        <u/>
      </rPr>
      <t>CPQ11-SCTY-GATE-SITE-R24.rvt</t>
    </r>
  </si>
  <si>
    <t>37.3 MB</t>
  </si>
  <si>
    <r>
      <rPr>
        <rFont val="Calibri"/>
        <b/>
        <color rgb="FF1155CC"/>
        <sz val="11.0"/>
        <u/>
      </rPr>
      <t>01-WORK IN PROGRESS/BIM/MODELS/DELEGATED DESIGN R22/MEP</t>
    </r>
  </si>
  <si>
    <r>
      <rPr>
        <rFont val="Calibri"/>
        <b/>
        <color rgb="FF1155CC"/>
        <sz val="11.0"/>
        <u/>
      </rPr>
      <t>CPQ11-SCTY-INFR-DATA-R22.rvt</t>
    </r>
  </si>
  <si>
    <t>43.3 MB</t>
  </si>
  <si>
    <r>
      <rPr>
        <rFont val="Calibri"/>
        <b/>
        <color rgb="FF1155CC"/>
        <sz val="11.0"/>
        <u/>
      </rPr>
      <t>01-WORK IN PROGRESS/BIM/MODELS/DELEGATED DESIGN R22/MEP</t>
    </r>
  </si>
  <si>
    <r>
      <rPr>
        <rFont val="Calibri"/>
        <b/>
        <color rgb="FF1155CC"/>
        <sz val="11.0"/>
        <u/>
      </rPr>
      <t>CPQ11-SCTY-INFR-SITE-R22.rvt</t>
    </r>
  </si>
  <si>
    <t>25.4 MB</t>
  </si>
  <si>
    <r>
      <rPr>
        <rFont val="Calibri"/>
        <b/>
        <color rgb="FF1155CC"/>
        <sz val="11.0"/>
        <u/>
      </rPr>
      <t>01-WORK IN PROGRESS/BIM/MODELS/DELEGATED DESIGN R22/MEP</t>
    </r>
  </si>
  <si>
    <r>
      <rPr>
        <rFont val="Calibri"/>
        <b/>
        <color rgb="FF1155CC"/>
        <sz val="11.0"/>
        <u/>
      </rPr>
      <t>CPQ11-SYST-INFR-DATA-R22.rvt</t>
    </r>
  </si>
  <si>
    <t>Apr 10, 2026 4:26 PM</t>
  </si>
  <si>
    <r>
      <rPr>
        <rFont val="Calibri"/>
        <b/>
        <color rgb="FF1155CC"/>
        <sz val="11.0"/>
        <u/>
      </rPr>
      <t>01-WORK IN PROGRESS/BIM/MODELS/DELEGATED DESIGN R22/MEP</t>
    </r>
  </si>
  <si>
    <r>
      <rPr>
        <rFont val="Calibri"/>
        <b/>
        <color rgb="FF1155CC"/>
        <sz val="11.0"/>
        <u/>
      </rPr>
      <t>CPQ11-SYST-INFR-SITE-R22.rvt</t>
    </r>
  </si>
  <si>
    <t>42.9 MB</t>
  </si>
  <si>
    <t>May 12, 2026 9:54 AM</t>
  </si>
  <si>
    <r>
      <rPr>
        <rFont val="Calibri"/>
        <b/>
        <color rgb="FF1155CC"/>
        <sz val="11.0"/>
        <u/>
      </rPr>
      <t>01-WORK IN PROGRESS/BIM/MODELS/DELEGATED DESIGN R22/MEP</t>
    </r>
  </si>
  <si>
    <r>
      <rPr>
        <rFont val="Calibri"/>
        <b/>
        <color rgb="FF1155CC"/>
        <sz val="11.0"/>
        <u/>
      </rPr>
      <t>CPQ11-TCOM-DEVS-DATA-R22.rvt</t>
    </r>
  </si>
  <si>
    <t>98.9 MB</t>
  </si>
  <si>
    <t>Apr 30, 2026 3:43 PM</t>
  </si>
  <si>
    <r>
      <rPr>
        <rFont val="Calibri"/>
        <b/>
        <color rgb="FF1155CC"/>
        <sz val="11.0"/>
        <u/>
      </rPr>
      <t>01-WORK IN PROGRESS/BIM/MODELS/DELEGATED DESIGN R22/MEP</t>
    </r>
  </si>
  <si>
    <r>
      <rPr>
        <rFont val="Calibri"/>
        <b/>
        <color rgb="FF1155CC"/>
        <sz val="11.0"/>
        <u/>
      </rPr>
      <t>CPQ11-TCOM-DEVS-SITE-R22.rvt</t>
    </r>
  </si>
  <si>
    <t>38.5 MB</t>
  </si>
  <si>
    <t>Apr 29, 2026 4:52 PM</t>
  </si>
  <si>
    <r>
      <rPr>
        <rFont val="Calibri"/>
        <b/>
        <color rgb="FF1155CC"/>
        <sz val="11.0"/>
        <u/>
      </rPr>
      <t>01-WORK IN PROGRESS/BIM/MODELS/DELEGATED DESIGN R22/STEEL STRUCTURE/IFC</t>
    </r>
  </si>
  <si>
    <r>
      <rPr>
        <rFont val="Calibri"/>
        <b/>
        <color rgb="FF1155CC"/>
        <sz val="11.0"/>
        <u/>
      </rPr>
      <t>837-RACIONAL-PROJETO_GALILEU.zip</t>
    </r>
  </si>
  <si>
    <r>
      <rPr>
        <rFont val="Calibri"/>
        <b/>
        <color rgb="FF1155CC"/>
        <sz val="11.0"/>
        <u/>
      </rPr>
      <t>01-WORK IN PROGRESS/BIM/MODELS/DELEGATED DESIGN R22/STEEL STRUCTURE/IFC</t>
    </r>
  </si>
  <si>
    <r>
      <rPr>
        <rFont val="Calibri"/>
        <b/>
        <color rgb="FF1155CC"/>
        <sz val="11.0"/>
        <u/>
      </rPr>
      <t>CPQ11-STRC-STEE-ADMN-2X3.ifc</t>
    </r>
  </si>
  <si>
    <r>
      <rPr>
        <rFont val="Calibri"/>
        <b/>
        <color rgb="FF1155CC"/>
        <sz val="11.0"/>
        <u/>
      </rPr>
      <t>01-WORK IN PROGRESS/BIM/MODELS/DELEGATED DESIGN R22/STEEL STRUCTURE/IFC</t>
    </r>
  </si>
  <si>
    <r>
      <rPr>
        <rFont val="Calibri"/>
        <b/>
        <color rgb="FF1155CC"/>
        <sz val="11.0"/>
        <u/>
      </rPr>
      <t>CPQ11-STRC-STEE-COL1-2X3.ifc</t>
    </r>
  </si>
  <si>
    <r>
      <rPr>
        <rFont val="Calibri"/>
        <b/>
        <color rgb="FF1155CC"/>
        <sz val="11.0"/>
        <u/>
      </rPr>
      <t>01-WORK IN PROGRESS/BIM/MODELS/DELEGATED DESIGN R22/STEEL STRUCTURE/IFC</t>
    </r>
  </si>
  <si>
    <r>
      <rPr>
        <rFont val="Calibri"/>
        <b/>
        <color rgb="FF1155CC"/>
        <sz val="11.0"/>
        <u/>
      </rPr>
      <t>CPQ11-STRC-STEE-COL2-2X3.ifc</t>
    </r>
  </si>
  <si>
    <r>
      <rPr>
        <rFont val="Calibri"/>
        <b/>
        <color rgb="FF1155CC"/>
        <sz val="11.0"/>
        <u/>
      </rPr>
      <t>01-WORK IN PROGRESS/BIM/MODELS/DELEGATED DESIGN R22/STEEL STRUCTURE/IFC</t>
    </r>
  </si>
  <si>
    <r>
      <rPr>
        <rFont val="Calibri"/>
        <b/>
        <color rgb="FF1155CC"/>
        <sz val="11.0"/>
        <u/>
      </rPr>
      <t>CPQ11-STRC-STEE-COL3-2X3.ifc</t>
    </r>
  </si>
  <si>
    <r>
      <rPr>
        <rFont val="Calibri"/>
        <b/>
        <color rgb="FF1155CC"/>
        <sz val="11.0"/>
        <u/>
      </rPr>
      <t>01-WORK IN PROGRESS/BIM/MODELS/DELEGATED DESIGN R22/STEEL STRUCTURE/IFC</t>
    </r>
  </si>
  <si>
    <r>
      <rPr>
        <rFont val="Calibri"/>
        <b/>
        <color rgb="FF1155CC"/>
        <sz val="11.0"/>
        <u/>
      </rPr>
      <t>CPQ11-STRC-STEE-COL4-2X3.ifc</t>
    </r>
  </si>
  <si>
    <t>Dec 5, 2025 5:25 PM</t>
  </si>
  <si>
    <r>
      <rPr>
        <rFont val="Calibri"/>
        <b/>
        <color rgb="FF1155CC"/>
        <sz val="11.0"/>
        <u/>
      </rPr>
      <t>01-WORK IN PROGRESS/BIM/MODELS/DELEGATED DESIGN R22/STEEL STRUCTURE/IFC</t>
    </r>
  </si>
  <si>
    <r>
      <rPr>
        <rFont val="Calibri"/>
        <b/>
        <color rgb="FF1155CC"/>
        <sz val="11.0"/>
        <u/>
      </rPr>
      <t>CPQ11-STRC-STEE-COL5-2X3.ifc</t>
    </r>
  </si>
  <si>
    <r>
      <rPr>
        <rFont val="Calibri"/>
        <b/>
        <color rgb="FF1155CC"/>
        <sz val="11.0"/>
        <u/>
      </rPr>
      <t>01-WORK IN PROGRESS/BIM/MODELS/DELEGATED DESIGN R22/STEEL STRUCTURE/IFC</t>
    </r>
  </si>
  <si>
    <r>
      <rPr>
        <rFont val="Calibri"/>
        <b/>
        <color rgb="FF1155CC"/>
        <sz val="11.0"/>
        <u/>
      </rPr>
      <t>CPQ11-STRC-STEE-GUAR-2X3.ifc</t>
    </r>
  </si>
  <si>
    <r>
      <rPr>
        <rFont val="Calibri"/>
        <b/>
        <color rgb="FF1155CC"/>
        <sz val="11.0"/>
        <u/>
      </rPr>
      <t>01-WORK IN PROGRESS/BIM/MODELS/DELEGATED DESIGN R22/STEEL STRUCTURE/IFC</t>
    </r>
  </si>
  <si>
    <r>
      <rPr>
        <rFont val="Calibri"/>
        <b/>
        <color rgb="FF1155CC"/>
        <sz val="11.0"/>
        <u/>
      </rPr>
      <t>CPQ11-STRC-STEE-STIR-2X3.ifc</t>
    </r>
  </si>
  <si>
    <t>Oct 31, 2025 2:29 PM</t>
  </si>
  <si>
    <r>
      <rPr>
        <rFont val="Calibri"/>
        <b/>
        <color rgb="FF1155CC"/>
        <sz val="11.0"/>
        <u/>
      </rPr>
      <t>01-WORK IN PROGRESS/BIM/MODELS/DELEGATED DESIGN R22/STEEL STRUCTURE/IFC</t>
    </r>
  </si>
  <si>
    <r>
      <rPr>
        <rFont val="Calibri"/>
        <b/>
        <color rgb="FF1155CC"/>
        <sz val="11.0"/>
        <u/>
      </rPr>
      <t>CPQ11-STRC-STEE-UTLS-2X3.ifc</t>
    </r>
  </si>
  <si>
    <t>Feb 11, 2026 11:20 AM</t>
  </si>
  <si>
    <r>
      <rPr>
        <rFont val="Calibri"/>
        <b/>
        <color rgb="FF1155CC"/>
        <sz val="11.0"/>
        <u/>
      </rPr>
      <t>01-WORK IN PROGRESS/BIM/MODELS/DELEGATED DESIGN R22/STEEL STRUCTURE/IFC</t>
    </r>
  </si>
  <si>
    <r>
      <rPr>
        <rFont val="Calibri"/>
        <b/>
        <color rgb="FF1155CC"/>
        <sz val="11.0"/>
        <u/>
      </rPr>
      <t>CPQ11-STRC-STEE-UTLS-2X3.ifc.log</t>
    </r>
  </si>
  <si>
    <t>1.3 KB</t>
  </si>
  <si>
    <t>Feb 12, 2026 2:44 PM</t>
  </si>
  <si>
    <r>
      <rPr>
        <rFont val="Calibri"/>
        <b/>
        <color rgb="FF1155CC"/>
        <sz val="11.0"/>
        <u/>
      </rPr>
      <t>01-WORK IN PROGRESS/BIM/MODELS/DELEGATED DESIGN R22/STEEL STRUCTURE/IFC</t>
    </r>
  </si>
  <si>
    <r>
      <rPr>
        <rFont val="Calibri"/>
        <b/>
        <color rgb="FF1155CC"/>
        <sz val="11.0"/>
        <u/>
      </rPr>
      <t>CPQ11-STRC-STEE-UTLS-2X3.ifc.RVT</t>
    </r>
  </si>
  <si>
    <t>98.5 MB</t>
  </si>
  <si>
    <t>Feb 12, 2026 2:52 PM</t>
  </si>
  <si>
    <r>
      <rPr>
        <rFont val="Calibri"/>
        <b/>
        <color rgb="FF1155CC"/>
        <sz val="11.0"/>
        <u/>
      </rPr>
      <t>01-WORK IN PROGRESS/BIM/MODELS/DELEGATED DESIGN R22/STEEL STRUCTURE/IFC</t>
    </r>
  </si>
  <si>
    <r>
      <rPr>
        <rFont val="Calibri"/>
        <b/>
        <color rgb="FF1155CC"/>
        <sz val="11.0"/>
        <u/>
      </rPr>
      <t>CPQ11-STRC-STEE-UTLS-2X3.ifc.sharedparameters.txt</t>
    </r>
  </si>
  <si>
    <t>10.4 KB</t>
  </si>
  <si>
    <t>Feb 12, 2026 2:46 PM</t>
  </si>
  <si>
    <r>
      <rPr>
        <rFont val="Calibri"/>
        <b/>
        <color rgb="FF1155CC"/>
        <sz val="11.0"/>
        <u/>
      </rPr>
      <t>01-WORK IN PROGRESS/BIM/MODELS/DELEGATED DESIGN R22/STEEL STRUCTURE/OBSOLET</t>
    </r>
  </si>
  <si>
    <r>
      <rPr>
        <rFont val="Calibri"/>
        <b/>
        <color rgb="FF1155CC"/>
        <sz val="11.0"/>
        <u/>
      </rPr>
      <t>CPQ11-STRC-STEE-ADMN-2X3.ifc</t>
    </r>
  </si>
  <si>
    <t>33.2 MB</t>
  </si>
  <si>
    <t>Feb 19, 2025 2:46 PM</t>
  </si>
  <si>
    <r>
      <rPr>
        <rFont val="Calibri"/>
        <b/>
        <color rgb="FF1155CC"/>
        <sz val="11.0"/>
        <u/>
      </rPr>
      <t>01-WORK IN PROGRESS/BIM/MODELS/DELEGATED DESIGN R22/STEEL STRUCTURE/OBSOLET</t>
    </r>
  </si>
  <si>
    <r>
      <rPr>
        <rFont val="Calibri"/>
        <b/>
        <color rgb="FF1155CC"/>
        <sz val="11.0"/>
        <u/>
      </rPr>
      <t>CPQ11-STRC-STEE-COL1-2X3.ifc</t>
    </r>
  </si>
  <si>
    <t>64.7 MB</t>
  </si>
  <si>
    <r>
      <rPr>
        <rFont val="Calibri"/>
        <b/>
        <color rgb="FF1155CC"/>
        <sz val="11.0"/>
        <u/>
      </rPr>
      <t>01-WORK IN PROGRESS/BIM/MODELS/DELEGATED DESIGN R22/STEEL STRUCTURE/OBSOLET</t>
    </r>
  </si>
  <si>
    <r>
      <rPr>
        <rFont val="Calibri"/>
        <b/>
        <color rgb="FF1155CC"/>
        <sz val="11.0"/>
        <u/>
      </rPr>
      <t>CPQ11-STRC-STEE-COL2-2X3.ifc</t>
    </r>
  </si>
  <si>
    <t>76.7 MB</t>
  </si>
  <si>
    <r>
      <rPr>
        <rFont val="Calibri"/>
        <b/>
        <color rgb="FF1155CC"/>
        <sz val="11.0"/>
        <u/>
      </rPr>
      <t>01-WORK IN PROGRESS/BIM/MODELS/DELEGATED DESIGN R22/STEEL STRUCTURE/OBSOLET</t>
    </r>
  </si>
  <si>
    <r>
      <rPr>
        <rFont val="Calibri"/>
        <b/>
        <color rgb="FF1155CC"/>
        <sz val="11.0"/>
        <u/>
      </rPr>
      <t>CPQ11-STRC-STEE-COL3-2X3.ifc</t>
    </r>
  </si>
  <si>
    <r>
      <rPr>
        <rFont val="Calibri"/>
        <b/>
        <color rgb="FF1155CC"/>
        <sz val="11.0"/>
        <u/>
      </rPr>
      <t>01-WORK IN PROGRESS/BIM/MODELS/DELEGATED DESIGN R22/STEEL STRUCTURE/OBSOLET</t>
    </r>
  </si>
  <si>
    <r>
      <rPr>
        <rFont val="Calibri"/>
        <b/>
        <color rgb="FF1155CC"/>
        <sz val="11.0"/>
        <u/>
      </rPr>
      <t>CPQ11-STRC-STEE-COL4-2X3.ifc</t>
    </r>
  </si>
  <si>
    <t>66.6 MB</t>
  </si>
  <si>
    <r>
      <rPr>
        <rFont val="Calibri"/>
        <b/>
        <color rgb="FF1155CC"/>
        <sz val="11.0"/>
        <u/>
      </rPr>
      <t>01-WORK IN PROGRESS/BIM/MODELS/DELEGATED DESIGN R22/STEEL STRUCTURE/OBSOLET</t>
    </r>
  </si>
  <si>
    <r>
      <rPr>
        <rFont val="Calibri"/>
        <b/>
        <color rgb="FF1155CC"/>
        <sz val="11.0"/>
        <u/>
      </rPr>
      <t>CPQ11-STRC-STEE-COL5-2X3.ifc</t>
    </r>
  </si>
  <si>
    <t>80.3 MB</t>
  </si>
  <si>
    <r>
      <rPr>
        <rFont val="Calibri"/>
        <b/>
        <color rgb="FF1155CC"/>
        <sz val="11.0"/>
        <u/>
      </rPr>
      <t>01-WORK IN PROGRESS/BIM/MODELS/DELEGATED DESIGN R22/STEEL STRUCTURE/OBSOLET</t>
    </r>
  </si>
  <si>
    <r>
      <rPr>
        <rFont val="Calibri"/>
        <b/>
        <color rgb="FF1155CC"/>
        <sz val="11.0"/>
        <u/>
      </rPr>
      <t>CPQ11-STRC-STEE-ESCA-2X3.ifc</t>
    </r>
  </si>
  <si>
    <t>11.4 MB</t>
  </si>
  <si>
    <r>
      <rPr>
        <rFont val="Calibri"/>
        <b/>
        <color rgb="FF1155CC"/>
        <sz val="11.0"/>
        <u/>
      </rPr>
      <t>01-WORK IN PROGRESS/BIM/MODELS/DELEGATED DESIGN R22/STEEL STRUCTURE/OBSOLET</t>
    </r>
  </si>
  <si>
    <r>
      <rPr>
        <rFont val="Calibri"/>
        <b/>
        <color rgb="FF1155CC"/>
        <sz val="11.0"/>
        <u/>
      </rPr>
      <t>CPQ11-STRC-STEE-GUAR-2X3.00.ifc</t>
    </r>
  </si>
  <si>
    <t>3.4 MB</t>
  </si>
  <si>
    <t>May 8, 2025 12:11 PM</t>
  </si>
  <si>
    <r>
      <rPr>
        <rFont val="Calibri"/>
        <b/>
        <color rgb="FF1155CC"/>
        <sz val="11.0"/>
        <u/>
      </rPr>
      <t>01-WORK IN PROGRESS/BIM/MODELS/DELEGATED DESIGN R22/STEEL STRUCTURE/OBSOLET</t>
    </r>
  </si>
  <si>
    <r>
      <rPr>
        <rFont val="Calibri"/>
        <b/>
        <color rgb="FF1155CC"/>
        <sz val="11.0"/>
        <u/>
      </rPr>
      <t>CPQ11-STRC-STEE-GUAR-2X3.ifc</t>
    </r>
  </si>
  <si>
    <r>
      <rPr>
        <rFont val="Calibri"/>
        <b/>
        <color rgb="FF1155CC"/>
        <sz val="11.0"/>
        <u/>
      </rPr>
      <t>01-WORK IN PROGRESS/BIM/MODELS/DELEGATED DESIGN R22/STEEL STRUCTURE/OBSOLET</t>
    </r>
  </si>
  <si>
    <r>
      <rPr>
        <rFont val="Calibri"/>
        <b/>
        <color rgb="FF1155CC"/>
        <sz val="11.0"/>
        <u/>
      </rPr>
      <t>CPQ11-STRC-STEE-UTIL-2X3.ifc</t>
    </r>
  </si>
  <si>
    <r>
      <rPr>
        <rFont val="Calibri"/>
        <b/>
        <color rgb="FF1155CC"/>
        <sz val="11.0"/>
        <u/>
      </rPr>
      <t>01-WORK IN PROGRESS/BIM/MODELS/DELEGATED DESIGN R22/STEEL STRUCTURE/OBSOLET</t>
    </r>
  </si>
  <si>
    <r>
      <rPr>
        <rFont val="Calibri"/>
        <b/>
        <color rgb="FF1155CC"/>
        <sz val="11.0"/>
        <u/>
      </rPr>
      <t>CPQ11-STRC-STEE-UTLS-2X3.ifc</t>
    </r>
  </si>
  <si>
    <r>
      <rPr>
        <rFont val="Calibri"/>
        <b/>
        <color rgb="FF1155CC"/>
        <sz val="11.0"/>
        <u/>
      </rPr>
      <t>01-WORK IN PROGRESS/BIM/MODELS/DELEGATED DESIGN R22/STEEL STRUCTURE/OBSOLET</t>
    </r>
  </si>
  <si>
    <r>
      <rPr>
        <rFont val="Calibri"/>
        <b/>
        <color rgb="FF1155CC"/>
        <sz val="11.0"/>
        <u/>
      </rPr>
      <t>CPQ11-STRC-STEEL-ADMN-IFC.ifc</t>
    </r>
  </si>
  <si>
    <t>46.1 MB</t>
  </si>
  <si>
    <r>
      <rPr>
        <rFont val="Calibri"/>
        <b/>
        <color rgb="FF1155CC"/>
        <sz val="11.0"/>
        <u/>
      </rPr>
      <t>01-WORK IN PROGRESS/BIM/MODELS/DELEGATED DESIGN R22/STEEL STRUCTURE/OBSOLET</t>
    </r>
  </si>
  <si>
    <r>
      <rPr>
        <rFont val="Calibri"/>
        <b/>
        <color rgb="FF1155CC"/>
        <sz val="11.0"/>
        <u/>
      </rPr>
      <t>CPQ11-STRC-STEEL-ANEX-IFC.ifc</t>
    </r>
  </si>
  <si>
    <t>Dec 18, 2024 2:18 PM</t>
  </si>
  <si>
    <r>
      <rPr>
        <rFont val="Calibri"/>
        <b/>
        <color rgb="FF1155CC"/>
        <sz val="11.0"/>
        <u/>
      </rPr>
      <t>01-WORK IN PROGRESS/BIM/MODELS/DELEGATED DESIGN R22/STEEL STRUCTURE/OBSOLET</t>
    </r>
  </si>
  <si>
    <r>
      <rPr>
        <rFont val="Calibri"/>
        <b/>
        <color rgb="FF1155CC"/>
        <sz val="11.0"/>
        <u/>
      </rPr>
      <t>CPQ11-STRC-STEEL-ANEXO-03-12-2024.ifc</t>
    </r>
  </si>
  <si>
    <r>
      <rPr>
        <rFont val="Calibri"/>
        <b/>
        <color rgb="FF1155CC"/>
        <sz val="11.0"/>
        <u/>
      </rPr>
      <t>01-WORK IN PROGRESS/BIM/MODELS/DELEGATED DESIGN R22/STEEL STRUCTURE/OBSOLET</t>
    </r>
  </si>
  <si>
    <r>
      <rPr>
        <rFont val="Calibri"/>
        <b/>
        <color rgb="FF1155CC"/>
        <sz val="11.0"/>
        <u/>
      </rPr>
      <t>CPQ11-STRC-STEEL-COL1.ifc</t>
    </r>
  </si>
  <si>
    <t>48.9 MB</t>
  </si>
  <si>
    <r>
      <rPr>
        <rFont val="Calibri"/>
        <b/>
        <color rgb="FF1155CC"/>
        <sz val="11.0"/>
        <u/>
      </rPr>
      <t>01-WORK IN PROGRESS/BIM/MODELS/DELEGATED DESIGN R22/STEEL STRUCTURE/OBSOLET</t>
    </r>
  </si>
  <si>
    <r>
      <rPr>
        <rFont val="Calibri"/>
        <b/>
        <color rgb="FF1155CC"/>
        <sz val="11.0"/>
        <u/>
      </rPr>
      <t>CPQ11-STRC-STEEL-COL2-IFC.ifc</t>
    </r>
  </si>
  <si>
    <t>40.2 MB</t>
  </si>
  <si>
    <r>
      <rPr>
        <rFont val="Calibri"/>
        <b/>
        <color rgb="FF1155CC"/>
        <sz val="11.0"/>
        <u/>
      </rPr>
      <t>01-WORK IN PROGRESS/BIM/MODELS/DELEGATED DESIGN R22/STEEL STRUCTURE/OBSOLET</t>
    </r>
  </si>
  <si>
    <r>
      <rPr>
        <rFont val="Calibri"/>
        <b/>
        <color rgb="FF1155CC"/>
        <sz val="11.0"/>
        <u/>
      </rPr>
      <t>CPQ11-STRC-STEEL-COL3-IFC.ifc</t>
    </r>
  </si>
  <si>
    <r>
      <rPr>
        <rFont val="Calibri"/>
        <b/>
        <color rgb="FF1155CC"/>
        <sz val="11.0"/>
        <u/>
      </rPr>
      <t>01-WORK IN PROGRESS/BIM/MODELS/DELEGATED DESIGN R22/STEEL STRUCTURE/OBSOLET</t>
    </r>
  </si>
  <si>
    <r>
      <rPr>
        <rFont val="Calibri"/>
        <b/>
        <color rgb="FF1155CC"/>
        <sz val="11.0"/>
        <u/>
      </rPr>
      <t>CPQ11-STRC-STEEL-COL4-IFC.ifc</t>
    </r>
  </si>
  <si>
    <t>32.8 MB</t>
  </si>
  <si>
    <r>
      <rPr>
        <rFont val="Calibri"/>
        <b/>
        <color rgb="FF1155CC"/>
        <sz val="11.0"/>
        <u/>
      </rPr>
      <t>01-WORK IN PROGRESS/BIM/MODELS/DELEGATED DESIGN R22/STEEL STRUCTURE/OBSOLET</t>
    </r>
  </si>
  <si>
    <r>
      <rPr>
        <rFont val="Calibri"/>
        <b/>
        <color rgb="FF1155CC"/>
        <sz val="11.0"/>
        <u/>
      </rPr>
      <t>CPQ11-STRC-STEEL-COL5-IFC.ifc</t>
    </r>
  </si>
  <si>
    <t>41.4 MB</t>
  </si>
  <si>
    <r>
      <rPr>
        <rFont val="Calibri"/>
        <b/>
        <color rgb="FF1155CC"/>
        <sz val="11.0"/>
        <u/>
      </rPr>
      <t>01-WORK IN PROGRESS/BIM/MODELS/DELEGATED DESIGN R22/STEEL STRUCTURE/OBSOLET</t>
    </r>
  </si>
  <si>
    <r>
      <rPr>
        <rFont val="Calibri"/>
        <b/>
        <color rgb="FF1155CC"/>
        <sz val="11.0"/>
        <u/>
      </rPr>
      <t>CPQ11-STRC-STEEL-GNRL-IFC.ifc</t>
    </r>
  </si>
  <si>
    <t>170.7 MB</t>
  </si>
  <si>
    <r>
      <rPr>
        <rFont val="Calibri"/>
        <b/>
        <color rgb="FF1155CC"/>
        <sz val="11.0"/>
        <u/>
      </rPr>
      <t>01-WORK IN PROGRESS/BIM/MODELS/DELEGATED DESIGN R22/STEEL STRUCTURE/OBSOLET</t>
    </r>
  </si>
  <si>
    <r>
      <rPr>
        <rFont val="Calibri"/>
        <b/>
        <color rgb="FF1155CC"/>
        <sz val="11.0"/>
        <u/>
      </rPr>
      <t>CPQ11-STRC-STEEL-PROJETO-GALILEU-COMPLETO-14-11-2024.ifc</t>
    </r>
  </si>
  <si>
    <t>270.5 MB</t>
  </si>
  <si>
    <r>
      <rPr>
        <rFont val="Calibri"/>
        <b/>
        <color rgb="FF1155CC"/>
        <sz val="11.0"/>
        <u/>
      </rPr>
      <t>01-WORK IN PROGRESS/BIM/MODELS/DELEGATED DESIGN R22/STEEL STRUCTURE/OBSOLET</t>
    </r>
  </si>
  <si>
    <r>
      <rPr>
        <rFont val="Calibri"/>
        <b/>
        <color rgb="FF1155CC"/>
        <sz val="11.0"/>
        <u/>
      </rPr>
      <t>CPQ11-STRC-STEEL-PROJETO-GALILEU-COMPLETO.ifc</t>
    </r>
  </si>
  <si>
    <t>271.2 MB</t>
  </si>
  <si>
    <r>
      <rPr>
        <rFont val="Calibri"/>
        <b/>
        <color rgb="FF1155CC"/>
        <sz val="11.0"/>
        <u/>
      </rPr>
      <t>01-WORK IN PROGRESS/BIM/MODELS/DELEGATED DESIGN R22/STEEL STRUCTURE/OBSOLET</t>
    </r>
  </si>
  <si>
    <r>
      <rPr>
        <rFont val="Calibri"/>
        <b/>
        <color rgb="FF1155CC"/>
        <sz val="11.0"/>
        <u/>
      </rPr>
      <t>PLAT.GERADORES.ifc</t>
    </r>
  </si>
  <si>
    <r>
      <rPr>
        <rFont val="Calibri"/>
        <b/>
        <color rgb="FF1155CC"/>
        <sz val="11.0"/>
        <u/>
      </rPr>
      <t>01-WORK IN PROGRESS/BIM/MODELS/DELEGATED DESIGN R22/STEEL STRUCTURE/OBSOLET</t>
    </r>
  </si>
  <si>
    <r>
      <rPr>
        <rFont val="Calibri"/>
        <b/>
        <color rgb="FF1155CC"/>
        <sz val="11.0"/>
        <u/>
      </rPr>
      <t>TORRE DE ESCADA 29-07-2024.ifc</t>
    </r>
  </si>
  <si>
    <r>
      <rPr>
        <rFont val="Calibri"/>
        <b/>
        <color rgb="FF1155CC"/>
        <sz val="11.0"/>
        <u/>
      </rPr>
      <t>01-WORK IN PROGRESS/BIM/MODELS/DELEGATED DESIGN R22/STEEL STRUCTURE</t>
    </r>
  </si>
  <si>
    <r>
      <rPr>
        <rFont val="Calibri"/>
        <b/>
        <color rgb="FF1155CC"/>
        <sz val="11.0"/>
        <u/>
      </rPr>
      <t>CPQ11-STRC-STEE-ADMN-R22.RVT</t>
    </r>
  </si>
  <si>
    <t>211.8 MB</t>
  </si>
  <si>
    <r>
      <rPr>
        <rFont val="Calibri"/>
        <b/>
        <color rgb="FF1155CC"/>
        <sz val="11.0"/>
        <u/>
      </rPr>
      <t>01-WORK IN PROGRESS/BIM/MODELS/DELEGATED DESIGN R22/STEEL STRUCTURE</t>
    </r>
  </si>
  <si>
    <r>
      <rPr>
        <rFont val="Calibri"/>
        <b/>
        <color rgb="FF1155CC"/>
        <sz val="11.0"/>
        <u/>
      </rPr>
      <t>CPQ11-STRC-STEE-COL1-R22.RVT</t>
    </r>
  </si>
  <si>
    <t>642 MB</t>
  </si>
  <si>
    <r>
      <rPr>
        <rFont val="Calibri"/>
        <b/>
        <color rgb="FF1155CC"/>
        <sz val="11.0"/>
        <u/>
      </rPr>
      <t>01-WORK IN PROGRESS/BIM/MODELS/DELEGATED DESIGN R22/STEEL STRUCTURE</t>
    </r>
  </si>
  <si>
    <r>
      <rPr>
        <rFont val="Calibri"/>
        <b/>
        <color rgb="FF1155CC"/>
        <sz val="11.0"/>
        <u/>
      </rPr>
      <t>CPQ11-STRC-STEE-COL2-R22.RVT</t>
    </r>
  </si>
  <si>
    <t>717.7 MB</t>
  </si>
  <si>
    <r>
      <rPr>
        <rFont val="Calibri"/>
        <b/>
        <color rgb="FF1155CC"/>
        <sz val="11.0"/>
        <u/>
      </rPr>
      <t>01-WORK IN PROGRESS/BIM/MODELS/DELEGATED DESIGN R22/STEEL STRUCTURE</t>
    </r>
  </si>
  <si>
    <r>
      <rPr>
        <rFont val="Calibri"/>
        <b/>
        <color rgb="FF1155CC"/>
        <sz val="11.0"/>
        <u/>
      </rPr>
      <t>CPQ11-STRC-STEE-COL3-R22.RVT</t>
    </r>
  </si>
  <si>
    <t>719.2 MB</t>
  </si>
  <si>
    <r>
      <rPr>
        <rFont val="Calibri"/>
        <b/>
        <color rgb="FF1155CC"/>
        <sz val="11.0"/>
        <u/>
      </rPr>
      <t>01-WORK IN PROGRESS/BIM/MODELS/DELEGATED DESIGN R22/STEEL STRUCTURE</t>
    </r>
  </si>
  <si>
    <r>
      <rPr>
        <rFont val="Calibri"/>
        <b/>
        <color rgb="FF1155CC"/>
        <sz val="11.0"/>
        <u/>
      </rPr>
      <t>CPQ11-STRC-STEE-COL4-R22.RVT</t>
    </r>
  </si>
  <si>
    <t>656.1 MB</t>
  </si>
  <si>
    <t>Dec 17, 2025 5:21 PM</t>
  </si>
  <si>
    <r>
      <rPr>
        <rFont val="Calibri"/>
        <b/>
        <color rgb="FF1155CC"/>
        <sz val="11.0"/>
        <u/>
      </rPr>
      <t>01-WORK IN PROGRESS/BIM/MODELS/DELEGATED DESIGN R22/STEEL STRUCTURE</t>
    </r>
  </si>
  <si>
    <r>
      <rPr>
        <rFont val="Calibri"/>
        <b/>
        <color rgb="FF1155CC"/>
        <sz val="11.0"/>
        <u/>
      </rPr>
      <t>CPQ11-STRC-STEE-COL5-R22.RVT</t>
    </r>
  </si>
  <si>
    <t>734.7 MB</t>
  </si>
  <si>
    <r>
      <rPr>
        <rFont val="Calibri"/>
        <b/>
        <color rgb="FF1155CC"/>
        <sz val="11.0"/>
        <u/>
      </rPr>
      <t>01-WORK IN PROGRESS/BIM/MODELS/DELEGATED DESIGN R22/STEEL STRUCTURE</t>
    </r>
  </si>
  <si>
    <r>
      <rPr>
        <rFont val="Calibri"/>
        <b/>
        <color rgb="FF1155CC"/>
        <sz val="11.0"/>
        <u/>
      </rPr>
      <t>CPQ11-STRC-STEE-GUAR-R22.RVT</t>
    </r>
  </si>
  <si>
    <t>24.3 MB</t>
  </si>
  <si>
    <r>
      <rPr>
        <rFont val="Calibri"/>
        <b/>
        <color rgb="FF1155CC"/>
        <sz val="11.0"/>
        <u/>
      </rPr>
      <t>01-WORK IN PROGRESS/BIM/MODELS/DELEGATED DESIGN R22/STEEL STRUCTURE</t>
    </r>
  </si>
  <si>
    <r>
      <rPr>
        <rFont val="Calibri"/>
        <b/>
        <color rgb="FF1155CC"/>
        <sz val="11.0"/>
        <u/>
      </rPr>
      <t>CPQ11-STRC-STEE-STIR-R22.RVT</t>
    </r>
  </si>
  <si>
    <t>102.2 MB</t>
  </si>
  <si>
    <r>
      <rPr>
        <rFont val="Calibri"/>
        <b/>
        <color rgb="FF1155CC"/>
        <sz val="11.0"/>
        <u/>
      </rPr>
      <t>01-WORK IN PROGRESS/BIM/MODELS/DELEGATED DESIGN R22/STEEL STRUCTURE</t>
    </r>
  </si>
  <si>
    <r>
      <rPr>
        <rFont val="Calibri"/>
        <b/>
        <color rgb="FF1155CC"/>
        <sz val="11.0"/>
        <u/>
      </rPr>
      <t>CPQ11-STRC-STEE-UTLS-R22.RVT</t>
    </r>
  </si>
  <si>
    <t>99.9 MB</t>
  </si>
  <si>
    <t>Feb 13, 2026 10:27 AM</t>
  </si>
  <si>
    <r>
      <rPr>
        <rFont val="Calibri"/>
        <b/>
        <color rgb="FF1155CC"/>
        <sz val="11.0"/>
        <u/>
      </rPr>
      <t>01-WORK IN PROGRESS/BIM/MODELS/DELEGATED DESIGN R22/STRC/NWC</t>
    </r>
  </si>
  <si>
    <r>
      <rPr>
        <rFont val="Calibri"/>
        <b/>
        <color rgb="FF1155CC"/>
        <sz val="11.0"/>
        <u/>
      </rPr>
      <t>CPQ11-STRC-CONC-DATA-R22.nwc</t>
    </r>
  </si>
  <si>
    <t>472.5 KB</t>
  </si>
  <si>
    <t>Apr 22, 2026 11:13 AM</t>
  </si>
  <si>
    <r>
      <rPr>
        <rFont val="Calibri"/>
        <b/>
        <color rgb="FF1155CC"/>
        <sz val="11.0"/>
        <u/>
      </rPr>
      <t>01-WORK IN PROGRESS/BIM/MODELS/DELEGATED DESIGN R22/STRC/NWC</t>
    </r>
  </si>
  <si>
    <r>
      <rPr>
        <rFont val="Calibri"/>
        <b/>
        <color rgb="FF1155CC"/>
        <sz val="11.0"/>
        <u/>
      </rPr>
      <t>CPQ11-STRC-CONC-SITE-R22.nwc</t>
    </r>
  </si>
  <si>
    <t>586.2 KB</t>
  </si>
  <si>
    <t>May 12, 2026 10:53 AM</t>
  </si>
  <si>
    <r>
      <rPr>
        <rFont val="Calibri"/>
        <b/>
        <color rgb="FF1155CC"/>
        <sz val="11.0"/>
        <u/>
      </rPr>
      <t>01-WORK IN PROGRESS/BIM/MODELS/DELEGATED DESIGN R22/STRC/NWC</t>
    </r>
  </si>
  <si>
    <r>
      <rPr>
        <rFont val="Calibri"/>
        <b/>
        <color rgb="FF1155CC"/>
        <sz val="11.0"/>
        <u/>
      </rPr>
      <t>CPQ11-STRC-DPFN-DATA-R22.nwc</t>
    </r>
  </si>
  <si>
    <t>265.4 KB</t>
  </si>
  <si>
    <t>Apr 28, 2026 11:32 AM</t>
  </si>
  <si>
    <r>
      <rPr>
        <rFont val="Calibri"/>
        <b/>
        <color rgb="FF1155CC"/>
        <sz val="11.0"/>
        <u/>
      </rPr>
      <t>01-WORK IN PROGRESS/BIM/MODELS/DELEGATED DESIGN R22/STRC/NWC</t>
    </r>
  </si>
  <si>
    <r>
      <rPr>
        <rFont val="Calibri"/>
        <b/>
        <color rgb="FF1155CC"/>
        <sz val="11.0"/>
        <u/>
      </rPr>
      <t>CPQ11-STRC-DPFN-SITE-R22.nwc</t>
    </r>
  </si>
  <si>
    <r>
      <rPr>
        <rFont val="Calibri"/>
        <b/>
        <color rgb="FF1155CC"/>
        <sz val="11.0"/>
        <u/>
      </rPr>
      <t>01-WORK IN PROGRESS/BIM/MODELS/DELEGATED DESIGN R22/STRC/NWC</t>
    </r>
  </si>
  <si>
    <r>
      <rPr>
        <rFont val="Calibri"/>
        <b/>
        <color rgb="FF1155CC"/>
        <sz val="11.0"/>
        <u/>
      </rPr>
      <t>CPQ11-STRC-FLOO-DATA-R22.nwc</t>
    </r>
  </si>
  <si>
    <t>2.8 GB</t>
  </si>
  <si>
    <t>May 5, 2026 5:24 PM</t>
  </si>
  <si>
    <r>
      <rPr>
        <rFont val="Calibri"/>
        <b/>
        <color rgb="FF1155CC"/>
        <sz val="11.0"/>
        <u/>
      </rPr>
      <t>01-WORK IN PROGRESS/BIM/MODELS/DELEGATED DESIGN R22/STRC/NWC</t>
    </r>
  </si>
  <si>
    <r>
      <rPr>
        <rFont val="Calibri"/>
        <b/>
        <color rgb="FF1155CC"/>
        <sz val="11.0"/>
        <u/>
      </rPr>
      <t>CPQ11-STRC-FLOO-SITE-R22.nwc</t>
    </r>
  </si>
  <si>
    <t>53.7 MB</t>
  </si>
  <si>
    <t>May 5, 2026 2:44 PM</t>
  </si>
  <si>
    <r>
      <rPr>
        <rFont val="Calibri"/>
        <b/>
        <color rgb="FF1155CC"/>
        <sz val="11.0"/>
        <u/>
      </rPr>
      <t>01-WORK IN PROGRESS/BIM/MODELS/DELEGATED DESIGN R22/STRC</t>
    </r>
  </si>
  <si>
    <r>
      <rPr>
        <rFont val="Calibri"/>
        <b/>
        <color rgb="FF1155CC"/>
        <sz val="11.0"/>
        <u/>
      </rPr>
      <t>CPQ11-STRC-CONC-DATA-R22.rvt</t>
    </r>
  </si>
  <si>
    <t>16.6 MB</t>
  </si>
  <si>
    <t>Apr 22, 2026 11:16 AM</t>
  </si>
  <si>
    <r>
      <rPr>
        <rFont val="Calibri"/>
        <b/>
        <color rgb="FF1155CC"/>
        <sz val="11.0"/>
        <u/>
      </rPr>
      <t>01-WORK IN PROGRESS/BIM/MODELS/DELEGATED DESIGN R22/STRC</t>
    </r>
  </si>
  <si>
    <r>
      <rPr>
        <rFont val="Calibri"/>
        <b/>
        <color rgb="FF1155CC"/>
        <sz val="11.0"/>
        <u/>
      </rPr>
      <t>CPQ11-STRC-CONC-SITE-R22.rvt</t>
    </r>
  </si>
  <si>
    <t>May 12, 2026 10:55 AM</t>
  </si>
  <si>
    <r>
      <rPr>
        <rFont val="Calibri"/>
        <b/>
        <color rgb="FF1155CC"/>
        <sz val="11.0"/>
        <u/>
      </rPr>
      <t>01-WORK IN PROGRESS/BIM/MODELS/DELEGATED DESIGN R22/STRC</t>
    </r>
  </si>
  <si>
    <r>
      <rPr>
        <rFont val="Calibri"/>
        <b/>
        <color rgb="FF1155CC"/>
        <sz val="11.0"/>
        <u/>
      </rPr>
      <t>CPQ11-STRC-DPFN-DATA-R22.rvt</t>
    </r>
  </si>
  <si>
    <t>Apr 28, 2026 11:33 AM</t>
  </si>
  <si>
    <r>
      <rPr>
        <rFont val="Calibri"/>
        <b/>
        <color rgb="FF1155CC"/>
        <sz val="11.0"/>
        <u/>
      </rPr>
      <t>01-WORK IN PROGRESS/BIM/MODELS/DELEGATED DESIGN R22/STRC</t>
    </r>
  </si>
  <si>
    <r>
      <rPr>
        <rFont val="Calibri"/>
        <b/>
        <color rgb="FF1155CC"/>
        <sz val="11.0"/>
        <u/>
      </rPr>
      <t>CPQ11-STRC-DPFN-SITE-R22.rvt</t>
    </r>
  </si>
  <si>
    <t>13.7 MB</t>
  </si>
  <si>
    <r>
      <rPr>
        <rFont val="Calibri"/>
        <b/>
        <color rgb="FF1155CC"/>
        <sz val="11.0"/>
        <u/>
      </rPr>
      <t>01-WORK IN PROGRESS/BIM/MODELS/DELEGATED DESIGN R22/STRC</t>
    </r>
  </si>
  <si>
    <r>
      <rPr>
        <rFont val="Calibri"/>
        <b/>
        <color rgb="FF1155CC"/>
        <sz val="11.0"/>
        <u/>
      </rPr>
      <t>CPQ11-STRC-FLOO-DATA-R22.rvt</t>
    </r>
  </si>
  <si>
    <t>130.4 MB</t>
  </si>
  <si>
    <t>May 5, 2026 5:51 PM</t>
  </si>
  <si>
    <r>
      <rPr>
        <rFont val="Calibri"/>
        <b/>
        <color rgb="FF1155CC"/>
        <sz val="11.0"/>
        <u/>
      </rPr>
      <t>01-WORK IN PROGRESS/BIM/MODELS/DELEGATED DESIGN R22/STRC</t>
    </r>
  </si>
  <si>
    <r>
      <rPr>
        <rFont val="Calibri"/>
        <b/>
        <color rgb="FF1155CC"/>
        <sz val="11.0"/>
        <u/>
      </rPr>
      <t>CPQ11-STRC-FLOO-SITE-R22.rvt</t>
    </r>
  </si>
  <si>
    <t>16.8 MB</t>
  </si>
  <si>
    <t>CONTROLE DE MODELOS APROVADOS - RESULTADOS GERAIS</t>
  </si>
  <si>
    <t xml:space="preserve">TOTAL DE MODELOS </t>
  </si>
  <si>
    <t xml:space="preserve">MODELOS PUBLICADOS </t>
  </si>
  <si>
    <t xml:space="preserve">QUANTIDADE MODELOS ADMN </t>
  </si>
  <si>
    <t>APROVAÇÃO ADMN</t>
  </si>
  <si>
    <t>QUANTIDADE MODELOS REPROVADOS COLO1</t>
  </si>
  <si>
    <t>QUANTIDADE MODELOS COLO1</t>
  </si>
  <si>
    <t>APROVAÇÃO COLO1</t>
  </si>
  <si>
    <t>QUANTIDADE MODELOS COLO2</t>
  </si>
  <si>
    <t>APROVAÇÃO COLO2</t>
  </si>
  <si>
    <t>QUANTIDADE MODELOS REPROVADOS COLO2</t>
  </si>
  <si>
    <t>QUANTIDADE MODELOS ANEXOS</t>
  </si>
  <si>
    <t>APROVAÇÃO ANEXOS</t>
  </si>
  <si>
    <t xml:space="preserve">QUANTIDADE MODELOS REPROVADOS ANEXOS </t>
  </si>
  <si>
    <t xml:space="preserve">QUANTIDADE DE MODELOS TOTAL PARA SEREM APROVADOS </t>
  </si>
  <si>
    <t xml:space="preserve">APROVAÇÃO TOTAL DE MODELOS </t>
  </si>
  <si>
    <t>N°</t>
  </si>
  <si>
    <t>%</t>
  </si>
  <si>
    <t>LOD_SPECIFIC AUDIT_CONTROL | LOD 300</t>
  </si>
  <si>
    <t>DISCIPLINE</t>
  </si>
  <si>
    <t>SUBDICIPLINE</t>
  </si>
  <si>
    <t>SOFTWARE</t>
  </si>
  <si>
    <t>EXTENSION</t>
  </si>
  <si>
    <t>ACC VERSION - META DO DIA 10/10</t>
  </si>
  <si>
    <t>ACC FILE DATE - META DO DIA 10/10</t>
  </si>
  <si>
    <t>ARCH</t>
  </si>
  <si>
    <t>FNSH</t>
  </si>
  <si>
    <t>.rvt</t>
  </si>
  <si>
    <t>ALUF</t>
  </si>
  <si>
    <t>FENC</t>
  </si>
  <si>
    <t>WOOD</t>
  </si>
  <si>
    <t>BLPR</t>
  </si>
  <si>
    <t>CHAI</t>
  </si>
  <si>
    <t>FACD</t>
  </si>
  <si>
    <t>FURN</t>
  </si>
  <si>
    <t>NEWJ</t>
  </si>
  <si>
    <t>WTRP</t>
  </si>
  <si>
    <t>OHCD</t>
  </si>
  <si>
    <t>HM90</t>
  </si>
  <si>
    <t>HMET</t>
  </si>
  <si>
    <t>METL</t>
  </si>
  <si>
    <t>30/09/2025</t>
  </si>
  <si>
    <t>PART</t>
  </si>
  <si>
    <t>COMN</t>
  </si>
  <si>
    <t>SGNV</t>
  </si>
  <si>
    <t>SGNH</t>
  </si>
  <si>
    <t>CEIL</t>
  </si>
  <si>
    <t>ROOF</t>
  </si>
  <si>
    <t>SHLV</t>
  </si>
  <si>
    <t>17/09/2025</t>
  </si>
  <si>
    <t>WMES</t>
  </si>
  <si>
    <t>31/07/2025</t>
  </si>
  <si>
    <t>BASM</t>
  </si>
  <si>
    <t>DEVS</t>
  </si>
  <si>
    <t>INFR</t>
  </si>
  <si>
    <t>CIVL</t>
  </si>
  <si>
    <t>DRNG</t>
  </si>
  <si>
    <t>15/09/2025</t>
  </si>
  <si>
    <t>ERTH</t>
  </si>
  <si>
    <t>LOCK</t>
  </si>
  <si>
    <t>PAVM</t>
  </si>
  <si>
    <t>14/09/2025</t>
  </si>
  <si>
    <t>DALI</t>
  </si>
  <si>
    <t>DASM</t>
  </si>
  <si>
    <t>ELEC</t>
  </si>
  <si>
    <t>SPDA</t>
  </si>
  <si>
    <t>EPMS</t>
  </si>
  <si>
    <t>FALM</t>
  </si>
  <si>
    <t>FPRT</t>
  </si>
  <si>
    <t>METK</t>
  </si>
  <si>
    <t>MECH</t>
  </si>
  <si>
    <t>V44</t>
  </si>
  <si>
    <t>PLMB</t>
  </si>
  <si>
    <t>DIES</t>
  </si>
  <si>
    <t>NPWT</t>
  </si>
  <si>
    <t>01/08/2025</t>
  </si>
  <si>
    <t>ROIP</t>
  </si>
  <si>
    <t>SCTY</t>
  </si>
  <si>
    <t>STRC</t>
  </si>
  <si>
    <t>CONC</t>
  </si>
  <si>
    <t>DPFN</t>
  </si>
  <si>
    <t>STEE</t>
  </si>
  <si>
    <t>2X3</t>
  </si>
  <si>
    <t>.ifc</t>
  </si>
  <si>
    <t>SYST</t>
  </si>
  <si>
    <t>10/09/2025</t>
  </si>
  <si>
    <t>LAND</t>
  </si>
  <si>
    <t>TCOM</t>
  </si>
  <si>
    <t>SIGN</t>
  </si>
  <si>
    <t>FLOO</t>
  </si>
  <si>
    <t>FERNANDES</t>
  </si>
  <si>
    <t>DPF1</t>
  </si>
  <si>
    <t>DPF2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</si>
</sst>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numFmt numFmtId="166" formatCode="0000"/>
    <numFmt numFmtId="167" formatCode="dd&quot;/&quot;mm&quot;/&quot;yyyy"/>
    <numFmt numFmtId="168" formatCode="mm&quot;/&quot;d"/>
    <numFmt numFmtId="169" formatCode="d/m/yyyy"/>
    <numFmt numFmtId="170" formatCode="mmm d, yyyy hh:mm"/>
  </numFmts>
  <fonts count="23">
    <font>
      <sz val="10.0"/>
      <color rgb="FF000000"/>
      <name val="Arial"/>
      <scheme val="minor"/>
    </font>
    <font>
      <b/>
      <sz val="24.0"/>
      <color theme="1"/>
      <name val="Arial"/>
    </font>
    <font>
      <b/>
      <sz val="30.0"/>
      <color theme="1"/>
      <name val="Arial"/>
    </font>
    <font/>
    <font>
      <sz val="20.0"/>
      <color theme="1"/>
      <name val="Arial"/>
    </font>
    <font>
      <sz val="24.0"/>
      <color theme="1"/>
      <name val="Arial"/>
    </font>
    <font>
      <color theme="1"/>
      <name val="Arial"/>
      <scheme val="minor"/>
    </font>
    <font>
      <sz val="21.0"/>
      <color theme="1"/>
      <name val="Arial"/>
    </font>
    <font>
      <sz val="19.0"/>
      <color theme="1"/>
      <name val="Arial"/>
    </font>
    <font>
      <b/>
      <sz val="10.0"/>
      <color theme="1"/>
      <name val="Arial"/>
    </font>
    <font>
      <b/>
      <color theme="1"/>
      <name val="Arial"/>
    </font>
    <font>
      <sz val="10.0"/>
      <color theme="1"/>
      <name val="Arial"/>
    </font>
    <font>
      <sz val="10.0"/>
      <color rgb="FF000000"/>
      <name val="Arial"/>
    </font>
    <font>
      <sz val="11.0"/>
      <color rgb="FF000000"/>
      <name val="Arial"/>
    </font>
    <font>
      <color theme="1"/>
      <name val="Arial"/>
    </font>
    <font>
      <sz val="11.0"/>
      <color theme="1"/>
      <name val="Arial"/>
    </font>
    <font>
      <sz val="12.0"/>
      <color theme="1"/>
      <name val="Arial"/>
    </font>
    <font>
      <sz val="12.0"/>
      <color rgb="FF000000"/>
      <name val="Arial"/>
    </font>
    <font>
      <b/>
      <sz val="11.0"/>
      <color theme="1"/>
      <name val="Arial"/>
    </font>
    <font>
      <b/>
      <sz val="12.0"/>
      <color theme="1"/>
      <name val="Arial"/>
    </font>
    <font>
      <b/>
      <sz val="13.0"/>
      <color theme="1"/>
      <name val="Arial"/>
    </font>
    <font>
      <b/>
      <u/>
      <sz val="11.0"/>
      <color rgb="FF0000FF"/>
      <name val="Calibri"/>
    </font>
    <font>
      <b/>
      <sz val="11.0"/>
      <color theme="1"/>
      <name val="Calibri"/>
    </font>
  </fonts>
  <fills count="34">
    <fill>
      <patternFill patternType="none"/>
    </fill>
    <fill>
      <patternFill patternType="lightGray"/>
    </fill>
    <fill>
      <patternFill patternType="solid">
        <fgColor rgb="FFB7B7B7"/>
        <bgColor rgb="FFB7B7B7"/>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EA9999"/>
        <bgColor rgb="FFEA9999"/>
      </patternFill>
    </fill>
    <fill>
      <patternFill patternType="solid">
        <fgColor rgb="FFDFE3AB"/>
        <bgColor rgb="FFDFE3AB"/>
      </patternFill>
    </fill>
    <fill>
      <patternFill patternType="solid">
        <fgColor rgb="FFEAD1DC"/>
        <bgColor rgb="FFEAD1DC"/>
      </patternFill>
    </fill>
    <fill>
      <patternFill patternType="solid">
        <fgColor rgb="FFA6C9EC"/>
        <bgColor rgb="FFA6C9EC"/>
      </patternFill>
    </fill>
    <fill>
      <patternFill patternType="solid">
        <fgColor rgb="FFDAE9F8"/>
        <bgColor rgb="FFDAE9F8"/>
      </patternFill>
    </fill>
    <fill>
      <patternFill patternType="solid">
        <fgColor rgb="FFE49EDD"/>
        <bgColor rgb="FFE49EDD"/>
      </patternFill>
    </fill>
    <fill>
      <patternFill patternType="solid">
        <fgColor rgb="FFFDCFF8"/>
        <bgColor rgb="FFFDCFF8"/>
      </patternFill>
    </fill>
    <fill>
      <patternFill patternType="solid">
        <fgColor rgb="FFFF9999"/>
        <bgColor rgb="FFFF9999"/>
      </patternFill>
    </fill>
    <fill>
      <patternFill patternType="solid">
        <fgColor rgb="FFFFCCCC"/>
        <bgColor rgb="FFFFCCCC"/>
      </patternFill>
    </fill>
    <fill>
      <patternFill patternType="solid">
        <fgColor rgb="FFC0E6F5"/>
        <bgColor rgb="FFC0E6F5"/>
      </patternFill>
    </fill>
    <fill>
      <patternFill patternType="solid">
        <fgColor rgb="FFA6CABA"/>
        <bgColor rgb="FFA6CABA"/>
      </patternFill>
    </fill>
    <fill>
      <patternFill patternType="solid">
        <fgColor rgb="FFDAF2D0"/>
        <bgColor rgb="FFDAF2D0"/>
      </patternFill>
    </fill>
    <fill>
      <patternFill patternType="solid">
        <fgColor rgb="FFA6A6A6"/>
        <bgColor rgb="FFA6A6A6"/>
      </patternFill>
    </fill>
    <fill>
      <patternFill patternType="solid">
        <fgColor rgb="FFFFE599"/>
        <bgColor rgb="FFFFE599"/>
      </patternFill>
    </fill>
    <fill>
      <patternFill patternType="solid">
        <fgColor rgb="FFD0E0E3"/>
        <bgColor rgb="FFD0E0E3"/>
      </patternFill>
    </fill>
    <fill>
      <patternFill patternType="solid">
        <fgColor theme="0"/>
        <bgColor theme="0"/>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EEEEEE"/>
        <bgColor rgb="FFEEEEEE"/>
      </patternFill>
    </fill>
    <fill>
      <patternFill patternType="solid">
        <fgColor rgb="FFB6D7A8"/>
        <bgColor rgb="FFB6D7A8"/>
      </patternFill>
    </fill>
  </fills>
  <borders count="187">
    <border/>
    <border>
      <left style="thick">
        <color rgb="FF434343"/>
      </left>
      <top style="thick">
        <color rgb="FF434343"/>
      </top>
    </border>
    <border>
      <top style="thick">
        <color rgb="FF434343"/>
      </top>
    </border>
    <border>
      <right style="thick">
        <color rgb="FF434343"/>
      </right>
      <top style="thick">
        <color rgb="FF434343"/>
      </top>
    </border>
    <border>
      <left style="thin">
        <color rgb="FF000000"/>
      </left>
      <top style="thin">
        <color rgb="FF000000"/>
      </top>
      <bottom style="thin">
        <color rgb="FF000000"/>
      </bottom>
    </border>
    <border>
      <left style="thick">
        <color rgb="FF434343"/>
      </left>
      <top style="thick">
        <color rgb="FFCCCCCC"/>
      </top>
    </border>
    <border>
      <top style="thick">
        <color rgb="FFCCCCCC"/>
      </top>
    </border>
    <border>
      <left style="thin">
        <color rgb="FF000000"/>
      </left>
      <top style="thick">
        <color rgb="FFCCCCCC"/>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666666"/>
      </left>
      <bottom style="thin">
        <color rgb="FFD9D9D9"/>
      </bottom>
    </border>
    <border>
      <left style="thick">
        <color rgb="FF434343"/>
      </left>
      <top style="thick">
        <color rgb="FF434343"/>
      </top>
      <bottom style="thick">
        <color rgb="FF434343"/>
      </bottom>
    </border>
    <border>
      <left style="thin">
        <color rgb="FF000000"/>
      </left>
      <right style="thin">
        <color rgb="FFD9D9D9"/>
      </right>
      <top style="thick">
        <color rgb="FF434343"/>
      </top>
      <bottom style="thick">
        <color rgb="FF434343"/>
      </bottom>
    </border>
    <border>
      <left style="thin">
        <color rgb="FFD9D9D9"/>
      </left>
      <right style="thin">
        <color rgb="FFD9D9D9"/>
      </right>
      <top style="thick">
        <color rgb="FF434343"/>
      </top>
      <bottom style="thick">
        <color rgb="FF434343"/>
      </bottom>
    </border>
    <border>
      <top style="thick">
        <color rgb="FF434343"/>
      </top>
      <bottom style="thick">
        <color rgb="FF434343"/>
      </bottom>
    </border>
    <border>
      <left style="thin">
        <color rgb="FFD9D9D9"/>
      </left>
      <right style="thin">
        <color rgb="FF000000"/>
      </right>
      <top style="thick">
        <color rgb="FF434343"/>
      </top>
      <bottom style="thick">
        <color rgb="FF434343"/>
      </bottom>
    </border>
    <border>
      <left style="thin">
        <color rgb="FFD9D9D9"/>
      </left>
      <top style="thick">
        <color rgb="FF434343"/>
      </top>
      <bottom style="thick">
        <color rgb="FF434343"/>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thick">
        <color rgb="FF434343"/>
      </top>
      <bottom style="thick">
        <color rgb="FF434343"/>
      </bottom>
    </border>
    <border>
      <left style="thin">
        <color rgb="FFD9D9D9"/>
      </left>
      <bottom style="thick">
        <color rgb="FF434343"/>
      </bottom>
    </border>
    <border>
      <left style="thin">
        <color rgb="FFCCCCCC"/>
      </left>
      <right style="thin">
        <color rgb="FFCCCCCC"/>
      </right>
      <bottom style="thick">
        <color rgb="FF434343"/>
      </bottom>
    </border>
    <border>
      <right style="thin">
        <color rgb="FFD9D9D9"/>
      </right>
      <bottom style="thick">
        <color rgb="FF434343"/>
      </bottom>
    </border>
    <border>
      <left style="thin">
        <color rgb="FFD9D9D9"/>
      </left>
      <right style="thin">
        <color rgb="FFD9D9D9"/>
      </right>
      <bottom style="thick">
        <color rgb="FF434343"/>
      </bottom>
    </border>
    <border>
      <bottom style="thick">
        <color rgb="FF434343"/>
      </bottom>
    </border>
    <border>
      <left style="thick">
        <color rgb="FF434343"/>
      </left>
      <right style="thin">
        <color rgb="FFD9D9D9"/>
      </right>
      <bottom style="thick">
        <color rgb="FF434343"/>
      </bottom>
    </border>
    <border>
      <right style="thick">
        <color rgb="FF434343"/>
      </right>
      <bottom style="thick">
        <color rgb="FF434343"/>
      </bottom>
    </border>
    <border>
      <left style="thick">
        <color rgb="FF666666"/>
      </left>
      <top style="thin">
        <color rgb="FFD9D9D9"/>
      </top>
      <bottom style="thin">
        <color rgb="FFD9D9D9"/>
      </bottom>
    </border>
    <border>
      <right style="thin">
        <color rgb="FF000000"/>
      </right>
      <top style="thick">
        <color rgb="FF434343"/>
      </top>
    </border>
    <border>
      <left style="thin">
        <color rgb="FF000000"/>
      </left>
      <right style="thin">
        <color rgb="FF000000"/>
      </right>
      <top style="thick">
        <color rgb="FF434343"/>
      </top>
    </border>
    <border>
      <left style="thin">
        <color rgb="FF000000"/>
      </left>
      <top style="thick">
        <color rgb="FF434343"/>
      </top>
    </border>
    <border>
      <left style="thick">
        <color rgb="FF434343"/>
      </left>
      <right style="thin">
        <color rgb="FFFFFFFF"/>
      </right>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CCCCCC"/>
      </left>
      <top style="thin">
        <color rgb="FFCCCCCC"/>
      </top>
      <bottom style="thin">
        <color rgb="FFCCCCCC"/>
      </bottom>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left style="thick">
        <color rgb="FF000000"/>
      </left>
      <right style="thin">
        <color rgb="FF434343"/>
      </right>
      <bottom style="thin">
        <color rgb="FFD9D9D9"/>
      </bottom>
    </border>
    <border>
      <right style="thin">
        <color rgb="FF434343"/>
      </right>
      <bottom style="thin">
        <color rgb="FFD9D9D9"/>
      </bottom>
    </border>
    <border>
      <bottom style="thin">
        <color rgb="FFD9D9D9"/>
      </bottom>
    </border>
    <border>
      <left style="thin">
        <color rgb="FF000000"/>
      </left>
      <top style="thin">
        <color rgb="FFCCCCCC"/>
      </top>
      <bottom style="thin">
        <color rgb="FFCCCCCC"/>
      </bottom>
    </border>
    <border>
      <left style="thin">
        <color rgb="FF000000"/>
      </left>
      <right style="thin">
        <color rgb="FF000000"/>
      </right>
      <top style="thin">
        <color rgb="FFCCCCCC"/>
      </top>
      <bottom style="thin">
        <color rgb="FFCCCCCC"/>
      </bottom>
    </border>
    <border>
      <left style="thin">
        <color rgb="FF000000"/>
      </left>
      <right style="thin">
        <color rgb="FF000000"/>
      </right>
      <bottom style="thin">
        <color rgb="FFCCCCCC"/>
      </bottom>
    </border>
    <border>
      <left style="thin">
        <color rgb="FF000000"/>
      </left>
      <bottom style="thin">
        <color rgb="FFCCCCCC"/>
      </bottom>
    </border>
    <border>
      <left style="thin">
        <color rgb="FF000000"/>
      </left>
      <right style="thin">
        <color rgb="FF434343"/>
      </right>
    </border>
    <border>
      <right style="thin">
        <color rgb="FF000000"/>
      </right>
      <top style="thin">
        <color rgb="FFD9D9D9"/>
      </top>
      <bottom style="thin">
        <color rgb="FFD9D9D9"/>
      </bottom>
    </border>
    <border>
      <right style="thin">
        <color rgb="FF000000"/>
      </right>
      <bottom style="thin">
        <color rgb="FFD9D9D9"/>
      </bottom>
    </border>
    <border>
      <right style="thin">
        <color rgb="FF000000"/>
      </right>
      <top style="thin">
        <color rgb="FFCCCCCC"/>
      </top>
      <bottom style="thin">
        <color rgb="FFCCCCCC"/>
      </bottom>
    </border>
    <border>
      <top style="thin">
        <color rgb="FFCCCCCC"/>
      </top>
      <bottom style="thin">
        <color rgb="FFCCCCCC"/>
      </bottom>
    </border>
    <border>
      <right style="thin">
        <color rgb="FF434343"/>
      </right>
    </border>
    <border>
      <left style="thin">
        <color rgb="FF000000"/>
      </left>
      <right style="thin">
        <color rgb="FF000000"/>
      </right>
      <bottom style="thin">
        <color rgb="FFB7B7B7"/>
      </bottom>
    </border>
    <border>
      <right style="thin">
        <color rgb="FF000000"/>
      </right>
      <bottom style="thin">
        <color rgb="FFCCCCCC"/>
      </bottom>
    </border>
    <border>
      <bottom style="thin">
        <color rgb="FFCCCCCC"/>
      </bottom>
    </border>
    <border>
      <left style="thin">
        <color rgb="FF000000"/>
      </left>
    </border>
    <border>
      <right style="thin">
        <color rgb="FF434343"/>
      </right>
      <top style="thin">
        <color rgb="FFD9D9D9"/>
      </top>
      <bottom style="thin">
        <color rgb="FFD9D9D9"/>
      </bottom>
    </border>
    <border>
      <left style="thin">
        <color rgb="FF000000"/>
      </left>
      <right style="thin">
        <color rgb="FF000000"/>
      </right>
      <bottom style="thin">
        <color rgb="FFD9D9D9"/>
      </bottom>
    </border>
    <border>
      <left style="thin">
        <color rgb="FF000000"/>
      </left>
      <bottom style="thin">
        <color rgb="FFD9D9D9"/>
      </bottom>
    </border>
    <border>
      <right style="thick">
        <color rgb="FF434343"/>
      </right>
    </border>
    <border>
      <left style="thick">
        <color rgb="FF434343"/>
      </left>
      <right style="thin">
        <color rgb="FFFFFFFF"/>
      </right>
      <bottom style="thin">
        <color rgb="FFD9D9D9"/>
      </bottom>
    </border>
    <border>
      <left style="thick">
        <color rgb="FF000000"/>
      </left>
      <right style="thin">
        <color rgb="FF434343"/>
      </right>
      <top style="thin">
        <color rgb="FFD9D9D9"/>
      </top>
      <bottom style="thin">
        <color rgb="FFD9D9D9"/>
      </bottom>
    </border>
    <border>
      <top style="thin">
        <color rgb="FFD9D9D9"/>
      </top>
      <bottom style="thin">
        <color rgb="FFD9D9D9"/>
      </bottom>
    </border>
    <border>
      <left style="thin">
        <color rgb="FF000000"/>
      </left>
      <right style="thin">
        <color rgb="FF434343"/>
      </right>
      <top style="thin">
        <color rgb="FFD9D9D9"/>
      </top>
      <bottom style="thin">
        <color rgb="FFD9D9D9"/>
      </bottom>
    </border>
    <border>
      <left style="thin">
        <color rgb="FF000000"/>
      </left>
      <right style="thin">
        <color rgb="FF000000"/>
      </right>
      <top style="thin">
        <color rgb="FFD9D9D9"/>
      </top>
      <bottom style="thin">
        <color rgb="FFD9D9D9"/>
      </bottom>
    </border>
    <border>
      <left style="thin">
        <color rgb="FF000000"/>
      </left>
      <top style="thin">
        <color rgb="FFD9D9D9"/>
      </top>
      <bottom style="thin">
        <color rgb="FFD9D9D9"/>
      </bottom>
    </border>
    <border>
      <left style="thick">
        <color rgb="FF434343"/>
      </left>
      <right style="thin">
        <color rgb="FFFFFFFF"/>
      </right>
      <top style="thin">
        <color rgb="FFD9D9D9"/>
      </top>
      <bottom style="thin">
        <color rgb="FFB7B7B7"/>
      </bottom>
    </border>
    <border>
      <top style="thin">
        <color rgb="FFB7B7B7"/>
      </top>
      <bottom style="thin">
        <color rgb="FFB7B7B7"/>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bottom style="thin">
        <color rgb="FFD9D9D9"/>
      </bottom>
    </border>
    <border>
      <left style="thick">
        <color rgb="FF434343"/>
      </left>
      <right style="thin">
        <color rgb="FFFFFFFF"/>
      </right>
      <top style="thin">
        <color rgb="FFB7B7B7"/>
      </top>
      <bottom style="thin">
        <color rgb="FFD9D9D9"/>
      </bottom>
    </border>
    <border>
      <left style="thin">
        <color rgb="FFD9D9D9"/>
      </left>
      <top style="thin">
        <color rgb="FFD9D9D9"/>
      </top>
      <bottom style="thin">
        <color rgb="FFD9D9D9"/>
      </bottom>
    </border>
    <border>
      <left style="thick">
        <color rgb="FF434343"/>
      </left>
      <right style="thin">
        <color rgb="FFFFFFFF"/>
      </right>
      <top style="thin">
        <color rgb="FFD9D9D9"/>
      </top>
      <bottom style="thin">
        <color rgb="FFD9D9D9"/>
      </bottom>
    </border>
    <border>
      <left style="thick">
        <color rgb="FF000000"/>
      </left>
      <right style="thin">
        <color rgb="FF000000"/>
      </right>
      <top style="thin">
        <color rgb="FFD9D9D9"/>
      </top>
      <bottom style="thin">
        <color rgb="FFD9D9D9"/>
      </bottom>
    </border>
    <border>
      <left style="thin">
        <color rgb="FF000000"/>
      </left>
      <right style="thick">
        <color rgb="FF434343"/>
      </right>
    </border>
    <border>
      <left style="thick">
        <color rgb="FF434343"/>
      </left>
      <right style="thin">
        <color rgb="FF000000"/>
      </right>
      <top style="thin">
        <color rgb="FFD9D9D9"/>
      </top>
      <bottom style="thin">
        <color rgb="FFD9D9D9"/>
      </bottom>
    </border>
    <border>
      <left style="thin">
        <color rgb="FF000000"/>
      </left>
      <right style="thin">
        <color rgb="FF434343"/>
      </right>
      <bottom style="thin">
        <color rgb="FFCCCCCC"/>
      </bottom>
    </border>
    <border>
      <left style="thin">
        <color rgb="FF434343"/>
      </left>
      <right style="thin">
        <color rgb="FF434343"/>
      </right>
      <top style="thin">
        <color rgb="FFD9D9D9"/>
      </top>
      <bottom style="thin">
        <color rgb="FFD9D9D9"/>
      </bottom>
    </border>
    <border>
      <left style="thin">
        <color rgb="FF434343"/>
      </left>
      <right style="thin">
        <color rgb="FF000000"/>
      </right>
      <top style="thin">
        <color rgb="FFD9D9D9"/>
      </top>
      <bottom style="thin">
        <color rgb="FFD9D9D9"/>
      </bottom>
    </border>
    <border>
      <left style="thin">
        <color rgb="FF000000"/>
      </left>
      <right style="thin">
        <color rgb="FF000000"/>
      </right>
      <top style="thin">
        <color rgb="FFB7B7B7"/>
      </top>
      <bottom style="thin">
        <color rgb="FFB7B7B7"/>
      </bottom>
    </border>
    <border>
      <left style="thin">
        <color rgb="FF000000"/>
      </left>
      <right style="thin">
        <color rgb="FF000000"/>
      </right>
    </border>
    <border>
      <left style="thin">
        <color rgb="FF000000"/>
      </left>
      <right style="thick">
        <color rgb="FF434343"/>
      </right>
      <bottom style="thin">
        <color rgb="FFCCCCCC"/>
      </bottom>
    </border>
    <border>
      <left style="thin">
        <color rgb="FFD9D9D9"/>
      </left>
      <right style="thin">
        <color rgb="FFCCCCCC"/>
      </right>
      <top style="thin">
        <color rgb="FFD9D9D9"/>
      </top>
      <bottom style="thin">
        <color rgb="FFD9D9D9"/>
      </bottom>
    </border>
    <border>
      <right style="thin">
        <color rgb="FFD9D9D9"/>
      </right>
      <top style="thin">
        <color rgb="FFD9D9D9"/>
      </top>
    </border>
    <border>
      <left style="thick">
        <color rgb="FF434343"/>
      </left>
      <right style="thin">
        <color rgb="FFFFFFFF"/>
      </right>
      <bottom style="thick">
        <color rgb="FF000000"/>
      </bottom>
    </border>
    <border>
      <right style="thin">
        <color rgb="FFD9D9D9"/>
      </right>
      <bottom style="thick">
        <color rgb="FF000000"/>
      </bottom>
    </border>
    <border>
      <left style="thin">
        <color rgb="FFD9D9D9"/>
      </left>
      <right style="thin">
        <color rgb="FFD9D9D9"/>
      </right>
      <top style="thin">
        <color rgb="FFD9D9D9"/>
      </top>
      <bottom style="thick">
        <color rgb="FF000000"/>
      </bottom>
    </border>
    <border>
      <right style="thin">
        <color rgb="FFD9D9D9"/>
      </right>
      <top style="thin">
        <color rgb="FFD9D9D9"/>
      </top>
      <bottom style="thick">
        <color rgb="FF000000"/>
      </bottom>
    </border>
    <border>
      <bottom style="thick">
        <color rgb="FF000000"/>
      </bottom>
    </border>
    <border>
      <left style="thin">
        <color rgb="FFD9D9D9"/>
      </left>
      <top style="thin">
        <color rgb="FFD9D9D9"/>
      </top>
      <bottom style="thick">
        <color rgb="FF000000"/>
      </bottom>
    </border>
    <border>
      <left style="thin">
        <color rgb="FFD9D9D9"/>
      </left>
      <bottom style="thick">
        <color rgb="FF000000"/>
      </bottom>
    </border>
    <border>
      <left style="thin">
        <color rgb="FFCCCCCC"/>
      </left>
      <right style="thin">
        <color rgb="FFCCCCCC"/>
      </right>
      <top style="thin">
        <color rgb="FFCCCCCC"/>
      </top>
      <bottom style="thick">
        <color rgb="FF000000"/>
      </bottom>
    </border>
    <border>
      <right style="thin">
        <color rgb="FFCCCCCC"/>
      </right>
      <top style="thin">
        <color rgb="FFCCCCCC"/>
      </top>
      <bottom style="thick">
        <color rgb="FF000000"/>
      </bottom>
    </border>
    <border>
      <top style="thin">
        <color rgb="FFD9D9D9"/>
      </top>
      <bottom style="thick">
        <color rgb="FF000000"/>
      </bottom>
    </border>
    <border>
      <left style="thick">
        <color rgb="FF000000"/>
      </left>
      <right style="thin">
        <color rgb="FF434343"/>
      </right>
      <top style="thin">
        <color rgb="FFD9D9D9"/>
      </top>
      <bottom style="thick">
        <color rgb="FF000000"/>
      </bottom>
    </border>
    <border>
      <right style="thin">
        <color rgb="FF434343"/>
      </right>
      <top style="thin">
        <color rgb="FFD9D9D9"/>
      </top>
      <bottom style="thick">
        <color rgb="FF000000"/>
      </bottom>
    </border>
    <border>
      <left style="thin">
        <color rgb="FF000000"/>
      </left>
      <top style="thin">
        <color rgb="FFCCCCCC"/>
      </top>
      <bottom style="thick">
        <color rgb="FF000000"/>
      </bottom>
    </border>
    <border>
      <left style="thin">
        <color rgb="FF000000"/>
      </left>
      <right style="thin">
        <color rgb="FF000000"/>
      </right>
      <top style="thin">
        <color rgb="FFCCCCCC"/>
      </top>
      <bottom style="thick">
        <color rgb="FF000000"/>
      </bottom>
    </border>
    <border>
      <left style="thin">
        <color rgb="FF000000"/>
      </left>
      <right style="thin">
        <color rgb="FF000000"/>
      </right>
      <bottom style="thick">
        <color rgb="FF000000"/>
      </bottom>
    </border>
    <border>
      <left style="thin">
        <color rgb="FF000000"/>
      </left>
      <bottom style="thick">
        <color rgb="FF000000"/>
      </bottom>
    </border>
    <border>
      <left style="thin">
        <color rgb="FF000000"/>
      </left>
      <right style="thin">
        <color rgb="FF434343"/>
      </right>
      <bottom style="thick">
        <color rgb="FF000000"/>
      </bottom>
    </border>
    <border>
      <right style="thin">
        <color rgb="FF000000"/>
      </right>
      <top style="thin">
        <color rgb="FFD9D9D9"/>
      </top>
      <bottom style="thick">
        <color rgb="FF000000"/>
      </bottom>
    </border>
    <border>
      <right style="thin">
        <color rgb="FF000000"/>
      </right>
      <top style="thin">
        <color rgb="FFCCCCCC"/>
      </top>
      <bottom style="thick">
        <color rgb="FF000000"/>
      </bottom>
    </border>
    <border>
      <top style="thin">
        <color rgb="FFCCCCCC"/>
      </top>
      <bottom style="thick">
        <color rgb="FF000000"/>
      </bottom>
    </border>
    <border>
      <right style="thin">
        <color rgb="FF434343"/>
      </right>
      <bottom style="thick">
        <color rgb="FF000000"/>
      </bottom>
    </border>
    <border>
      <right style="thin">
        <color rgb="FF000000"/>
      </right>
      <bottom style="thick">
        <color rgb="FF000000"/>
      </bottom>
    </border>
    <border>
      <left style="thin">
        <color rgb="FF000000"/>
      </left>
      <right style="thin">
        <color rgb="FF000000"/>
      </right>
      <top style="thin">
        <color rgb="FFD9D9D9"/>
      </top>
      <bottom style="thick">
        <color rgb="FF000000"/>
      </bottom>
    </border>
    <border>
      <left style="thin">
        <color rgb="FF000000"/>
      </left>
      <top style="thin">
        <color rgb="FFD9D9D9"/>
      </top>
      <bottom style="thick">
        <color rgb="FF000000"/>
      </bottom>
    </border>
    <border>
      <right style="thick">
        <color rgb="FF434343"/>
      </right>
      <bottom style="thick">
        <color rgb="FF000000"/>
      </bottom>
    </border>
    <border>
      <left style="thin">
        <color rgb="FFCCCCCC"/>
      </left>
      <right style="thin">
        <color rgb="FFCCCCCC"/>
      </right>
      <top style="thick">
        <color rgb="FF000000"/>
      </top>
      <bottom style="thick">
        <color rgb="FF000000"/>
      </bottom>
    </border>
    <border>
      <left style="thin">
        <color rgb="FFB7B7B7"/>
      </left>
      <top style="thick">
        <color rgb="FF000000"/>
      </top>
      <bottom style="thick">
        <color rgb="FF000000"/>
      </bottom>
    </border>
    <border>
      <left style="thick">
        <color rgb="FF000000"/>
      </left>
    </border>
    <border>
      <left style="thin">
        <color rgb="FFCCCCCC"/>
      </left>
      <right style="thin">
        <color rgb="FFCCCCCC"/>
      </right>
      <bottom style="thin">
        <color rgb="FFCCCCCC"/>
      </bottom>
    </border>
    <border>
      <left style="thin">
        <color rgb="FFB7B7B7"/>
      </left>
    </border>
    <border>
      <right style="thick">
        <color rgb="FF000000"/>
      </right>
    </border>
    <border>
      <left style="thick">
        <color rgb="FF000000"/>
      </left>
      <right style="thin">
        <color rgb="FFD9D9D9"/>
      </right>
      <bottom style="thin">
        <color rgb="FFD9D9D9"/>
      </bottom>
    </border>
    <border>
      <left style="thick">
        <color rgb="FF000000"/>
      </left>
      <right style="thin">
        <color rgb="FFD9D9D9"/>
      </right>
      <top style="thin">
        <color rgb="FFD9D9D9"/>
      </top>
      <bottom style="thin">
        <color rgb="FFD9D9D9"/>
      </bottom>
    </border>
    <border>
      <left style="thick">
        <color rgb="FF000000"/>
      </left>
      <top style="thin">
        <color rgb="FFD9D9D9"/>
      </top>
      <bottom style="thin">
        <color rgb="FFD9D9D9"/>
      </bottom>
    </border>
    <border>
      <left style="thick">
        <color rgb="FF000000"/>
      </left>
      <right style="thin">
        <color rgb="FFD9D9D9"/>
      </right>
      <bottom style="thick">
        <color rgb="FF000000"/>
      </bottom>
    </border>
    <border>
      <left style="thin">
        <color rgb="FFB7B7B7"/>
      </left>
      <bottom style="thick">
        <color rgb="FF000000"/>
      </bottom>
    </border>
    <border>
      <right style="thick">
        <color rgb="FF000000"/>
      </right>
      <bottom style="thick">
        <color rgb="FF000000"/>
      </bottom>
    </border>
    <border>
      <left style="thin">
        <color rgb="FF434343"/>
      </left>
      <top style="thin">
        <color rgb="FF000000"/>
      </top>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ck">
        <color rgb="FF434343"/>
      </left>
      <right style="thin">
        <color rgb="FFD9D9D9"/>
      </right>
      <top style="thick">
        <color rgb="FF434343"/>
      </top>
    </border>
    <border>
      <left style="thin">
        <color rgb="FFD9D9D9"/>
      </left>
      <right style="thin">
        <color rgb="FFD9D9D9"/>
      </right>
      <top style="thick">
        <color rgb="FF434343"/>
      </top>
    </border>
    <border>
      <left style="thin">
        <color rgb="FFD9D9D9"/>
      </left>
      <top style="thick">
        <color rgb="FF434343"/>
      </top>
    </border>
    <border>
      <left style="thin">
        <color rgb="FFD9D9D9"/>
      </left>
      <right style="thin">
        <color rgb="FF000000"/>
      </right>
      <top style="thick">
        <color rgb="FF434343"/>
      </top>
    </border>
    <border>
      <right style="thin">
        <color rgb="FFD9D9D9"/>
      </right>
      <top style="thick">
        <color rgb="FF434343"/>
      </top>
    </border>
    <border>
      <left style="thin">
        <color rgb="FF000000"/>
      </left>
      <right style="thin">
        <color rgb="FFD9D9D9"/>
      </right>
    </border>
    <border>
      <left style="thin">
        <color rgb="FFD9D9D9"/>
      </left>
      <right style="thin">
        <color rgb="FFD9D9D9"/>
      </right>
    </border>
    <border>
      <left style="thin">
        <color rgb="FFD9D9D9"/>
      </left>
    </border>
    <border>
      <left style="thick">
        <color rgb="FF434343"/>
      </left>
      <top style="thick">
        <color rgb="FF434343"/>
      </top>
      <bottom style="thin">
        <color rgb="FFD9D9D9"/>
      </bottom>
    </border>
    <border>
      <top style="thick">
        <color rgb="FF434343"/>
      </top>
      <bottom style="thin">
        <color rgb="FFD9D9D9"/>
      </bottom>
    </border>
    <border>
      <left style="thin">
        <color rgb="FF000000"/>
      </left>
      <top style="thick">
        <color rgb="FF434343"/>
      </top>
      <bottom style="thin">
        <color rgb="FFD9D9D9"/>
      </bottom>
    </border>
    <border>
      <right style="thin">
        <color rgb="FFD9D9D9"/>
      </right>
      <top style="thick">
        <color rgb="FF434343"/>
      </top>
      <bottom style="thin">
        <color rgb="FFD9D9D9"/>
      </bottom>
    </border>
    <border>
      <left style="thin">
        <color rgb="FF000000"/>
      </left>
      <right style="thin">
        <color rgb="FFD9D9D9"/>
      </right>
      <top style="thick">
        <color rgb="FF434343"/>
      </top>
      <bottom style="thin">
        <color rgb="FFD9D9D9"/>
      </bottom>
    </border>
    <border>
      <left style="thin">
        <color rgb="FF000000"/>
      </left>
      <right style="thin">
        <color rgb="FFD9D9D9"/>
      </right>
      <top style="thin">
        <color rgb="FFD9D9D9"/>
      </top>
      <bottom style="thin">
        <color rgb="FFD9D9D9"/>
      </bottom>
    </border>
    <border>
      <left style="thin">
        <color rgb="FF000000"/>
      </left>
      <right style="thin">
        <color rgb="FF000000"/>
      </right>
      <top style="thick">
        <color rgb="FF434343"/>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CCCCCC"/>
      </left>
      <right style="thin">
        <color rgb="FF000000"/>
      </right>
      <top style="thin">
        <color rgb="FFCCCCCC"/>
      </top>
      <bottom style="thin">
        <color rgb="FFCCCCCC"/>
      </bottom>
    </border>
    <border>
      <left style="thin">
        <color rgb="FF000000"/>
      </left>
      <right style="thin">
        <color rgb="FFD9D9D9"/>
      </right>
      <bottom style="thin">
        <color rgb="FFD9D9D9"/>
      </bottom>
    </border>
    <border>
      <left style="thick">
        <color rgb="FF434343"/>
      </left>
      <top style="thin">
        <color rgb="FFD9D9D9"/>
      </top>
      <bottom style="thin">
        <color rgb="FFD9D9D9"/>
      </bottom>
    </border>
    <border>
      <left style="thin">
        <color rgb="FF000000"/>
      </left>
      <right style="thin">
        <color rgb="FFCCCCCC"/>
      </right>
      <top style="thin">
        <color rgb="FFCCCCCC"/>
      </top>
      <bottom style="thin">
        <color rgb="FFCCCCCC"/>
      </bottom>
    </border>
    <border>
      <right style="thin">
        <color rgb="FFD9D9D9"/>
      </right>
    </border>
    <border>
      <right style="thin">
        <color rgb="FF000000"/>
      </right>
    </border>
    <border>
      <left style="thin">
        <color rgb="FFD9D9D9"/>
      </left>
      <right style="thin">
        <color rgb="FFD9D9D9"/>
      </right>
      <top style="thin">
        <color rgb="FFD9D9D9"/>
      </top>
    </border>
    <border>
      <left style="thin">
        <color rgb="FFD9D9D9"/>
      </left>
      <top style="thin">
        <color rgb="FFD9D9D9"/>
      </top>
    </border>
    <border>
      <left style="thin">
        <color rgb="FFEFEFEF"/>
      </left>
      <top style="thin">
        <color rgb="FFEFEFEF"/>
      </top>
      <bottom style="thin">
        <color rgb="FFEFEFEF"/>
      </bottom>
    </border>
    <border>
      <left style="thin">
        <color rgb="FFD9D9D9"/>
      </left>
      <right style="thick">
        <color rgb="FF000000"/>
      </right>
      <top style="thin">
        <color rgb="FFD9D9D9"/>
      </top>
      <bottom style="thin">
        <color rgb="FFD9D9D9"/>
      </bottom>
    </border>
    <border>
      <top style="thin">
        <color rgb="FFD9D9D9"/>
      </top>
    </border>
    <border>
      <left style="thin">
        <color rgb="FF000000"/>
      </left>
      <right style="thin">
        <color rgb="FFD9D9D9"/>
      </right>
      <top style="thick">
        <color rgb="FF434343"/>
      </top>
    </border>
    <border>
      <right style="thin">
        <color rgb="FF000000"/>
      </right>
      <top style="thick">
        <color rgb="FF434343"/>
      </top>
      <bottom style="thin">
        <color rgb="FFD9D9D9"/>
      </bottom>
    </border>
    <border>
      <right style="thin">
        <color rgb="FF434343"/>
      </right>
      <top style="thick">
        <color rgb="FF434343"/>
      </top>
    </border>
    <border>
      <left style="thin">
        <color rgb="FFD9D9D9"/>
      </left>
      <right style="thin">
        <color rgb="FF434343"/>
      </right>
      <top style="thin">
        <color rgb="FFD9D9D9"/>
      </top>
      <bottom style="thin">
        <color rgb="FFD9D9D9"/>
      </bottom>
    </border>
    <border>
      <left style="thin">
        <color rgb="FFCCCCCC"/>
      </left>
      <right style="thin">
        <color rgb="FF434343"/>
      </right>
      <top style="thin">
        <color rgb="FFCCCCCC"/>
      </top>
      <bottom style="thin">
        <color rgb="FFCCCCCC"/>
      </bottom>
    </border>
    <border>
      <left style="thin">
        <color rgb="FFD9D9D9"/>
      </left>
      <right style="thin">
        <color rgb="FF434343"/>
      </right>
      <bottom style="thin">
        <color rgb="FFD9D9D9"/>
      </bottom>
    </border>
    <border>
      <right style="thin">
        <color rgb="FF434343"/>
      </right>
      <top style="thin">
        <color rgb="FF000000"/>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D9D9D9"/>
      </left>
      <right style="thin">
        <color rgb="FF434343"/>
      </right>
    </border>
    <border>
      <left style="thin">
        <color rgb="FFD9D9D9"/>
      </left>
      <right style="thin">
        <color rgb="FFD9D9D9"/>
      </right>
      <top style="thick">
        <color rgb="FF434343"/>
      </top>
      <bottom style="thin">
        <color rgb="FFD9D9D9"/>
      </bottom>
    </border>
    <border>
      <left style="thin">
        <color rgb="FF434343"/>
      </left>
      <top style="thick">
        <color rgb="FF434343"/>
      </top>
    </border>
    <border>
      <left style="thin">
        <color rgb="FFD9D9D9"/>
      </left>
      <right style="thick">
        <color rgb="FF434343"/>
      </right>
      <top style="thin">
        <color rgb="FFD9D9D9"/>
      </top>
      <bottom style="thin">
        <color rgb="FFD9D9D9"/>
      </bottom>
    </border>
    <border>
      <left style="thin">
        <color rgb="FF434343"/>
      </left>
      <right style="thin">
        <color rgb="FFD9D9D9"/>
      </right>
      <top style="thin">
        <color rgb="FFD9D9D9"/>
      </top>
      <bottom style="thin">
        <color rgb="FFD9D9D9"/>
      </bottom>
    </border>
    <border>
      <left style="thin">
        <color rgb="FF434343"/>
      </left>
    </border>
    <border>
      <right style="thick">
        <color rgb="FF434343"/>
      </right>
      <top style="thin">
        <color rgb="FFD9D9D9"/>
      </top>
      <bottom style="thin">
        <color rgb="FFD9D9D9"/>
      </bottom>
    </border>
    <border>
      <left style="thin">
        <color rgb="FFD9D9D9"/>
      </left>
      <right style="thin">
        <color rgb="FFD9D9D9"/>
      </right>
      <top style="thin">
        <color rgb="FFD9D9D9"/>
      </top>
      <bottom style="thick">
        <color rgb="FF434343"/>
      </bottom>
    </border>
    <border>
      <right style="thin">
        <color rgb="FFD9D9D9"/>
      </right>
      <top style="thin">
        <color rgb="FFD9D9D9"/>
      </top>
      <bottom style="thick">
        <color rgb="FF434343"/>
      </bottom>
    </border>
    <border>
      <left style="thin">
        <color rgb="FFD9D9D9"/>
      </left>
      <top style="thin">
        <color rgb="FFD9D9D9"/>
      </top>
      <bottom style="thick">
        <color rgb="FF434343"/>
      </bottom>
    </border>
    <border>
      <left style="thin">
        <color rgb="FF000000"/>
      </left>
      <top style="thin">
        <color rgb="FFD9D9D9"/>
      </top>
      <bottom style="thick">
        <color rgb="FF434343"/>
      </bottom>
    </border>
    <border>
      <right style="thin">
        <color rgb="FF000000"/>
      </right>
      <top style="thin">
        <color rgb="FFD9D9D9"/>
      </top>
      <bottom style="thick">
        <color rgb="FF434343"/>
      </bottom>
    </border>
    <border>
      <left style="thin">
        <color rgb="FF000000"/>
      </left>
      <right style="thin">
        <color rgb="FFD9D9D9"/>
      </right>
      <top style="thin">
        <color rgb="FFD9D9D9"/>
      </top>
      <bottom style="thick">
        <color rgb="FF434343"/>
      </bottom>
    </border>
    <border>
      <left style="thin">
        <color rgb="FF434343"/>
      </left>
      <right style="thin">
        <color rgb="FFD9D9D9"/>
      </right>
      <top style="thin">
        <color rgb="FFD9D9D9"/>
      </top>
      <bottom style="thick">
        <color rgb="FF434343"/>
      </bottom>
    </border>
    <border>
      <left style="thin">
        <color rgb="FFD9D9D9"/>
      </left>
      <right style="thin">
        <color rgb="FF000000"/>
      </right>
      <top style="thin">
        <color rgb="FFD9D9D9"/>
      </top>
      <bottom style="thick">
        <color rgb="FF434343"/>
      </bottom>
    </border>
    <border>
      <left style="thin">
        <color rgb="FFD9D9D9"/>
      </left>
      <right style="thick">
        <color rgb="FF434343"/>
      </right>
      <top style="thin">
        <color rgb="FFD9D9D9"/>
      </top>
      <bottom style="thick">
        <color rgb="FF434343"/>
      </bottom>
    </border>
    <border>
      <left style="thin">
        <color rgb="FFBBBBBB"/>
      </left>
      <right style="thin">
        <color rgb="FFBBBBBB"/>
      </right>
      <top style="thin">
        <color rgb="FFBBBBBB"/>
      </top>
      <bottom style="thin">
        <color rgb="FFBBBBBB"/>
      </bottom>
    </border>
    <border>
      <right style="thick">
        <color rgb="FF434343"/>
      </right>
      <top style="thick">
        <color rgb="FF434343"/>
      </top>
      <bottom style="thick">
        <color rgb="FF434343"/>
      </bottom>
    </border>
    <border>
      <left style="thick">
        <color rgb="FF434343"/>
      </left>
    </border>
    <border>
      <left style="thick">
        <color rgb="FF434343"/>
      </left>
      <right style="thin">
        <color rgb="FFD9D9D9"/>
      </right>
      <bottom style="thin">
        <color rgb="FFD9D9D9"/>
      </bottom>
    </border>
    <border>
      <left style="thin">
        <color rgb="FF000000"/>
      </left>
      <right style="thin">
        <color rgb="FFD9D9D9"/>
      </right>
      <top style="thin">
        <color rgb="FFD9D9D9"/>
      </top>
      <bottom style="thin">
        <color rgb="FFCCCCCC"/>
      </bottom>
    </border>
    <border>
      <left style="thin">
        <color rgb="FFD9D9D9"/>
      </left>
      <right style="thin">
        <color rgb="FF434343"/>
      </right>
      <top style="thin">
        <color rgb="FFD9D9D9"/>
      </top>
      <bottom style="thick">
        <color rgb="FF434343"/>
      </bottom>
    </border>
    <border>
      <top style="thin">
        <color rgb="FFD9D9D9"/>
      </top>
      <bottom style="thick">
        <color rgb="FF434343"/>
      </bottom>
    </border>
  </borders>
  <cellStyleXfs count="1">
    <xf borderId="0" fillId="0" fontId="0" numFmtId="0" applyAlignment="1" applyFont="1"/>
  </cellStyleXfs>
  <cellXfs count="18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3" numFmtId="0" xfId="0" applyBorder="1" applyFont="1"/>
    <xf borderId="2" fillId="0" fontId="4" numFmtId="0" xfId="0" applyAlignment="1" applyBorder="1" applyFont="1">
      <alignment horizontal="center" readingOrder="0" shrinkToFit="0" vertical="center" wrapText="1"/>
    </xf>
    <xf borderId="3" fillId="0" fontId="3" numFmtId="0" xfId="0" applyBorder="1" applyFont="1"/>
    <xf borderId="0" fillId="0" fontId="4" numFmtId="0" xfId="0" applyAlignment="1" applyFont="1">
      <alignment horizontal="center" readingOrder="0" shrinkToFit="0" vertical="center" wrapText="1"/>
    </xf>
    <xf borderId="4" fillId="3" fontId="1" numFmtId="0" xfId="0" applyAlignment="1" applyBorder="1" applyFill="1" applyFont="1">
      <alignment horizontal="center" readingOrder="0" shrinkToFit="0" vertical="center" wrapText="1"/>
    </xf>
    <xf borderId="5" fillId="3" fontId="5" numFmtId="0" xfId="0" applyAlignment="1" applyBorder="1" applyFont="1">
      <alignment horizontal="center" readingOrder="0" shrinkToFit="0" vertical="center" wrapText="1"/>
    </xf>
    <xf borderId="6" fillId="3" fontId="5" numFmtId="0" xfId="0" applyAlignment="1" applyBorder="1" applyFont="1">
      <alignment horizontal="center" readingOrder="0" shrinkToFit="0" vertical="center" wrapText="1"/>
    </xf>
    <xf borderId="6" fillId="3" fontId="5" numFmtId="0" xfId="0" applyAlignment="1" applyBorder="1" applyFont="1">
      <alignment horizontal="left" readingOrder="0" shrinkToFit="0" vertical="center" wrapText="1"/>
    </xf>
    <xf borderId="0" fillId="0" fontId="6" numFmtId="0" xfId="0" applyFont="1"/>
    <xf borderId="7" fillId="0" fontId="7" numFmtId="0" xfId="0" applyAlignment="1" applyBorder="1" applyFont="1">
      <alignment horizontal="center" readingOrder="0" shrinkToFit="0" vertical="center" wrapText="1"/>
    </xf>
    <xf borderId="8" fillId="3" fontId="4" numFmtId="0" xfId="0" applyAlignment="1" applyBorder="1" applyFont="1">
      <alignment horizontal="center" readingOrder="0" shrinkToFit="0" vertical="center" wrapText="1"/>
    </xf>
    <xf borderId="9" fillId="0" fontId="3" numFmtId="0" xfId="0" applyBorder="1" applyFont="1"/>
    <xf borderId="10" fillId="0" fontId="3" numFmtId="0" xfId="0" applyBorder="1" applyFont="1"/>
    <xf borderId="8" fillId="3" fontId="8" numFmtId="0" xfId="0" applyAlignment="1" applyBorder="1" applyFont="1">
      <alignment horizontal="center" readingOrder="0" shrinkToFit="0" vertical="center" wrapText="1"/>
    </xf>
    <xf borderId="11" fillId="2" fontId="9" numFmtId="0" xfId="0" applyAlignment="1" applyBorder="1" applyFont="1">
      <alignment horizontal="center" readingOrder="0" shrinkToFit="0" vertical="center" wrapText="1"/>
    </xf>
    <xf borderId="12" fillId="4" fontId="9" numFmtId="0" xfId="0" applyAlignment="1" applyBorder="1" applyFill="1" applyFont="1">
      <alignment horizontal="center" readingOrder="0" shrinkToFit="0" vertical="center" wrapText="1"/>
    </xf>
    <xf borderId="13" fillId="5" fontId="9" numFmtId="0" xfId="0" applyAlignment="1" applyBorder="1" applyFill="1" applyFont="1">
      <alignment horizontal="center" readingOrder="0" shrinkToFit="0" vertical="center" wrapText="1"/>
    </xf>
    <xf borderId="14" fillId="4" fontId="9" numFmtId="0" xfId="0" applyAlignment="1" applyBorder="1" applyFont="1">
      <alignment horizontal="center" readingOrder="0" shrinkToFit="0" vertical="center" wrapText="1"/>
    </xf>
    <xf borderId="15" fillId="4" fontId="9" numFmtId="0" xfId="0" applyAlignment="1" applyBorder="1" applyFont="1">
      <alignment horizontal="center" readingOrder="0" shrinkToFit="0" vertical="center" wrapText="1"/>
    </xf>
    <xf borderId="15" fillId="0" fontId="9" numFmtId="0" xfId="0" applyAlignment="1" applyBorder="1" applyFont="1">
      <alignment horizontal="center" readingOrder="0" shrinkToFit="0" vertical="center" wrapText="1"/>
    </xf>
    <xf borderId="16" fillId="5" fontId="9" numFmtId="0" xfId="0" applyAlignment="1" applyBorder="1" applyFont="1">
      <alignment horizontal="center" readingOrder="0" shrinkToFit="0" vertical="center" wrapText="1"/>
    </xf>
    <xf borderId="16" fillId="4" fontId="9" numFmtId="0" xfId="0" applyAlignment="1" applyBorder="1" applyFont="1">
      <alignment horizontal="center" readingOrder="0" shrinkToFit="0" vertical="center" wrapText="1"/>
    </xf>
    <xf borderId="17" fillId="4" fontId="9" numFmtId="0" xfId="0" applyAlignment="1" applyBorder="1" applyFont="1">
      <alignment horizontal="center" readingOrder="0" shrinkToFit="0" vertical="center" wrapText="1"/>
    </xf>
    <xf borderId="18" fillId="4" fontId="10" numFmtId="0" xfId="0" applyAlignment="1" applyBorder="1" applyFont="1">
      <alignment horizontal="center" readingOrder="0" shrinkToFit="0" wrapText="1"/>
    </xf>
    <xf borderId="19" fillId="6" fontId="9" numFmtId="0" xfId="0" applyAlignment="1" applyBorder="1" applyFill="1" applyFont="1">
      <alignment horizontal="center" readingOrder="0" shrinkToFit="0" vertical="center" wrapText="1"/>
    </xf>
    <xf borderId="20" fillId="7" fontId="11" numFmtId="0" xfId="0" applyAlignment="1" applyBorder="1" applyFill="1" applyFont="1">
      <alignment horizontal="center" readingOrder="0" shrinkToFit="0" vertical="center" wrapText="1"/>
    </xf>
    <xf borderId="20" fillId="8" fontId="11" numFmtId="0" xfId="0" applyAlignment="1" applyBorder="1" applyFill="1" applyFont="1">
      <alignment horizontal="center" readingOrder="0" shrinkToFit="0" vertical="center" wrapText="1"/>
    </xf>
    <xf borderId="20" fillId="9" fontId="11" numFmtId="0" xfId="0" applyAlignment="1" applyBorder="1" applyFill="1" applyFont="1">
      <alignment horizontal="center" readingOrder="0" shrinkToFit="0" vertical="center" wrapText="1"/>
    </xf>
    <xf borderId="20" fillId="2" fontId="11" numFmtId="0" xfId="0" applyAlignment="1" applyBorder="1" applyFont="1">
      <alignment horizontal="center" readingOrder="0" shrinkToFit="0" vertical="center" wrapText="1"/>
    </xf>
    <xf borderId="20" fillId="4" fontId="11" numFmtId="0" xfId="0" applyAlignment="1" applyBorder="1" applyFont="1">
      <alignment horizontal="center" readingOrder="0" shrinkToFit="0" vertical="center" wrapText="1"/>
    </xf>
    <xf borderId="20" fillId="10" fontId="11" numFmtId="0" xfId="0" applyAlignment="1" applyBorder="1" applyFill="1" applyFont="1">
      <alignment horizontal="center" readingOrder="0" shrinkToFit="0" vertical="center" wrapText="1"/>
    </xf>
    <xf borderId="20" fillId="3" fontId="11" numFmtId="0" xfId="0" applyAlignment="1" applyBorder="1" applyFont="1">
      <alignment horizontal="center" readingOrder="0" shrinkToFit="0" vertical="center" wrapText="1"/>
    </xf>
    <xf borderId="20" fillId="5" fontId="11" numFmtId="0" xfId="0" applyAlignment="1" applyBorder="1" applyFont="1">
      <alignment horizontal="center" readingOrder="0" shrinkToFit="0" vertical="center" wrapText="1"/>
    </xf>
    <xf borderId="20" fillId="6" fontId="11" numFmtId="0" xfId="0" applyAlignment="1" applyBorder="1" applyFont="1">
      <alignment horizontal="center" readingOrder="0" shrinkToFit="0" vertical="center" wrapText="1"/>
    </xf>
    <xf borderId="21" fillId="11" fontId="6" numFmtId="0" xfId="0" applyAlignment="1" applyBorder="1" applyFill="1" applyFont="1">
      <alignment horizontal="center" vertical="center"/>
    </xf>
    <xf borderId="22" fillId="7" fontId="11" numFmtId="0" xfId="0" applyAlignment="1" applyBorder="1" applyFont="1">
      <alignment horizontal="center" readingOrder="0" shrinkToFit="0" vertical="center" wrapText="1"/>
    </xf>
    <xf borderId="23" fillId="8" fontId="11" numFmtId="0" xfId="0" applyAlignment="1" applyBorder="1" applyFont="1">
      <alignment horizontal="center" readingOrder="0" shrinkToFit="0" vertical="center" wrapText="1"/>
    </xf>
    <xf borderId="23" fillId="9" fontId="11" numFmtId="0" xfId="0" applyAlignment="1" applyBorder="1" applyFont="1">
      <alignment horizontal="center" readingOrder="0" shrinkToFit="0" vertical="center" wrapText="1"/>
    </xf>
    <xf borderId="23" fillId="2" fontId="11" numFmtId="0" xfId="0" applyAlignment="1" applyBorder="1" applyFont="1">
      <alignment horizontal="center" readingOrder="0" shrinkToFit="0" vertical="center" wrapText="1"/>
    </xf>
    <xf borderId="23" fillId="4" fontId="11" numFmtId="0" xfId="0" applyAlignment="1" applyBorder="1" applyFont="1">
      <alignment horizontal="center" readingOrder="0" shrinkToFit="0" vertical="center" wrapText="1"/>
    </xf>
    <xf borderId="23" fillId="10" fontId="11" numFmtId="0" xfId="0" applyAlignment="1" applyBorder="1" applyFont="1">
      <alignment horizontal="center" readingOrder="0" shrinkToFit="0" vertical="center" wrapText="1"/>
    </xf>
    <xf borderId="23" fillId="3" fontId="11" numFmtId="0" xfId="0" applyAlignment="1" applyBorder="1" applyFont="1">
      <alignment horizontal="center" readingOrder="0" shrinkToFit="0" vertical="center" wrapText="1"/>
    </xf>
    <xf borderId="23" fillId="5" fontId="11" numFmtId="0" xfId="0" applyAlignment="1" applyBorder="1" applyFont="1">
      <alignment horizontal="center" readingOrder="0" shrinkToFit="0" vertical="center" wrapText="1"/>
    </xf>
    <xf borderId="23" fillId="6" fontId="11" numFmtId="0" xfId="0" applyAlignment="1" applyBorder="1" applyFont="1">
      <alignment horizontal="center" readingOrder="0" shrinkToFit="0" vertical="center" wrapText="1"/>
    </xf>
    <xf borderId="24" fillId="11" fontId="6" numFmtId="0" xfId="0" applyAlignment="1" applyBorder="1" applyFont="1">
      <alignment horizontal="center" vertical="center"/>
    </xf>
    <xf borderId="23" fillId="7" fontId="11" numFmtId="0" xfId="0" applyAlignment="1" applyBorder="1" applyFont="1">
      <alignment horizontal="center" readingOrder="0" shrinkToFit="0" vertical="center" wrapText="1"/>
    </xf>
    <xf borderId="25" fillId="7" fontId="11" numFmtId="0" xfId="0" applyAlignment="1" applyBorder="1" applyFont="1">
      <alignment horizontal="center" readingOrder="0" shrinkToFit="0" vertical="center" wrapText="1"/>
    </xf>
    <xf borderId="23" fillId="2" fontId="9" numFmtId="0" xfId="0" applyAlignment="1" applyBorder="1" applyFont="1">
      <alignment horizontal="center" readingOrder="0" shrinkToFit="0" vertical="center" wrapText="1"/>
    </xf>
    <xf borderId="23" fillId="4" fontId="9" numFmtId="0" xfId="0" applyAlignment="1" applyBorder="1" applyFont="1">
      <alignment horizontal="center" readingOrder="0" shrinkToFit="0" vertical="center" wrapText="1"/>
    </xf>
    <xf borderId="23" fillId="10" fontId="9" numFmtId="0" xfId="0" applyAlignment="1" applyBorder="1" applyFont="1">
      <alignment horizontal="center" readingOrder="0" shrinkToFit="0" vertical="center" wrapText="1"/>
    </xf>
    <xf borderId="23" fillId="3" fontId="9" numFmtId="0" xfId="0" applyAlignment="1" applyBorder="1" applyFont="1">
      <alignment horizontal="center" readingOrder="0" shrinkToFit="0" vertical="center" wrapText="1"/>
    </xf>
    <xf borderId="23" fillId="5" fontId="9" numFmtId="0" xfId="0" applyAlignment="1" applyBorder="1" applyFont="1">
      <alignment horizontal="center" readingOrder="0" shrinkToFit="0" vertical="center" wrapText="1"/>
    </xf>
    <xf borderId="23" fillId="6" fontId="9" numFmtId="0" xfId="0" applyAlignment="1" applyBorder="1" applyFont="1">
      <alignment horizontal="center" readingOrder="0" shrinkToFit="0" vertical="center" wrapText="1"/>
    </xf>
    <xf borderId="26" fillId="11" fontId="6" numFmtId="0" xfId="0" applyAlignment="1" applyBorder="1" applyFont="1">
      <alignment horizontal="center" vertical="center"/>
    </xf>
    <xf borderId="0" fillId="0" fontId="11" numFmtId="0" xfId="0" applyAlignment="1" applyFont="1">
      <alignment horizontal="center" readingOrder="0" shrinkToFit="0" vertical="center" wrapText="1"/>
    </xf>
    <xf borderId="27" fillId="0" fontId="11" numFmtId="0" xfId="0" applyAlignment="1" applyBorder="1" applyFont="1">
      <alignment horizontal="left" readingOrder="0" shrinkToFit="0" vertical="center" wrapText="1"/>
    </xf>
    <xf borderId="1" fillId="12" fontId="12" numFmtId="0" xfId="0" applyAlignment="1" applyBorder="1" applyFill="1" applyFont="1">
      <alignment horizontal="left" readingOrder="0" shrinkToFit="0" vertical="center" wrapText="0"/>
    </xf>
    <xf borderId="2" fillId="12" fontId="12" numFmtId="0" xfId="0" applyAlignment="1" applyBorder="1" applyFont="1">
      <alignment horizontal="left" readingOrder="0" shrinkToFit="0" vertical="center" wrapText="0"/>
    </xf>
    <xf borderId="2" fillId="12" fontId="12" numFmtId="0" xfId="0" applyAlignment="1" applyBorder="1" applyFont="1">
      <alignment horizontal="center" readingOrder="0" shrinkToFit="0" vertical="center" wrapText="1"/>
    </xf>
    <xf borderId="28" fillId="12" fontId="12" numFmtId="0" xfId="0" applyAlignment="1" applyBorder="1" applyFont="1">
      <alignment horizontal="center" readingOrder="0" shrinkToFit="0" vertical="center" wrapText="1"/>
    </xf>
    <xf borderId="29" fillId="12" fontId="12" numFmtId="0" xfId="0" applyAlignment="1" applyBorder="1" applyFont="1">
      <alignment horizontal="center" readingOrder="0" shrinkToFit="0" vertical="center" wrapText="1"/>
    </xf>
    <xf borderId="30" fillId="12" fontId="12" numFmtId="0" xfId="0" applyAlignment="1" applyBorder="1" applyFont="1">
      <alignment horizontal="center" readingOrder="0" shrinkToFit="0" vertical="center" wrapText="1"/>
    </xf>
    <xf borderId="3" fillId="12" fontId="12"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31" fillId="0" fontId="12" numFmtId="0" xfId="0" applyAlignment="1" applyBorder="1" applyFont="1">
      <alignment horizontal="center" readingOrder="0" shrinkToFit="0" vertical="center" wrapText="0"/>
    </xf>
    <xf borderId="32" fillId="0" fontId="12" numFmtId="0" xfId="0" applyAlignment="1" applyBorder="1" applyFont="1">
      <alignment horizontal="center" readingOrder="0" shrinkToFit="0" vertical="center" wrapText="0"/>
    </xf>
    <xf borderId="33" fillId="0" fontId="12" numFmtId="0" xfId="0" applyAlignment="1" applyBorder="1" applyFont="1">
      <alignment horizontal="center" readingOrder="0" shrinkToFit="0" vertical="center" wrapText="0"/>
    </xf>
    <xf borderId="33" fillId="0" fontId="12" numFmtId="0" xfId="0" applyAlignment="1" applyBorder="1" applyFont="1">
      <alignment horizontal="center" vertical="center"/>
    </xf>
    <xf borderId="33" fillId="0" fontId="6" numFmtId="0" xfId="0" applyBorder="1" applyFont="1"/>
    <xf borderId="33" fillId="0" fontId="12" numFmtId="0" xfId="0" applyAlignment="1" applyBorder="1" applyFont="1">
      <alignment horizontal="center" readingOrder="0" shrinkToFit="0" vertical="center" wrapText="1"/>
    </xf>
    <xf borderId="34" fillId="0" fontId="12" numFmtId="164" xfId="0" applyAlignment="1" applyBorder="1" applyFont="1" applyNumberFormat="1">
      <alignment horizontal="center" shrinkToFit="0" wrapText="1"/>
    </xf>
    <xf borderId="35" fillId="0" fontId="12" numFmtId="0" xfId="0" applyAlignment="1" applyBorder="1" applyFont="1">
      <alignment horizontal="center" readingOrder="0" shrinkToFit="0" vertical="center" wrapText="1"/>
    </xf>
    <xf borderId="35" fillId="0" fontId="12" numFmtId="164" xfId="0" applyAlignment="1" applyBorder="1" applyFont="1" applyNumberFormat="1">
      <alignment horizontal="center" readingOrder="0" shrinkToFit="0" vertical="center" wrapText="1"/>
    </xf>
    <xf borderId="35" fillId="0" fontId="6" numFmtId="0" xfId="0" applyAlignment="1" applyBorder="1" applyFont="1">
      <alignment horizontal="center"/>
    </xf>
    <xf borderId="36" fillId="0" fontId="12" numFmtId="0" xfId="0" applyAlignment="1" applyBorder="1" applyFont="1">
      <alignment horizontal="center" readingOrder="0" shrinkToFit="0" vertical="center" wrapText="1"/>
    </xf>
    <xf borderId="35" fillId="0" fontId="12" numFmtId="165" xfId="0" applyAlignment="1" applyBorder="1" applyFont="1" applyNumberFormat="1">
      <alignment horizontal="center" readingOrder="0" shrinkToFit="0" vertical="center" wrapText="1"/>
    </xf>
    <xf borderId="35" fillId="0" fontId="12" numFmtId="9" xfId="0" applyAlignment="1" applyBorder="1" applyFont="1" applyNumberFormat="1">
      <alignment horizontal="center" readingOrder="0" shrinkToFit="0" vertical="center" wrapText="1"/>
    </xf>
    <xf borderId="37" fillId="0" fontId="11" numFmtId="9" xfId="0" applyAlignment="1" applyBorder="1" applyFont="1" applyNumberFormat="1">
      <alignment horizontal="center" readingOrder="0" shrinkToFit="0" vertical="center" wrapText="1"/>
    </xf>
    <xf borderId="38" fillId="0" fontId="12" numFmtId="9" xfId="0" applyAlignment="1" applyBorder="1" applyFont="1" applyNumberFormat="1">
      <alignment horizontal="center" readingOrder="0" shrinkToFit="0" vertical="center" wrapText="1"/>
    </xf>
    <xf borderId="38" fillId="0" fontId="12" numFmtId="10" xfId="0" applyAlignment="1" applyBorder="1" applyFont="1" applyNumberFormat="1">
      <alignment horizontal="center" readingOrder="0" shrinkToFit="0" vertical="center" wrapText="1"/>
    </xf>
    <xf borderId="39" fillId="0" fontId="12" numFmtId="9" xfId="0" applyAlignment="1" applyBorder="1" applyFont="1" applyNumberFormat="1">
      <alignment horizontal="center" readingOrder="0" shrinkToFit="0" vertical="center" wrapText="1"/>
    </xf>
    <xf borderId="40" fillId="0" fontId="12" numFmtId="9" xfId="0" applyAlignment="1" applyBorder="1" applyFont="1" applyNumberFormat="1">
      <alignment horizontal="center" readingOrder="0" shrinkToFit="0" vertical="center" wrapText="1"/>
    </xf>
    <xf borderId="41" fillId="0" fontId="12" numFmtId="9" xfId="0" applyAlignment="1" applyBorder="1" applyFont="1" applyNumberFormat="1">
      <alignment horizontal="center" readingOrder="0" shrinkToFit="0" vertical="center" wrapText="1"/>
    </xf>
    <xf borderId="42" fillId="0" fontId="12" numFmtId="9" xfId="0" applyAlignment="1" applyBorder="1" applyFont="1" applyNumberFormat="1">
      <alignment horizontal="center" readingOrder="0" shrinkToFit="0" vertical="center" wrapText="1"/>
    </xf>
    <xf borderId="43" fillId="0" fontId="12" numFmtId="9" xfId="0" applyAlignment="1" applyBorder="1" applyFont="1" applyNumberFormat="1">
      <alignment horizontal="center" readingOrder="0" shrinkToFit="0" vertical="center" wrapText="1"/>
    </xf>
    <xf borderId="44" fillId="11" fontId="6" numFmtId="9" xfId="0" applyAlignment="1" applyBorder="1" applyFont="1" applyNumberFormat="1">
      <alignment horizontal="center" vertical="center"/>
    </xf>
    <xf borderId="45" fillId="0" fontId="11" numFmtId="9" xfId="0" applyAlignment="1" applyBorder="1" applyFont="1" applyNumberFormat="1">
      <alignment horizontal="center" readingOrder="0" shrinkToFit="0" vertical="center" wrapText="1"/>
    </xf>
    <xf borderId="45" fillId="0" fontId="12" numFmtId="9" xfId="0" applyAlignment="1" applyBorder="1" applyFont="1" applyNumberFormat="1">
      <alignment horizontal="center" readingOrder="0" shrinkToFit="0" vertical="center" wrapText="1"/>
    </xf>
    <xf borderId="46" fillId="0" fontId="12" numFmtId="9" xfId="0" applyAlignment="1" applyBorder="1" applyFont="1" applyNumberFormat="1">
      <alignment horizontal="center" readingOrder="0" shrinkToFit="0" vertical="center" wrapText="1"/>
    </xf>
    <xf borderId="47" fillId="0" fontId="12" numFmtId="9" xfId="0" applyAlignment="1" applyBorder="1" applyFont="1" applyNumberFormat="1">
      <alignment horizontal="center" readingOrder="0" shrinkToFit="0" vertical="center" wrapText="1"/>
    </xf>
    <xf borderId="48" fillId="0" fontId="12" numFmtId="9" xfId="0" applyAlignment="1" applyBorder="1" applyFont="1" applyNumberFormat="1">
      <alignment horizontal="center" readingOrder="0" shrinkToFit="0" vertical="center" wrapText="1"/>
    </xf>
    <xf borderId="49" fillId="11" fontId="6" numFmtId="9" xfId="0" applyAlignment="1" applyBorder="1" applyFont="1" applyNumberFormat="1">
      <alignment horizontal="center" vertical="center"/>
    </xf>
    <xf borderId="38" fillId="0" fontId="11" numFmtId="9" xfId="0" applyAlignment="1" applyBorder="1" applyFont="1" applyNumberFormat="1">
      <alignment horizontal="center" readingOrder="0" shrinkToFit="0" vertical="center" wrapText="1"/>
    </xf>
    <xf borderId="50" fillId="0" fontId="12" numFmtId="9" xfId="0" applyAlignment="1" applyBorder="1" applyFont="1" applyNumberFormat="1">
      <alignment horizontal="center" readingOrder="0" shrinkToFit="0" vertical="center" wrapText="1"/>
    </xf>
    <xf borderId="0" fillId="11" fontId="6" numFmtId="9" xfId="0" applyAlignment="1" applyFont="1" applyNumberFormat="1">
      <alignment horizontal="center" vertical="center"/>
    </xf>
    <xf borderId="41" fillId="0" fontId="11" numFmtId="9" xfId="0" applyAlignment="1" applyBorder="1" applyFont="1" applyNumberFormat="1">
      <alignment horizontal="center" readingOrder="0" shrinkToFit="0" vertical="center" wrapText="1"/>
    </xf>
    <xf borderId="51" fillId="0" fontId="11" numFmtId="9" xfId="0" applyAlignment="1" applyBorder="1" applyFont="1" applyNumberFormat="1">
      <alignment horizontal="center" readingOrder="0" shrinkToFit="0" vertical="center" wrapText="1"/>
    </xf>
    <xf borderId="52" fillId="0" fontId="11" numFmtId="9" xfId="0" applyAlignment="1" applyBorder="1" applyFont="1" applyNumberFormat="1">
      <alignment horizontal="center" readingOrder="0" shrinkToFit="0" vertical="center" wrapText="1"/>
    </xf>
    <xf borderId="53" fillId="11" fontId="6" numFmtId="9" xfId="0" applyAlignment="1" applyBorder="1" applyFont="1" applyNumberFormat="1">
      <alignment horizontal="center"/>
    </xf>
    <xf borderId="54" fillId="0" fontId="11" numFmtId="9" xfId="0" applyAlignment="1" applyBorder="1" applyFont="1" applyNumberFormat="1">
      <alignment horizontal="center" readingOrder="0" shrinkToFit="0" vertical="center" wrapText="1"/>
    </xf>
    <xf borderId="55" fillId="0" fontId="11" numFmtId="9" xfId="0" applyAlignment="1" applyBorder="1" applyFont="1" applyNumberFormat="1">
      <alignment horizontal="center" readingOrder="0" shrinkToFit="0" vertical="center" wrapText="1"/>
    </xf>
    <xf borderId="55" fillId="0" fontId="12" numFmtId="9" xfId="0" applyAlignment="1" applyBorder="1" applyFont="1" applyNumberFormat="1">
      <alignment horizontal="center" readingOrder="0" shrinkToFit="0" vertical="center" wrapText="1"/>
    </xf>
    <xf borderId="56" fillId="0" fontId="12" numFmtId="9" xfId="0" applyAlignment="1" applyBorder="1" applyFont="1" applyNumberFormat="1">
      <alignment horizontal="center" readingOrder="0" shrinkToFit="0" vertical="center" wrapText="1"/>
    </xf>
    <xf borderId="51" fillId="0" fontId="12" numFmtId="9" xfId="0" applyAlignment="1" applyBorder="1" applyFont="1" applyNumberFormat="1">
      <alignment horizontal="center" readingOrder="0" shrinkToFit="0" vertical="center" wrapText="1"/>
    </xf>
    <xf borderId="52" fillId="0" fontId="12" numFmtId="9" xfId="0" applyAlignment="1" applyBorder="1" applyFont="1" applyNumberFormat="1">
      <alignment horizontal="center" readingOrder="0" shrinkToFit="0" vertical="center" wrapText="1"/>
    </xf>
    <xf borderId="57" fillId="11" fontId="6" numFmtId="9" xfId="0" applyAlignment="1" applyBorder="1" applyFont="1" applyNumberFormat="1">
      <alignment horizontal="center" vertical="center"/>
    </xf>
    <xf borderId="0" fillId="0" fontId="12" numFmtId="0" xfId="0" applyAlignment="1" applyFont="1">
      <alignment horizontal="center" readingOrder="0" vertical="center"/>
    </xf>
    <xf borderId="58" fillId="0" fontId="12" numFmtId="0" xfId="0" applyAlignment="1" applyBorder="1" applyFont="1">
      <alignment horizontal="center" readingOrder="0" shrinkToFit="0" vertical="center" wrapText="0"/>
    </xf>
    <xf borderId="39" fillId="0" fontId="12" numFmtId="0" xfId="0" applyAlignment="1" applyBorder="1" applyFont="1">
      <alignment horizontal="center" readingOrder="0" shrinkToFit="0" vertical="center" wrapText="1"/>
    </xf>
    <xf borderId="35" fillId="0" fontId="6" numFmtId="164" xfId="0" applyAlignment="1" applyBorder="1" applyFont="1" applyNumberFormat="1">
      <alignment horizontal="center"/>
    </xf>
    <xf borderId="39" fillId="13" fontId="12" numFmtId="0" xfId="0" applyAlignment="1" applyBorder="1" applyFill="1" applyFont="1">
      <alignment horizontal="center" readingOrder="0" shrinkToFit="0" vertical="center" wrapText="1"/>
    </xf>
    <xf borderId="59" fillId="0" fontId="11" numFmtId="9" xfId="0" applyAlignment="1" applyBorder="1" applyFont="1" applyNumberFormat="1">
      <alignment horizontal="center" readingOrder="0" shrinkToFit="0" vertical="center" wrapText="1"/>
    </xf>
    <xf borderId="54" fillId="0" fontId="12" numFmtId="9" xfId="0" applyAlignment="1" applyBorder="1" applyFont="1" applyNumberFormat="1">
      <alignment horizontal="center" readingOrder="0" shrinkToFit="0" vertical="center" wrapText="1"/>
    </xf>
    <xf borderId="54" fillId="0" fontId="12" numFmtId="10" xfId="0" applyAlignment="1" applyBorder="1" applyFont="1" applyNumberFormat="1">
      <alignment horizontal="center" readingOrder="0" shrinkToFit="0" vertical="center" wrapText="1"/>
    </xf>
    <xf borderId="60" fillId="0" fontId="12" numFmtId="9" xfId="0" applyAlignment="1" applyBorder="1" applyFont="1" applyNumberFormat="1">
      <alignment horizontal="center" readingOrder="0" shrinkToFit="0" vertical="center" wrapText="1"/>
    </xf>
    <xf borderId="61" fillId="0" fontId="12" numFmtId="9" xfId="0" applyAlignment="1" applyBorder="1" applyFont="1" applyNumberFormat="1">
      <alignment horizontal="center" readingOrder="0" shrinkToFit="0" vertical="center" wrapText="1"/>
    </xf>
    <xf borderId="62" fillId="0" fontId="11" numFmtId="9" xfId="0" applyAlignment="1" applyBorder="1" applyFont="1" applyNumberFormat="1">
      <alignment horizontal="center" readingOrder="0" shrinkToFit="0" vertical="center" wrapText="1"/>
    </xf>
    <xf borderId="62" fillId="0" fontId="12" numFmtId="9" xfId="0" applyAlignment="1" applyBorder="1" applyFont="1" applyNumberFormat="1">
      <alignment horizontal="center" readingOrder="0" shrinkToFit="0" vertical="center" wrapText="1"/>
    </xf>
    <xf borderId="63" fillId="0" fontId="12" numFmtId="9" xfId="0" applyAlignment="1" applyBorder="1" applyFont="1" applyNumberFormat="1">
      <alignment horizontal="center" readingOrder="0" shrinkToFit="0" vertical="center" wrapText="1"/>
    </xf>
    <xf borderId="64" fillId="0" fontId="12" numFmtId="0" xfId="0" applyAlignment="1" applyBorder="1" applyFont="1">
      <alignment horizontal="center" readingOrder="0" shrinkToFit="0" vertical="center" wrapText="0"/>
    </xf>
    <xf borderId="33" fillId="0" fontId="12" numFmtId="0" xfId="0" applyAlignment="1" applyBorder="1" applyFont="1">
      <alignment horizontal="center" readingOrder="0" vertical="center"/>
    </xf>
    <xf borderId="60" fillId="0" fontId="12" numFmtId="0" xfId="0" applyAlignment="1" applyBorder="1" applyFont="1">
      <alignment horizontal="center" readingOrder="0" shrinkToFit="0" vertical="center" wrapText="1"/>
    </xf>
    <xf borderId="42" fillId="0" fontId="11" numFmtId="9" xfId="0" applyAlignment="1" applyBorder="1" applyFont="1" applyNumberFormat="1">
      <alignment horizontal="center" readingOrder="0" shrinkToFit="0" vertical="center" wrapText="1"/>
    </xf>
    <xf borderId="65" fillId="0" fontId="12" numFmtId="0" xfId="0" applyAlignment="1" applyBorder="1" applyFont="1">
      <alignment horizontal="center" readingOrder="0" shrinkToFit="0" vertical="center" wrapText="0"/>
    </xf>
    <xf borderId="66" fillId="0" fontId="12" numFmtId="0" xfId="0" applyAlignment="1" applyBorder="1" applyFont="1">
      <alignment horizontal="center" readingOrder="0" shrinkToFit="0" vertical="center" wrapText="0"/>
    </xf>
    <xf borderId="67" fillId="0" fontId="12" numFmtId="0" xfId="0" applyAlignment="1" applyBorder="1" applyFont="1">
      <alignment horizontal="center" readingOrder="0" shrinkToFit="0" vertical="center" wrapText="0"/>
    </xf>
    <xf borderId="66" fillId="0" fontId="12" numFmtId="0" xfId="0" applyAlignment="1" applyBorder="1" applyFont="1">
      <alignment horizontal="center" readingOrder="0" vertical="center"/>
    </xf>
    <xf borderId="68" fillId="0" fontId="12" numFmtId="0" xfId="0" applyAlignment="1" applyBorder="1" applyFont="1">
      <alignment horizontal="center" vertical="center"/>
    </xf>
    <xf borderId="67" fillId="0" fontId="12" numFmtId="0" xfId="0" applyAlignment="1" applyBorder="1" applyFont="1">
      <alignment horizontal="center" readingOrder="0" shrinkToFit="0" vertical="center" wrapText="1"/>
    </xf>
    <xf borderId="53" fillId="0" fontId="12" numFmtId="9" xfId="0" applyAlignment="1" applyBorder="1" applyFont="1" applyNumberFormat="1">
      <alignment horizontal="center" readingOrder="0" shrinkToFit="0" vertical="center" wrapText="1"/>
    </xf>
    <xf borderId="0" fillId="0" fontId="12" numFmtId="9" xfId="0" applyAlignment="1" applyFont="1" applyNumberFormat="1">
      <alignment horizontal="center" readingOrder="0" shrinkToFit="0" vertical="center" wrapText="1"/>
    </xf>
    <xf borderId="53" fillId="0" fontId="11" numFmtId="9" xfId="0" applyAlignment="1" applyBorder="1" applyFont="1" applyNumberFormat="1">
      <alignment horizontal="center" readingOrder="0" shrinkToFit="0" vertical="center" wrapText="1"/>
    </xf>
    <xf borderId="69" fillId="0" fontId="12" numFmtId="0" xfId="0" applyAlignment="1" applyBorder="1" applyFont="1">
      <alignment horizontal="center" readingOrder="0" shrinkToFit="0" vertical="center" wrapText="0"/>
    </xf>
    <xf borderId="32" fillId="0" fontId="12" numFmtId="0" xfId="0" applyAlignment="1" applyBorder="1" applyFont="1">
      <alignment horizontal="center" readingOrder="0" vertical="center"/>
    </xf>
    <xf borderId="70" fillId="0" fontId="12" numFmtId="0" xfId="0" applyAlignment="1" applyBorder="1" applyFont="1">
      <alignment horizontal="center" vertical="center"/>
    </xf>
    <xf borderId="71" fillId="0" fontId="12" numFmtId="0" xfId="0" applyAlignment="1" applyBorder="1" applyFont="1">
      <alignment horizontal="center" readingOrder="0" shrinkToFit="0" vertical="center" wrapText="0"/>
    </xf>
    <xf borderId="32" fillId="0" fontId="12" numFmtId="0" xfId="0" applyAlignment="1" applyBorder="1" applyFont="1">
      <alignment horizontal="center" readingOrder="0" shrinkToFit="0" vertical="center" wrapText="1"/>
    </xf>
    <xf borderId="68" fillId="0" fontId="12" numFmtId="164" xfId="0" applyAlignment="1" applyBorder="1" applyFont="1" applyNumberFormat="1">
      <alignment horizontal="center" shrinkToFit="0" wrapText="1"/>
    </xf>
    <xf borderId="35" fillId="0" fontId="6" numFmtId="165" xfId="0" applyAlignment="1" applyBorder="1" applyFont="1" applyNumberFormat="1">
      <alignment horizontal="center"/>
    </xf>
    <xf borderId="72" fillId="0" fontId="11" numFmtId="9" xfId="0" applyAlignment="1" applyBorder="1" applyFont="1" applyNumberFormat="1">
      <alignment horizontal="center" readingOrder="0" shrinkToFit="0" vertical="center" wrapText="1"/>
    </xf>
    <xf borderId="62" fillId="0" fontId="12" numFmtId="10" xfId="0" applyAlignment="1" applyBorder="1" applyFont="1" applyNumberFormat="1">
      <alignment horizontal="center" readingOrder="0" shrinkToFit="0" vertical="center" wrapText="1"/>
    </xf>
    <xf borderId="32" fillId="0" fontId="12" numFmtId="0" xfId="0" applyAlignment="1" applyBorder="1" applyFont="1">
      <alignment horizontal="center" vertical="center"/>
    </xf>
    <xf borderId="70" fillId="0" fontId="12" numFmtId="0" xfId="0" applyAlignment="1" applyBorder="1" applyFont="1">
      <alignment horizontal="center" readingOrder="0" vertical="center"/>
    </xf>
    <xf borderId="60" fillId="13" fontId="12" numFmtId="0" xfId="0" applyAlignment="1" applyBorder="1" applyFont="1">
      <alignment horizontal="center" readingOrder="0" shrinkToFit="0" vertical="center" wrapText="1"/>
    </xf>
    <xf borderId="0" fillId="0" fontId="6" numFmtId="166" xfId="0" applyFont="1" applyNumberFormat="1"/>
    <xf borderId="70" fillId="0" fontId="12" numFmtId="166" xfId="0" applyAlignment="1" applyBorder="1" applyFont="1" applyNumberFormat="1">
      <alignment horizontal="center" vertical="center"/>
    </xf>
    <xf borderId="71" fillId="6" fontId="12" numFmtId="0" xfId="0" applyAlignment="1" applyBorder="1" applyFont="1">
      <alignment horizontal="center" readingOrder="0" shrinkToFit="0" vertical="center" wrapText="0"/>
    </xf>
    <xf borderId="32" fillId="6" fontId="12" numFmtId="0" xfId="0" applyAlignment="1" applyBorder="1" applyFont="1">
      <alignment horizontal="center" readingOrder="0" shrinkToFit="0" vertical="center" wrapText="0"/>
    </xf>
    <xf borderId="60" fillId="0" fontId="13" numFmtId="0" xfId="0" applyAlignment="1" applyBorder="1" applyFont="1">
      <alignment horizontal="center" readingOrder="0" shrinkToFit="0" vertical="center" wrapText="1"/>
    </xf>
    <xf borderId="70" fillId="0" fontId="12" numFmtId="166" xfId="0" applyAlignment="1" applyBorder="1" applyFont="1" applyNumberFormat="1">
      <alignment horizontal="center" readingOrder="0" vertical="center"/>
    </xf>
    <xf borderId="53" fillId="11" fontId="6" numFmtId="9" xfId="0" applyAlignment="1" applyBorder="1" applyFont="1" applyNumberFormat="1">
      <alignment horizontal="center" vertical="center"/>
    </xf>
    <xf borderId="73" fillId="11" fontId="6" numFmtId="9" xfId="0" applyAlignment="1" applyBorder="1" applyFont="1" applyNumberFormat="1">
      <alignment horizontal="center" vertical="center"/>
    </xf>
    <xf borderId="60" fillId="0" fontId="12" numFmtId="0" xfId="0" applyAlignment="1" applyBorder="1" applyFont="1">
      <alignment horizontal="center" readingOrder="0" vertical="center"/>
    </xf>
    <xf borderId="71" fillId="14" fontId="12" numFmtId="0" xfId="0" applyAlignment="1" applyBorder="1" applyFill="1" applyFont="1">
      <alignment horizontal="left" readingOrder="0" shrinkToFit="0" vertical="center" wrapText="0"/>
    </xf>
    <xf borderId="60" fillId="14" fontId="12" numFmtId="0" xfId="0" applyAlignment="1" applyBorder="1" applyFont="1">
      <alignment horizontal="left" readingOrder="0" shrinkToFit="0" vertical="center" wrapText="0"/>
    </xf>
    <xf borderId="60" fillId="14" fontId="12" numFmtId="0" xfId="0" applyAlignment="1" applyBorder="1" applyFont="1">
      <alignment horizontal="center" readingOrder="0" shrinkToFit="0" vertical="center" wrapText="1"/>
    </xf>
    <xf borderId="70" fillId="14" fontId="12" numFmtId="0" xfId="0" applyAlignment="1" applyBorder="1" applyFont="1">
      <alignment horizontal="center" readingOrder="0" shrinkToFit="0" vertical="center" wrapText="1"/>
    </xf>
    <xf borderId="33" fillId="14" fontId="12" numFmtId="0" xfId="0" applyAlignment="1" applyBorder="1" applyFont="1">
      <alignment horizontal="center" readingOrder="0" shrinkToFit="0" vertical="center" wrapText="1"/>
    </xf>
    <xf borderId="35" fillId="14" fontId="12" numFmtId="0" xfId="0" applyAlignment="1" applyBorder="1" applyFont="1">
      <alignment horizontal="center" readingOrder="0" shrinkToFit="0" vertical="center" wrapText="1"/>
    </xf>
    <xf borderId="36" fillId="14" fontId="12" numFmtId="0" xfId="0" applyAlignment="1" applyBorder="1" applyFont="1">
      <alignment horizontal="center" readingOrder="0" shrinkToFit="0" vertical="center" wrapText="1"/>
    </xf>
    <xf borderId="74" fillId="14" fontId="12" numFmtId="167" xfId="0" applyAlignment="1" applyBorder="1" applyFont="1" applyNumberFormat="1">
      <alignment horizontal="center" readingOrder="0" shrinkToFit="0" vertical="center" wrapText="1"/>
    </xf>
    <xf borderId="62" fillId="14" fontId="12" numFmtId="167" xfId="0" applyAlignment="1" applyBorder="1" applyFont="1" applyNumberFormat="1">
      <alignment horizontal="center" readingOrder="0" shrinkToFit="0" vertical="center" wrapText="1"/>
    </xf>
    <xf borderId="41" fillId="14" fontId="12" numFmtId="167" xfId="0" applyAlignment="1" applyBorder="1" applyFont="1" applyNumberFormat="1">
      <alignment horizontal="center" readingOrder="0" shrinkToFit="0" vertical="center" wrapText="1"/>
    </xf>
    <xf borderId="42" fillId="14" fontId="12" numFmtId="167" xfId="0" applyAlignment="1" applyBorder="1" applyFont="1" applyNumberFormat="1">
      <alignment horizontal="center" readingOrder="0" shrinkToFit="0" vertical="center" wrapText="1"/>
    </xf>
    <xf borderId="43" fillId="14" fontId="12" numFmtId="167" xfId="0" applyAlignment="1" applyBorder="1" applyFont="1" applyNumberFormat="1">
      <alignment horizontal="center" readingOrder="0" shrinkToFit="0" vertical="center" wrapText="1"/>
    </xf>
    <xf borderId="75" fillId="14" fontId="12" numFmtId="167" xfId="0" applyAlignment="1" applyBorder="1" applyFont="1" applyNumberFormat="1">
      <alignment horizontal="center" readingOrder="0" shrinkToFit="0" vertical="center" wrapText="1"/>
    </xf>
    <xf borderId="45" fillId="14" fontId="12" numFmtId="167" xfId="0" applyAlignment="1" applyBorder="1" applyFont="1" applyNumberFormat="1">
      <alignment horizontal="center" readingOrder="0" shrinkToFit="0" vertical="center" wrapText="1"/>
    </xf>
    <xf borderId="47" fillId="14" fontId="12" numFmtId="167" xfId="0" applyAlignment="1" applyBorder="1" applyFont="1" applyNumberFormat="1">
      <alignment horizontal="center" readingOrder="0" shrinkToFit="0" vertical="center" wrapText="1"/>
    </xf>
    <xf borderId="52" fillId="14" fontId="12" numFmtId="167" xfId="0" applyAlignment="1" applyBorder="1" applyFont="1" applyNumberFormat="1">
      <alignment horizontal="center" readingOrder="0" shrinkToFit="0" vertical="center" wrapText="1"/>
    </xf>
    <xf borderId="40" fillId="14" fontId="12" numFmtId="167" xfId="0" applyAlignment="1" applyBorder="1" applyFont="1" applyNumberFormat="1">
      <alignment horizontal="center" readingOrder="0" shrinkToFit="0" vertical="center" wrapText="1"/>
    </xf>
    <xf borderId="51" fillId="14" fontId="12" numFmtId="167" xfId="0" applyAlignment="1" applyBorder="1" applyFont="1" applyNumberFormat="1">
      <alignment horizontal="center" readingOrder="0" shrinkToFit="0" vertical="center" wrapText="1"/>
    </xf>
    <xf borderId="54" fillId="14" fontId="12" numFmtId="167" xfId="0" applyAlignment="1" applyBorder="1" applyFont="1" applyNumberFormat="1">
      <alignment horizontal="center" readingOrder="0" shrinkToFit="0" vertical="center" wrapText="1"/>
    </xf>
    <xf borderId="76" fillId="14" fontId="12" numFmtId="167" xfId="0" applyAlignment="1" applyBorder="1" applyFont="1" applyNumberFormat="1">
      <alignment horizontal="center" readingOrder="0" shrinkToFit="0" vertical="center" wrapText="1"/>
    </xf>
    <xf borderId="77" fillId="14" fontId="12" numFmtId="167" xfId="0" applyAlignment="1" applyBorder="1" applyFont="1" applyNumberFormat="1">
      <alignment horizontal="center" readingOrder="0" shrinkToFit="0" vertical="center" wrapText="1"/>
    </xf>
    <xf borderId="61" fillId="14" fontId="12" numFmtId="167" xfId="0" applyAlignment="1" applyBorder="1" applyFont="1" applyNumberFormat="1">
      <alignment horizontal="center" readingOrder="0" shrinkToFit="0" vertical="center" wrapText="1"/>
    </xf>
    <xf borderId="60" fillId="14" fontId="12" numFmtId="167" xfId="0" applyAlignment="1" applyBorder="1" applyFont="1" applyNumberFormat="1">
      <alignment horizontal="center" readingOrder="0" shrinkToFit="0" vertical="center" wrapText="1"/>
    </xf>
    <xf borderId="78" fillId="14" fontId="12" numFmtId="167" xfId="0" applyAlignment="1" applyBorder="1" applyFont="1" applyNumberFormat="1">
      <alignment horizontal="center" readingOrder="0" shrinkToFit="0" vertical="center" wrapText="1"/>
    </xf>
    <xf borderId="79" fillId="14" fontId="12" numFmtId="167" xfId="0" applyAlignment="1" applyBorder="1" applyFont="1" applyNumberFormat="1">
      <alignment horizontal="center" readingOrder="0" shrinkToFit="0" vertical="center" wrapText="1"/>
    </xf>
    <xf borderId="53" fillId="14" fontId="12" numFmtId="167" xfId="0" applyAlignment="1" applyBorder="1" applyFont="1" applyNumberFormat="1">
      <alignment horizontal="center" readingOrder="0" shrinkToFit="0" vertical="center" wrapText="1"/>
    </xf>
    <xf borderId="63" fillId="14" fontId="12" numFmtId="167" xfId="0" applyAlignment="1" applyBorder="1" applyFont="1" applyNumberFormat="1">
      <alignment horizontal="center" readingOrder="0" shrinkToFit="0" vertical="center" wrapText="1"/>
    </xf>
    <xf borderId="80" fillId="14" fontId="12" numFmtId="167" xfId="0" applyAlignment="1" applyBorder="1" applyFont="1" applyNumberFormat="1">
      <alignment horizontal="center" readingOrder="0" shrinkToFit="0" vertical="center" wrapText="1"/>
    </xf>
    <xf borderId="0" fillId="0" fontId="12" numFmtId="167" xfId="0" applyAlignment="1" applyFont="1" applyNumberFormat="1">
      <alignment horizontal="center" readingOrder="0" shrinkToFit="0" vertical="center" wrapText="1"/>
    </xf>
    <xf borderId="71" fillId="15" fontId="12" numFmtId="0" xfId="0" applyAlignment="1" applyBorder="1" applyFill="1" applyFont="1">
      <alignment horizontal="left" readingOrder="0" shrinkToFit="0" vertical="center" wrapText="0"/>
    </xf>
    <xf borderId="60" fillId="15" fontId="12" numFmtId="0" xfId="0" applyAlignment="1" applyBorder="1" applyFont="1">
      <alignment horizontal="left" readingOrder="0" shrinkToFit="0" vertical="center" wrapText="0"/>
    </xf>
    <xf borderId="60" fillId="15" fontId="12" numFmtId="0" xfId="0" applyAlignment="1" applyBorder="1" applyFont="1">
      <alignment horizontal="center" readingOrder="0" shrinkToFit="0" vertical="center" wrapText="1"/>
    </xf>
    <xf borderId="70" fillId="15" fontId="12" numFmtId="0" xfId="0" applyAlignment="1" applyBorder="1" applyFont="1">
      <alignment horizontal="center" readingOrder="0" shrinkToFit="0" vertical="center" wrapText="1"/>
    </xf>
    <xf borderId="33" fillId="15" fontId="12" numFmtId="0" xfId="0" applyAlignment="1" applyBorder="1" applyFont="1">
      <alignment horizontal="center" readingOrder="0" shrinkToFit="0" vertical="center" wrapText="1"/>
    </xf>
    <xf borderId="35" fillId="15" fontId="12" numFmtId="0" xfId="0" applyAlignment="1" applyBorder="1" applyFont="1">
      <alignment horizontal="center" readingOrder="0" shrinkToFit="0" vertical="center" wrapText="1"/>
    </xf>
    <xf borderId="36" fillId="15" fontId="12" numFmtId="0" xfId="0" applyAlignment="1" applyBorder="1" applyFont="1">
      <alignment horizontal="center" readingOrder="0" shrinkToFit="0" vertical="center" wrapText="1"/>
    </xf>
    <xf borderId="74" fillId="15" fontId="12" numFmtId="167" xfId="0" applyAlignment="1" applyBorder="1" applyFont="1" applyNumberFormat="1">
      <alignment horizontal="center" readingOrder="0" shrinkToFit="0" vertical="center" wrapText="1"/>
    </xf>
    <xf borderId="62" fillId="15" fontId="12" numFmtId="167" xfId="0" applyAlignment="1" applyBorder="1" applyFont="1" applyNumberFormat="1">
      <alignment horizontal="center" readingOrder="0" shrinkToFit="0" vertical="center" wrapText="1"/>
    </xf>
    <xf borderId="41" fillId="15" fontId="12" numFmtId="167" xfId="0" applyAlignment="1" applyBorder="1" applyFont="1" applyNumberFormat="1">
      <alignment horizontal="center" readingOrder="0" shrinkToFit="0" vertical="center" wrapText="1"/>
    </xf>
    <xf borderId="42" fillId="15" fontId="12" numFmtId="167" xfId="0" applyAlignment="1" applyBorder="1" applyFont="1" applyNumberFormat="1">
      <alignment horizontal="center" readingOrder="0" shrinkToFit="0" vertical="center" wrapText="1"/>
    </xf>
    <xf borderId="43" fillId="15" fontId="12" numFmtId="167" xfId="0" applyAlignment="1" applyBorder="1" applyFont="1" applyNumberFormat="1">
      <alignment horizontal="center" readingOrder="0" shrinkToFit="0" vertical="center" wrapText="1"/>
    </xf>
    <xf borderId="75" fillId="15" fontId="12" numFmtId="167" xfId="0" applyAlignment="1" applyBorder="1" applyFont="1" applyNumberFormat="1">
      <alignment horizontal="center" readingOrder="0" shrinkToFit="0" vertical="center" wrapText="1"/>
    </xf>
    <xf borderId="45" fillId="15" fontId="12" numFmtId="167" xfId="0" applyAlignment="1" applyBorder="1" applyFont="1" applyNumberFormat="1">
      <alignment horizontal="center" readingOrder="0" shrinkToFit="0" vertical="center" wrapText="1"/>
    </xf>
    <xf borderId="47" fillId="15" fontId="12" numFmtId="167" xfId="0" applyAlignment="1" applyBorder="1" applyFont="1" applyNumberFormat="1">
      <alignment horizontal="center" readingOrder="0" shrinkToFit="0" vertical="center" wrapText="1"/>
    </xf>
    <xf borderId="52" fillId="15" fontId="12" numFmtId="167" xfId="0" applyAlignment="1" applyBorder="1" applyFont="1" applyNumberFormat="1">
      <alignment horizontal="center" readingOrder="0" shrinkToFit="0" vertical="center" wrapText="1"/>
    </xf>
    <xf borderId="40" fillId="15" fontId="12" numFmtId="167" xfId="0" applyAlignment="1" applyBorder="1" applyFont="1" applyNumberFormat="1">
      <alignment horizontal="center" readingOrder="0" shrinkToFit="0" vertical="center" wrapText="1"/>
    </xf>
    <xf borderId="51" fillId="15" fontId="12" numFmtId="167" xfId="0" applyAlignment="1" applyBorder="1" applyFont="1" applyNumberFormat="1">
      <alignment horizontal="center" readingOrder="0" shrinkToFit="0" vertical="center" wrapText="1"/>
    </xf>
    <xf borderId="54" fillId="15" fontId="12" numFmtId="167" xfId="0" applyAlignment="1" applyBorder="1" applyFont="1" applyNumberFormat="1">
      <alignment horizontal="center" readingOrder="0" shrinkToFit="0" vertical="center" wrapText="1"/>
    </xf>
    <xf borderId="76" fillId="15" fontId="12" numFmtId="167" xfId="0" applyAlignment="1" applyBorder="1" applyFont="1" applyNumberFormat="1">
      <alignment horizontal="center" readingOrder="0" shrinkToFit="0" vertical="center" wrapText="1"/>
    </xf>
    <xf borderId="77" fillId="15" fontId="12" numFmtId="167" xfId="0" applyAlignment="1" applyBorder="1" applyFont="1" applyNumberFormat="1">
      <alignment horizontal="center" readingOrder="0" shrinkToFit="0" vertical="center" wrapText="1"/>
    </xf>
    <xf borderId="61" fillId="15" fontId="12" numFmtId="167" xfId="0" applyAlignment="1" applyBorder="1" applyFont="1" applyNumberFormat="1">
      <alignment horizontal="center" readingOrder="0" shrinkToFit="0" vertical="center" wrapText="1"/>
    </xf>
    <xf borderId="60" fillId="15" fontId="12" numFmtId="167" xfId="0" applyAlignment="1" applyBorder="1" applyFont="1" applyNumberFormat="1">
      <alignment horizontal="center" readingOrder="0" shrinkToFit="0" vertical="center" wrapText="1"/>
    </xf>
    <xf borderId="78" fillId="15" fontId="12" numFmtId="167" xfId="0" applyAlignment="1" applyBorder="1" applyFont="1" applyNumberFormat="1">
      <alignment horizontal="center" readingOrder="0" shrinkToFit="0" vertical="center" wrapText="1"/>
    </xf>
    <xf borderId="79" fillId="15" fontId="12" numFmtId="167" xfId="0" applyAlignment="1" applyBorder="1" applyFont="1" applyNumberFormat="1">
      <alignment horizontal="center" readingOrder="0" shrinkToFit="0" vertical="center" wrapText="1"/>
    </xf>
    <xf borderId="53" fillId="15" fontId="12" numFmtId="167" xfId="0" applyAlignment="1" applyBorder="1" applyFont="1" applyNumberFormat="1">
      <alignment horizontal="center" readingOrder="0" shrinkToFit="0" vertical="center" wrapText="1"/>
    </xf>
    <xf borderId="63" fillId="15" fontId="12" numFmtId="167" xfId="0" applyAlignment="1" applyBorder="1" applyFont="1" applyNumberFormat="1">
      <alignment horizontal="center" readingOrder="0" shrinkToFit="0" vertical="center" wrapText="1"/>
    </xf>
    <xf borderId="80" fillId="15" fontId="12" numFmtId="167" xfId="0" applyAlignment="1" applyBorder="1" applyFont="1" applyNumberFormat="1">
      <alignment horizontal="center" readingOrder="0" shrinkToFit="0" vertical="center" wrapText="1"/>
    </xf>
    <xf borderId="0" fillId="0" fontId="12" numFmtId="167" xfId="0" applyAlignment="1" applyFont="1" applyNumberFormat="1">
      <alignment horizontal="center" vertical="center"/>
    </xf>
    <xf borderId="60" fillId="14" fontId="12" numFmtId="0" xfId="0" applyAlignment="1" applyBorder="1" applyFont="1">
      <alignment horizontal="center" readingOrder="0" vertical="center"/>
    </xf>
    <xf borderId="70" fillId="14" fontId="12" numFmtId="0" xfId="0" applyAlignment="1" applyBorder="1" applyFont="1">
      <alignment horizontal="center" readingOrder="0" vertical="center"/>
    </xf>
    <xf borderId="33" fillId="14" fontId="12" numFmtId="0" xfId="0" applyAlignment="1" applyBorder="1" applyFont="1">
      <alignment horizontal="center" readingOrder="0" vertical="center"/>
    </xf>
    <xf borderId="35" fillId="14" fontId="12" numFmtId="0" xfId="0" applyAlignment="1" applyBorder="1" applyFont="1">
      <alignment horizontal="center" readingOrder="0" vertical="center"/>
    </xf>
    <xf borderId="36" fillId="14" fontId="12" numFmtId="0" xfId="0" applyAlignment="1" applyBorder="1" applyFont="1">
      <alignment horizontal="center" readingOrder="0" vertical="center"/>
    </xf>
    <xf borderId="74" fillId="14" fontId="12" numFmtId="167" xfId="0" applyAlignment="1" applyBorder="1" applyFont="1" applyNumberFormat="1">
      <alignment horizontal="center" readingOrder="0" vertical="center"/>
    </xf>
    <xf borderId="62" fillId="14" fontId="12" numFmtId="167" xfId="0" applyAlignment="1" applyBorder="1" applyFont="1" applyNumberFormat="1">
      <alignment horizontal="center" readingOrder="0" vertical="center"/>
    </xf>
    <xf borderId="41" fillId="14" fontId="12" numFmtId="167" xfId="0" applyAlignment="1" applyBorder="1" applyFont="1" applyNumberFormat="1">
      <alignment horizontal="center" readingOrder="0" vertical="center"/>
    </xf>
    <xf borderId="42" fillId="14" fontId="12" numFmtId="167" xfId="0" applyAlignment="1" applyBorder="1" applyFont="1" applyNumberFormat="1">
      <alignment horizontal="center" readingOrder="0" vertical="center"/>
    </xf>
    <xf borderId="43" fillId="14" fontId="12" numFmtId="167" xfId="0" applyAlignment="1" applyBorder="1" applyFont="1" applyNumberFormat="1">
      <alignment horizontal="center" readingOrder="0" vertical="center"/>
    </xf>
    <xf borderId="75" fillId="14" fontId="12" numFmtId="167" xfId="0" applyAlignment="1" applyBorder="1" applyFont="1" applyNumberFormat="1">
      <alignment horizontal="center" readingOrder="0" vertical="center"/>
    </xf>
    <xf borderId="45" fillId="14" fontId="12" numFmtId="167" xfId="0" applyAlignment="1" applyBorder="1" applyFont="1" applyNumberFormat="1">
      <alignment horizontal="center" readingOrder="0" vertical="center"/>
    </xf>
    <xf borderId="47" fillId="14" fontId="12" numFmtId="167" xfId="0" applyAlignment="1" applyBorder="1" applyFont="1" applyNumberFormat="1">
      <alignment horizontal="center" readingOrder="0" vertical="center"/>
    </xf>
    <xf borderId="52" fillId="14" fontId="12" numFmtId="167" xfId="0" applyAlignment="1" applyBorder="1" applyFont="1" applyNumberFormat="1">
      <alignment horizontal="center" readingOrder="0" vertical="center"/>
    </xf>
    <xf borderId="40" fillId="14" fontId="12" numFmtId="167" xfId="0" applyAlignment="1" applyBorder="1" applyFont="1" applyNumberFormat="1">
      <alignment horizontal="center" readingOrder="0" vertical="center"/>
    </xf>
    <xf borderId="51" fillId="14" fontId="12" numFmtId="167" xfId="0" applyAlignment="1" applyBorder="1" applyFont="1" applyNumberFormat="1">
      <alignment horizontal="center" readingOrder="0" vertical="center"/>
    </xf>
    <xf borderId="54" fillId="14" fontId="12" numFmtId="167" xfId="0" applyAlignment="1" applyBorder="1" applyFont="1" applyNumberFormat="1">
      <alignment horizontal="center" readingOrder="0" vertical="center"/>
    </xf>
    <xf borderId="76" fillId="14" fontId="12" numFmtId="167" xfId="0" applyAlignment="1" applyBorder="1" applyFont="1" applyNumberFormat="1">
      <alignment horizontal="center" readingOrder="0" vertical="center"/>
    </xf>
    <xf borderId="77" fillId="14" fontId="12" numFmtId="167" xfId="0" applyAlignment="1" applyBorder="1" applyFont="1" applyNumberFormat="1">
      <alignment horizontal="center" readingOrder="0" vertical="center"/>
    </xf>
    <xf borderId="61" fillId="14" fontId="12" numFmtId="167" xfId="0" applyAlignment="1" applyBorder="1" applyFont="1" applyNumberFormat="1">
      <alignment horizontal="center" readingOrder="0" vertical="center"/>
    </xf>
    <xf borderId="60" fillId="14" fontId="12" numFmtId="167" xfId="0" applyAlignment="1" applyBorder="1" applyFont="1" applyNumberFormat="1">
      <alignment horizontal="center" readingOrder="0" vertical="center"/>
    </xf>
    <xf borderId="78" fillId="14" fontId="12" numFmtId="167" xfId="0" applyAlignment="1" applyBorder="1" applyFont="1" applyNumberFormat="1">
      <alignment horizontal="center" readingOrder="0" vertical="center"/>
    </xf>
    <xf borderId="79" fillId="14" fontId="12" numFmtId="167" xfId="0" applyAlignment="1" applyBorder="1" applyFont="1" applyNumberFormat="1">
      <alignment horizontal="center" readingOrder="0" vertical="center"/>
    </xf>
    <xf borderId="53" fillId="14" fontId="12" numFmtId="167" xfId="0" applyAlignment="1" applyBorder="1" applyFont="1" applyNumberFormat="1">
      <alignment horizontal="center" readingOrder="0" vertical="center"/>
    </xf>
    <xf borderId="63" fillId="14" fontId="12" numFmtId="167" xfId="0" applyAlignment="1" applyBorder="1" applyFont="1" applyNumberFormat="1">
      <alignment horizontal="center" readingOrder="0" vertical="center"/>
    </xf>
    <xf borderId="80" fillId="14" fontId="12" numFmtId="167" xfId="0" applyAlignment="1" applyBorder="1" applyFont="1" applyNumberFormat="1">
      <alignment horizontal="center" readingOrder="0" vertical="center"/>
    </xf>
    <xf borderId="74" fillId="15" fontId="12" numFmtId="0" xfId="0" applyAlignment="1" applyBorder="1" applyFont="1">
      <alignment horizontal="center" readingOrder="0" shrinkToFit="0" vertical="center" wrapText="1"/>
    </xf>
    <xf borderId="62" fillId="15" fontId="12" numFmtId="0" xfId="0" applyAlignment="1" applyBorder="1" applyFont="1">
      <alignment horizontal="center" readingOrder="0" shrinkToFit="0" vertical="center" wrapText="1"/>
    </xf>
    <xf borderId="41" fillId="15" fontId="12" numFmtId="0" xfId="0" applyAlignment="1" applyBorder="1" applyFont="1">
      <alignment horizontal="center" readingOrder="0" shrinkToFit="0" vertical="center" wrapText="1"/>
    </xf>
    <xf borderId="42" fillId="15" fontId="12" numFmtId="0" xfId="0" applyAlignment="1" applyBorder="1" applyFont="1">
      <alignment horizontal="center" readingOrder="0" shrinkToFit="0" vertical="center" wrapText="1"/>
    </xf>
    <xf borderId="43" fillId="15" fontId="12" numFmtId="0" xfId="0" applyAlignment="1" applyBorder="1" applyFont="1">
      <alignment horizontal="center" readingOrder="0" shrinkToFit="0" vertical="center" wrapText="1"/>
    </xf>
    <xf borderId="75" fillId="15" fontId="12" numFmtId="0" xfId="0" applyAlignment="1" applyBorder="1" applyFont="1">
      <alignment horizontal="center" readingOrder="0" shrinkToFit="0" vertical="center" wrapText="1"/>
    </xf>
    <xf borderId="45" fillId="15" fontId="12" numFmtId="0" xfId="0" applyAlignment="1" applyBorder="1" applyFont="1">
      <alignment horizontal="center" readingOrder="0" shrinkToFit="0" vertical="center" wrapText="1"/>
    </xf>
    <xf borderId="47" fillId="15" fontId="12" numFmtId="0" xfId="0" applyAlignment="1" applyBorder="1" applyFont="1">
      <alignment horizontal="center" readingOrder="0" shrinkToFit="0" vertical="center" wrapText="1"/>
    </xf>
    <xf borderId="52" fillId="15" fontId="12" numFmtId="0" xfId="0" applyAlignment="1" applyBorder="1" applyFont="1">
      <alignment horizontal="center" readingOrder="0" shrinkToFit="0" vertical="center" wrapText="1"/>
    </xf>
    <xf borderId="40" fillId="15" fontId="12" numFmtId="0" xfId="0" applyAlignment="1" applyBorder="1" applyFont="1">
      <alignment horizontal="center" readingOrder="0" shrinkToFit="0" vertical="center" wrapText="1"/>
    </xf>
    <xf borderId="51" fillId="15" fontId="12" numFmtId="0" xfId="0" applyAlignment="1" applyBorder="1" applyFont="1">
      <alignment horizontal="center" readingOrder="0" shrinkToFit="0" vertical="center" wrapText="1"/>
    </xf>
    <xf borderId="54" fillId="15" fontId="12" numFmtId="0" xfId="0" applyAlignment="1" applyBorder="1" applyFont="1">
      <alignment horizontal="center" readingOrder="0" shrinkToFit="0" vertical="center" wrapText="1"/>
    </xf>
    <xf borderId="76" fillId="15" fontId="12" numFmtId="0" xfId="0" applyAlignment="1" applyBorder="1" applyFont="1">
      <alignment horizontal="center" readingOrder="0" shrinkToFit="0" vertical="center" wrapText="1"/>
    </xf>
    <xf borderId="77" fillId="15" fontId="12" numFmtId="0" xfId="0" applyAlignment="1" applyBorder="1" applyFont="1">
      <alignment horizontal="center" readingOrder="0" shrinkToFit="0" vertical="center" wrapText="1"/>
    </xf>
    <xf borderId="61" fillId="15" fontId="12" numFmtId="0" xfId="0" applyAlignment="1" applyBorder="1" applyFont="1">
      <alignment horizontal="center" readingOrder="0" shrinkToFit="0" vertical="center" wrapText="1"/>
    </xf>
    <xf borderId="78" fillId="15" fontId="12" numFmtId="0" xfId="0" applyAlignment="1" applyBorder="1" applyFont="1">
      <alignment horizontal="center" readingOrder="0" shrinkToFit="0" vertical="center" wrapText="1"/>
    </xf>
    <xf borderId="79" fillId="15" fontId="12" numFmtId="0" xfId="0" applyAlignment="1" applyBorder="1" applyFont="1">
      <alignment horizontal="center" readingOrder="0" shrinkToFit="0" vertical="center" wrapText="1"/>
    </xf>
    <xf borderId="53" fillId="15" fontId="12" numFmtId="0" xfId="0" applyAlignment="1" applyBorder="1" applyFont="1">
      <alignment horizontal="center" readingOrder="0" shrinkToFit="0" vertical="center" wrapText="1"/>
    </xf>
    <xf borderId="63" fillId="15" fontId="12" numFmtId="0" xfId="0" applyAlignment="1" applyBorder="1" applyFont="1">
      <alignment horizontal="center" readingOrder="0" shrinkToFit="0" vertical="center" wrapText="1"/>
    </xf>
    <xf borderId="80" fillId="15" fontId="12" numFmtId="0" xfId="0" applyAlignment="1" applyBorder="1" applyFont="1">
      <alignment horizontal="center" readingOrder="0" shrinkToFit="0" vertical="center" wrapText="1"/>
    </xf>
    <xf borderId="71" fillId="16" fontId="12" numFmtId="0" xfId="0" applyAlignment="1" applyBorder="1" applyFill="1" applyFont="1">
      <alignment horizontal="left" readingOrder="0" shrinkToFit="0" vertical="center" wrapText="0"/>
    </xf>
    <xf borderId="60" fillId="16" fontId="12" numFmtId="0" xfId="0" applyAlignment="1" applyBorder="1" applyFont="1">
      <alignment horizontal="left" readingOrder="0" shrinkToFit="0" vertical="center" wrapText="0"/>
    </xf>
    <xf borderId="60" fillId="16" fontId="12" numFmtId="0" xfId="0" applyAlignment="1" applyBorder="1" applyFont="1">
      <alignment horizontal="center" readingOrder="0" shrinkToFit="0" vertical="center" wrapText="1"/>
    </xf>
    <xf borderId="70" fillId="16" fontId="12" numFmtId="0" xfId="0" applyAlignment="1" applyBorder="1" applyFont="1">
      <alignment horizontal="center" readingOrder="0" shrinkToFit="0" vertical="center" wrapText="1"/>
    </xf>
    <xf borderId="33" fillId="16" fontId="12" numFmtId="0" xfId="0" applyAlignment="1" applyBorder="1" applyFont="1">
      <alignment horizontal="center" readingOrder="0" shrinkToFit="0" vertical="center" wrapText="1"/>
    </xf>
    <xf borderId="35" fillId="16" fontId="12" numFmtId="0" xfId="0" applyAlignment="1" applyBorder="1" applyFont="1">
      <alignment horizontal="center" readingOrder="0" shrinkToFit="0" vertical="center" wrapText="1"/>
    </xf>
    <xf borderId="36" fillId="16" fontId="12" numFmtId="0" xfId="0" applyAlignment="1" applyBorder="1" applyFont="1">
      <alignment horizontal="center" readingOrder="0" shrinkToFit="0" vertical="center" wrapText="1"/>
    </xf>
    <xf borderId="74" fillId="16" fontId="12" numFmtId="167" xfId="0" applyAlignment="1" applyBorder="1" applyFont="1" applyNumberFormat="1">
      <alignment horizontal="center" readingOrder="0" shrinkToFit="0" vertical="center" wrapText="1"/>
    </xf>
    <xf borderId="62" fillId="16" fontId="12" numFmtId="167" xfId="0" applyAlignment="1" applyBorder="1" applyFont="1" applyNumberFormat="1">
      <alignment horizontal="center" readingOrder="0" shrinkToFit="0" vertical="center" wrapText="1"/>
    </xf>
    <xf borderId="41" fillId="16" fontId="12" numFmtId="167" xfId="0" applyAlignment="1" applyBorder="1" applyFont="1" applyNumberFormat="1">
      <alignment horizontal="center" readingOrder="0" shrinkToFit="0" vertical="center" wrapText="1"/>
    </xf>
    <xf borderId="42" fillId="16" fontId="12" numFmtId="167" xfId="0" applyAlignment="1" applyBorder="1" applyFont="1" applyNumberFormat="1">
      <alignment horizontal="center" readingOrder="0" shrinkToFit="0" vertical="center" wrapText="1"/>
    </xf>
    <xf borderId="43" fillId="16" fontId="12" numFmtId="167" xfId="0" applyAlignment="1" applyBorder="1" applyFont="1" applyNumberFormat="1">
      <alignment horizontal="center" readingOrder="0" shrinkToFit="0" vertical="center" wrapText="1"/>
    </xf>
    <xf borderId="75" fillId="16" fontId="12" numFmtId="167" xfId="0" applyAlignment="1" applyBorder="1" applyFont="1" applyNumberFormat="1">
      <alignment horizontal="center" readingOrder="0" shrinkToFit="0" vertical="center" wrapText="1"/>
    </xf>
    <xf borderId="45" fillId="16" fontId="12" numFmtId="167" xfId="0" applyAlignment="1" applyBorder="1" applyFont="1" applyNumberFormat="1">
      <alignment horizontal="center" readingOrder="0" shrinkToFit="0" vertical="center" wrapText="1"/>
    </xf>
    <xf borderId="47" fillId="16" fontId="12" numFmtId="167" xfId="0" applyAlignment="1" applyBorder="1" applyFont="1" applyNumberFormat="1">
      <alignment horizontal="center" readingOrder="0" shrinkToFit="0" vertical="center" wrapText="1"/>
    </xf>
    <xf borderId="52" fillId="16" fontId="12" numFmtId="167" xfId="0" applyAlignment="1" applyBorder="1" applyFont="1" applyNumberFormat="1">
      <alignment horizontal="center" readingOrder="0" shrinkToFit="0" vertical="center" wrapText="1"/>
    </xf>
    <xf borderId="40" fillId="16" fontId="12" numFmtId="167" xfId="0" applyAlignment="1" applyBorder="1" applyFont="1" applyNumberFormat="1">
      <alignment horizontal="center" readingOrder="0" shrinkToFit="0" vertical="center" wrapText="1"/>
    </xf>
    <xf borderId="51" fillId="16" fontId="12" numFmtId="167" xfId="0" applyAlignment="1" applyBorder="1" applyFont="1" applyNumberFormat="1">
      <alignment horizontal="center" readingOrder="0" shrinkToFit="0" vertical="center" wrapText="1"/>
    </xf>
    <xf borderId="54" fillId="16" fontId="12" numFmtId="167" xfId="0" applyAlignment="1" applyBorder="1" applyFont="1" applyNumberFormat="1">
      <alignment horizontal="center" readingOrder="0" shrinkToFit="0" vertical="center" wrapText="1"/>
    </xf>
    <xf borderId="76" fillId="16" fontId="12" numFmtId="167" xfId="0" applyAlignment="1" applyBorder="1" applyFont="1" applyNumberFormat="1">
      <alignment horizontal="center" readingOrder="0" shrinkToFit="0" vertical="center" wrapText="1"/>
    </xf>
    <xf borderId="77" fillId="16" fontId="12" numFmtId="167" xfId="0" applyAlignment="1" applyBorder="1" applyFont="1" applyNumberFormat="1">
      <alignment horizontal="center" readingOrder="0" shrinkToFit="0" vertical="center" wrapText="1"/>
    </xf>
    <xf borderId="61" fillId="16" fontId="12" numFmtId="167" xfId="0" applyAlignment="1" applyBorder="1" applyFont="1" applyNumberFormat="1">
      <alignment horizontal="center" readingOrder="0" shrinkToFit="0" vertical="center" wrapText="1"/>
    </xf>
    <xf borderId="60" fillId="16" fontId="12" numFmtId="167" xfId="0" applyAlignment="1" applyBorder="1" applyFont="1" applyNumberFormat="1">
      <alignment horizontal="center" readingOrder="0" shrinkToFit="0" vertical="center" wrapText="1"/>
    </xf>
    <xf borderId="78" fillId="16" fontId="12" numFmtId="167" xfId="0" applyAlignment="1" applyBorder="1" applyFont="1" applyNumberFormat="1">
      <alignment horizontal="center" readingOrder="0" shrinkToFit="0" vertical="center" wrapText="1"/>
    </xf>
    <xf borderId="79" fillId="16" fontId="12" numFmtId="167" xfId="0" applyAlignment="1" applyBorder="1" applyFont="1" applyNumberFormat="1">
      <alignment horizontal="center" readingOrder="0" shrinkToFit="0" vertical="center" wrapText="1"/>
    </xf>
    <xf borderId="53" fillId="16" fontId="12" numFmtId="167" xfId="0" applyAlignment="1" applyBorder="1" applyFont="1" applyNumberFormat="1">
      <alignment horizontal="center" readingOrder="0" shrinkToFit="0" vertical="center" wrapText="1"/>
    </xf>
    <xf borderId="63" fillId="16" fontId="12" numFmtId="167" xfId="0" applyAlignment="1" applyBorder="1" applyFont="1" applyNumberFormat="1">
      <alignment horizontal="center" readingOrder="0" shrinkToFit="0" vertical="center" wrapText="1"/>
    </xf>
    <xf borderId="80" fillId="16" fontId="12" numFmtId="167" xfId="0" applyAlignment="1" applyBorder="1" applyFont="1" applyNumberFormat="1">
      <alignment horizontal="center" readingOrder="0" shrinkToFit="0" vertical="center" wrapText="1"/>
    </xf>
    <xf borderId="71" fillId="17" fontId="12" numFmtId="0" xfId="0" applyAlignment="1" applyBorder="1" applyFill="1" applyFont="1">
      <alignment horizontal="left" readingOrder="0" shrinkToFit="0" vertical="center" wrapText="0"/>
    </xf>
    <xf borderId="60" fillId="17" fontId="12" numFmtId="0" xfId="0" applyAlignment="1" applyBorder="1" applyFont="1">
      <alignment horizontal="left" readingOrder="0" shrinkToFit="0" vertical="center" wrapText="0"/>
    </xf>
    <xf borderId="60" fillId="17" fontId="12" numFmtId="0" xfId="0" applyAlignment="1" applyBorder="1" applyFont="1">
      <alignment horizontal="center" readingOrder="0" shrinkToFit="0" vertical="center" wrapText="1"/>
    </xf>
    <xf borderId="70" fillId="17" fontId="12" numFmtId="0" xfId="0" applyAlignment="1" applyBorder="1" applyFont="1">
      <alignment horizontal="center" readingOrder="0" shrinkToFit="0" vertical="center" wrapText="1"/>
    </xf>
    <xf borderId="33" fillId="17" fontId="12" numFmtId="0" xfId="0" applyAlignment="1" applyBorder="1" applyFont="1">
      <alignment horizontal="center" readingOrder="0" shrinkToFit="0" vertical="center" wrapText="1"/>
    </xf>
    <xf borderId="35" fillId="17" fontId="12" numFmtId="0" xfId="0" applyAlignment="1" applyBorder="1" applyFont="1">
      <alignment horizontal="center" readingOrder="0" shrinkToFit="0" vertical="center" wrapText="1"/>
    </xf>
    <xf borderId="36" fillId="17" fontId="12" numFmtId="0" xfId="0" applyAlignment="1" applyBorder="1" applyFont="1">
      <alignment horizontal="center" readingOrder="0" shrinkToFit="0" vertical="center" wrapText="1"/>
    </xf>
    <xf borderId="74" fillId="17" fontId="12" numFmtId="167" xfId="0" applyAlignment="1" applyBorder="1" applyFont="1" applyNumberFormat="1">
      <alignment horizontal="center" readingOrder="0" shrinkToFit="0" vertical="center" wrapText="1"/>
    </xf>
    <xf borderId="62" fillId="17" fontId="12" numFmtId="167" xfId="0" applyAlignment="1" applyBorder="1" applyFont="1" applyNumberFormat="1">
      <alignment horizontal="center" readingOrder="0" shrinkToFit="0" vertical="center" wrapText="1"/>
    </xf>
    <xf borderId="41" fillId="17" fontId="12" numFmtId="167" xfId="0" applyAlignment="1" applyBorder="1" applyFont="1" applyNumberFormat="1">
      <alignment horizontal="center" readingOrder="0" shrinkToFit="0" vertical="center" wrapText="1"/>
    </xf>
    <xf borderId="42" fillId="17" fontId="12" numFmtId="167" xfId="0" applyAlignment="1" applyBorder="1" applyFont="1" applyNumberFormat="1">
      <alignment horizontal="center" readingOrder="0" shrinkToFit="0" vertical="center" wrapText="1"/>
    </xf>
    <xf borderId="43" fillId="17" fontId="12" numFmtId="167" xfId="0" applyAlignment="1" applyBorder="1" applyFont="1" applyNumberFormat="1">
      <alignment horizontal="center" readingOrder="0" shrinkToFit="0" vertical="center" wrapText="1"/>
    </xf>
    <xf borderId="75" fillId="17" fontId="12" numFmtId="167" xfId="0" applyAlignment="1" applyBorder="1" applyFont="1" applyNumberFormat="1">
      <alignment horizontal="center" readingOrder="0" shrinkToFit="0" vertical="center" wrapText="1"/>
    </xf>
    <xf borderId="45" fillId="17" fontId="12" numFmtId="167" xfId="0" applyAlignment="1" applyBorder="1" applyFont="1" applyNumberFormat="1">
      <alignment horizontal="center" readingOrder="0" shrinkToFit="0" vertical="center" wrapText="1"/>
    </xf>
    <xf borderId="47" fillId="17" fontId="12" numFmtId="167" xfId="0" applyAlignment="1" applyBorder="1" applyFont="1" applyNumberFormat="1">
      <alignment horizontal="center" readingOrder="0" shrinkToFit="0" vertical="center" wrapText="1"/>
    </xf>
    <xf borderId="52" fillId="17" fontId="12" numFmtId="167" xfId="0" applyAlignment="1" applyBorder="1" applyFont="1" applyNumberFormat="1">
      <alignment horizontal="center" readingOrder="0" shrinkToFit="0" vertical="center" wrapText="1"/>
    </xf>
    <xf borderId="40" fillId="17" fontId="12" numFmtId="167" xfId="0" applyAlignment="1" applyBorder="1" applyFont="1" applyNumberFormat="1">
      <alignment horizontal="center" readingOrder="0" shrinkToFit="0" vertical="center" wrapText="1"/>
    </xf>
    <xf borderId="51" fillId="17" fontId="12" numFmtId="167" xfId="0" applyAlignment="1" applyBorder="1" applyFont="1" applyNumberFormat="1">
      <alignment horizontal="center" readingOrder="0" shrinkToFit="0" vertical="center" wrapText="1"/>
    </xf>
    <xf borderId="54" fillId="17" fontId="12" numFmtId="167" xfId="0" applyAlignment="1" applyBorder="1" applyFont="1" applyNumberFormat="1">
      <alignment horizontal="center" readingOrder="0" shrinkToFit="0" vertical="center" wrapText="1"/>
    </xf>
    <xf borderId="76" fillId="17" fontId="12" numFmtId="167" xfId="0" applyAlignment="1" applyBorder="1" applyFont="1" applyNumberFormat="1">
      <alignment horizontal="center" readingOrder="0" shrinkToFit="0" vertical="center" wrapText="1"/>
    </xf>
    <xf borderId="77" fillId="17" fontId="12" numFmtId="167" xfId="0" applyAlignment="1" applyBorder="1" applyFont="1" applyNumberFormat="1">
      <alignment horizontal="center" readingOrder="0" shrinkToFit="0" vertical="center" wrapText="1"/>
    </xf>
    <xf borderId="61" fillId="17" fontId="12" numFmtId="167" xfId="0" applyAlignment="1" applyBorder="1" applyFont="1" applyNumberFormat="1">
      <alignment horizontal="center" readingOrder="0" shrinkToFit="0" vertical="center" wrapText="1"/>
    </xf>
    <xf borderId="60" fillId="17" fontId="12" numFmtId="167" xfId="0" applyAlignment="1" applyBorder="1" applyFont="1" applyNumberFormat="1">
      <alignment horizontal="center" readingOrder="0" shrinkToFit="0" vertical="center" wrapText="1"/>
    </xf>
    <xf borderId="78" fillId="17" fontId="12" numFmtId="167" xfId="0" applyAlignment="1" applyBorder="1" applyFont="1" applyNumberFormat="1">
      <alignment horizontal="center" readingOrder="0" shrinkToFit="0" vertical="center" wrapText="1"/>
    </xf>
    <xf borderId="79" fillId="17" fontId="12" numFmtId="167" xfId="0" applyAlignment="1" applyBorder="1" applyFont="1" applyNumberFormat="1">
      <alignment horizontal="center" readingOrder="0" shrinkToFit="0" vertical="center" wrapText="1"/>
    </xf>
    <xf borderId="53" fillId="17" fontId="12" numFmtId="167" xfId="0" applyAlignment="1" applyBorder="1" applyFont="1" applyNumberFormat="1">
      <alignment horizontal="center" readingOrder="0" shrinkToFit="0" vertical="center" wrapText="1"/>
    </xf>
    <xf borderId="63" fillId="17" fontId="12" numFmtId="167" xfId="0" applyAlignment="1" applyBorder="1" applyFont="1" applyNumberFormat="1">
      <alignment horizontal="center" readingOrder="0" shrinkToFit="0" vertical="center" wrapText="1"/>
    </xf>
    <xf borderId="80" fillId="17" fontId="12" numFmtId="167" xfId="0" applyAlignment="1" applyBorder="1" applyFont="1" applyNumberFormat="1">
      <alignment horizontal="center" readingOrder="0" shrinkToFit="0" vertical="center" wrapText="1"/>
    </xf>
    <xf borderId="71" fillId="18" fontId="12" numFmtId="0" xfId="0" applyAlignment="1" applyBorder="1" applyFill="1" applyFont="1">
      <alignment horizontal="left" readingOrder="0" shrinkToFit="0" vertical="center" wrapText="0"/>
    </xf>
    <xf borderId="60" fillId="18" fontId="12" numFmtId="0" xfId="0" applyAlignment="1" applyBorder="1" applyFont="1">
      <alignment horizontal="left" readingOrder="0" shrinkToFit="0" vertical="center" wrapText="0"/>
    </xf>
    <xf borderId="60" fillId="18" fontId="12" numFmtId="0" xfId="0" applyAlignment="1" applyBorder="1" applyFont="1">
      <alignment horizontal="center" readingOrder="0" shrinkToFit="0" vertical="center" wrapText="1"/>
    </xf>
    <xf borderId="70" fillId="18" fontId="12" numFmtId="0" xfId="0" applyAlignment="1" applyBorder="1" applyFont="1">
      <alignment horizontal="center" readingOrder="0" shrinkToFit="0" vertical="center" wrapText="1"/>
    </xf>
    <xf borderId="33" fillId="18" fontId="12" numFmtId="0" xfId="0" applyAlignment="1" applyBorder="1" applyFont="1">
      <alignment horizontal="center" readingOrder="0" shrinkToFit="0" vertical="center" wrapText="1"/>
    </xf>
    <xf borderId="35" fillId="18" fontId="12" numFmtId="0" xfId="0" applyAlignment="1" applyBorder="1" applyFont="1">
      <alignment horizontal="center" readingOrder="0" shrinkToFit="0" vertical="center" wrapText="1"/>
    </xf>
    <xf borderId="36" fillId="18" fontId="12" numFmtId="0" xfId="0" applyAlignment="1" applyBorder="1" applyFont="1">
      <alignment horizontal="center" readingOrder="0" shrinkToFit="0" vertical="center" wrapText="1"/>
    </xf>
    <xf borderId="74" fillId="18" fontId="12" numFmtId="0" xfId="0" applyAlignment="1" applyBorder="1" applyFont="1">
      <alignment horizontal="center" readingOrder="0" shrinkToFit="0" vertical="center" wrapText="1"/>
    </xf>
    <xf borderId="62" fillId="18" fontId="12" numFmtId="0" xfId="0" applyAlignment="1" applyBorder="1" applyFont="1">
      <alignment horizontal="center" readingOrder="0" shrinkToFit="0" vertical="center" wrapText="1"/>
    </xf>
    <xf borderId="41" fillId="18" fontId="12" numFmtId="0" xfId="0" applyAlignment="1" applyBorder="1" applyFont="1">
      <alignment horizontal="center" readingOrder="0" shrinkToFit="0" vertical="center" wrapText="1"/>
    </xf>
    <xf borderId="42" fillId="18" fontId="12" numFmtId="0" xfId="0" applyAlignment="1" applyBorder="1" applyFont="1">
      <alignment horizontal="center" readingOrder="0" shrinkToFit="0" vertical="center" wrapText="1"/>
    </xf>
    <xf borderId="43" fillId="18" fontId="12" numFmtId="0" xfId="0" applyAlignment="1" applyBorder="1" applyFont="1">
      <alignment horizontal="center" readingOrder="0" shrinkToFit="0" vertical="center" wrapText="1"/>
    </xf>
    <xf borderId="75" fillId="18" fontId="12" numFmtId="0" xfId="0" applyAlignment="1" applyBorder="1" applyFont="1">
      <alignment horizontal="center" readingOrder="0" shrinkToFit="0" vertical="center" wrapText="1"/>
    </xf>
    <xf borderId="45" fillId="18" fontId="12" numFmtId="0" xfId="0" applyAlignment="1" applyBorder="1" applyFont="1">
      <alignment horizontal="center" readingOrder="0" shrinkToFit="0" vertical="center" wrapText="1"/>
    </xf>
    <xf borderId="47" fillId="18" fontId="12" numFmtId="0" xfId="0" applyAlignment="1" applyBorder="1" applyFont="1">
      <alignment horizontal="center" readingOrder="0" shrinkToFit="0" vertical="center" wrapText="1"/>
    </xf>
    <xf borderId="52" fillId="18" fontId="12" numFmtId="0" xfId="0" applyAlignment="1" applyBorder="1" applyFont="1">
      <alignment horizontal="center" readingOrder="0" shrinkToFit="0" vertical="center" wrapText="1"/>
    </xf>
    <xf borderId="40" fillId="18" fontId="12" numFmtId="0" xfId="0" applyAlignment="1" applyBorder="1" applyFont="1">
      <alignment horizontal="center" readingOrder="0" shrinkToFit="0" vertical="center" wrapText="1"/>
    </xf>
    <xf borderId="51" fillId="18" fontId="12" numFmtId="0" xfId="0" applyAlignment="1" applyBorder="1" applyFont="1">
      <alignment horizontal="center" readingOrder="0" shrinkToFit="0" vertical="center" wrapText="1"/>
    </xf>
    <xf borderId="54" fillId="18" fontId="12" numFmtId="0" xfId="0" applyAlignment="1" applyBorder="1" applyFont="1">
      <alignment horizontal="center" readingOrder="0" shrinkToFit="0" vertical="center" wrapText="1"/>
    </xf>
    <xf borderId="76" fillId="18" fontId="12" numFmtId="0" xfId="0" applyAlignment="1" applyBorder="1" applyFont="1">
      <alignment horizontal="center" readingOrder="0" shrinkToFit="0" vertical="center" wrapText="1"/>
    </xf>
    <xf borderId="77" fillId="18" fontId="12" numFmtId="0" xfId="0" applyAlignment="1" applyBorder="1" applyFont="1">
      <alignment horizontal="center" readingOrder="0" shrinkToFit="0" vertical="center" wrapText="1"/>
    </xf>
    <xf borderId="61" fillId="18" fontId="12" numFmtId="0" xfId="0" applyAlignment="1" applyBorder="1" applyFont="1">
      <alignment horizontal="center" readingOrder="0" shrinkToFit="0" vertical="center" wrapText="1"/>
    </xf>
    <xf borderId="78" fillId="18" fontId="12" numFmtId="0" xfId="0" applyAlignment="1" applyBorder="1" applyFont="1">
      <alignment horizontal="center" readingOrder="0" shrinkToFit="0" vertical="center" wrapText="1"/>
    </xf>
    <xf borderId="79" fillId="18" fontId="12" numFmtId="0" xfId="0" applyAlignment="1" applyBorder="1" applyFont="1">
      <alignment horizontal="center" readingOrder="0" shrinkToFit="0" vertical="center" wrapText="1"/>
    </xf>
    <xf borderId="53" fillId="18" fontId="12" numFmtId="0" xfId="0" applyAlignment="1" applyBorder="1" applyFont="1">
      <alignment horizontal="center" readingOrder="0" shrinkToFit="0" vertical="center" wrapText="1"/>
    </xf>
    <xf borderId="63" fillId="18" fontId="12" numFmtId="0" xfId="0" applyAlignment="1" applyBorder="1" applyFont="1">
      <alignment horizontal="center" readingOrder="0" shrinkToFit="0" vertical="center" wrapText="1"/>
    </xf>
    <xf borderId="80" fillId="18" fontId="12" numFmtId="0" xfId="0" applyAlignment="1" applyBorder="1" applyFont="1">
      <alignment horizontal="center" readingOrder="0" shrinkToFit="0" vertical="center" wrapText="1"/>
    </xf>
    <xf borderId="71" fillId="19" fontId="12" numFmtId="0" xfId="0" applyAlignment="1" applyBorder="1" applyFill="1" applyFont="1">
      <alignment horizontal="left" readingOrder="0" shrinkToFit="0" vertical="center" wrapText="0"/>
    </xf>
    <xf borderId="60" fillId="19" fontId="12" numFmtId="0" xfId="0" applyAlignment="1" applyBorder="1" applyFont="1">
      <alignment horizontal="left" readingOrder="0" shrinkToFit="0" vertical="center" wrapText="0"/>
    </xf>
    <xf borderId="60" fillId="19" fontId="12" numFmtId="0" xfId="0" applyAlignment="1" applyBorder="1" applyFont="1">
      <alignment horizontal="center" readingOrder="0" shrinkToFit="0" vertical="center" wrapText="1"/>
    </xf>
    <xf borderId="70" fillId="19" fontId="12" numFmtId="0" xfId="0" applyAlignment="1" applyBorder="1" applyFont="1">
      <alignment horizontal="center" readingOrder="0" shrinkToFit="0" vertical="center" wrapText="1"/>
    </xf>
    <xf borderId="33" fillId="19" fontId="12" numFmtId="0" xfId="0" applyAlignment="1" applyBorder="1" applyFont="1">
      <alignment horizontal="center" readingOrder="0" shrinkToFit="0" vertical="center" wrapText="1"/>
    </xf>
    <xf borderId="35" fillId="19" fontId="12" numFmtId="0" xfId="0" applyAlignment="1" applyBorder="1" applyFont="1">
      <alignment horizontal="center" readingOrder="0" shrinkToFit="0" vertical="center" wrapText="1"/>
    </xf>
    <xf borderId="36" fillId="19" fontId="12" numFmtId="0" xfId="0" applyAlignment="1" applyBorder="1" applyFont="1">
      <alignment horizontal="center" readingOrder="0" shrinkToFit="0" vertical="center" wrapText="1"/>
    </xf>
    <xf borderId="74" fillId="19" fontId="12" numFmtId="167" xfId="0" applyAlignment="1" applyBorder="1" applyFont="1" applyNumberFormat="1">
      <alignment horizontal="center" readingOrder="0" shrinkToFit="0" vertical="center" wrapText="1"/>
    </xf>
    <xf borderId="62" fillId="19" fontId="12" numFmtId="167" xfId="0" applyAlignment="1" applyBorder="1" applyFont="1" applyNumberFormat="1">
      <alignment horizontal="center" readingOrder="0" shrinkToFit="0" vertical="center" wrapText="1"/>
    </xf>
    <xf borderId="41" fillId="19" fontId="12" numFmtId="167" xfId="0" applyAlignment="1" applyBorder="1" applyFont="1" applyNumberFormat="1">
      <alignment horizontal="center" readingOrder="0" shrinkToFit="0" vertical="center" wrapText="1"/>
    </xf>
    <xf borderId="42" fillId="19" fontId="12" numFmtId="167" xfId="0" applyAlignment="1" applyBorder="1" applyFont="1" applyNumberFormat="1">
      <alignment horizontal="center" readingOrder="0" shrinkToFit="0" vertical="center" wrapText="1"/>
    </xf>
    <xf borderId="43" fillId="19" fontId="12" numFmtId="167" xfId="0" applyAlignment="1" applyBorder="1" applyFont="1" applyNumberFormat="1">
      <alignment horizontal="center" readingOrder="0" shrinkToFit="0" vertical="center" wrapText="1"/>
    </xf>
    <xf borderId="75" fillId="19" fontId="12" numFmtId="167" xfId="0" applyAlignment="1" applyBorder="1" applyFont="1" applyNumberFormat="1">
      <alignment horizontal="center" readingOrder="0" shrinkToFit="0" vertical="center" wrapText="1"/>
    </xf>
    <xf borderId="45" fillId="19" fontId="12" numFmtId="167" xfId="0" applyAlignment="1" applyBorder="1" applyFont="1" applyNumberFormat="1">
      <alignment horizontal="center" readingOrder="0" shrinkToFit="0" vertical="center" wrapText="1"/>
    </xf>
    <xf borderId="47" fillId="19" fontId="12" numFmtId="167" xfId="0" applyAlignment="1" applyBorder="1" applyFont="1" applyNumberFormat="1">
      <alignment horizontal="center" readingOrder="0" shrinkToFit="0" vertical="center" wrapText="1"/>
    </xf>
    <xf borderId="52" fillId="19" fontId="12" numFmtId="167" xfId="0" applyAlignment="1" applyBorder="1" applyFont="1" applyNumberFormat="1">
      <alignment horizontal="center" readingOrder="0" shrinkToFit="0" vertical="center" wrapText="1"/>
    </xf>
    <xf borderId="40" fillId="19" fontId="12" numFmtId="167" xfId="0" applyAlignment="1" applyBorder="1" applyFont="1" applyNumberFormat="1">
      <alignment horizontal="center" readingOrder="0" shrinkToFit="0" vertical="center" wrapText="1"/>
    </xf>
    <xf borderId="51" fillId="19" fontId="12" numFmtId="167" xfId="0" applyAlignment="1" applyBorder="1" applyFont="1" applyNumberFormat="1">
      <alignment horizontal="center" readingOrder="0" shrinkToFit="0" vertical="center" wrapText="1"/>
    </xf>
    <xf borderId="54" fillId="19" fontId="12" numFmtId="167" xfId="0" applyAlignment="1" applyBorder="1" applyFont="1" applyNumberFormat="1">
      <alignment horizontal="center" readingOrder="0" shrinkToFit="0" vertical="center" wrapText="1"/>
    </xf>
    <xf borderId="76" fillId="19" fontId="12" numFmtId="167" xfId="0" applyAlignment="1" applyBorder="1" applyFont="1" applyNumberFormat="1">
      <alignment horizontal="center" readingOrder="0" shrinkToFit="0" vertical="center" wrapText="1"/>
    </xf>
    <xf borderId="77" fillId="19" fontId="12" numFmtId="167" xfId="0" applyAlignment="1" applyBorder="1" applyFont="1" applyNumberFormat="1">
      <alignment horizontal="center" readingOrder="0" shrinkToFit="0" vertical="center" wrapText="1"/>
    </xf>
    <xf borderId="61" fillId="19" fontId="12" numFmtId="167" xfId="0" applyAlignment="1" applyBorder="1" applyFont="1" applyNumberFormat="1">
      <alignment horizontal="center" readingOrder="0" shrinkToFit="0" vertical="center" wrapText="1"/>
    </xf>
    <xf borderId="60" fillId="19" fontId="12" numFmtId="167" xfId="0" applyAlignment="1" applyBorder="1" applyFont="1" applyNumberFormat="1">
      <alignment horizontal="center" readingOrder="0" shrinkToFit="0" vertical="center" wrapText="1"/>
    </xf>
    <xf borderId="78" fillId="19" fontId="12" numFmtId="167" xfId="0" applyAlignment="1" applyBorder="1" applyFont="1" applyNumberFormat="1">
      <alignment horizontal="center" readingOrder="0" shrinkToFit="0" vertical="center" wrapText="1"/>
    </xf>
    <xf borderId="79" fillId="19" fontId="12" numFmtId="167" xfId="0" applyAlignment="1" applyBorder="1" applyFont="1" applyNumberFormat="1">
      <alignment horizontal="center" readingOrder="0" shrinkToFit="0" vertical="center" wrapText="1"/>
    </xf>
    <xf borderId="53" fillId="19" fontId="12" numFmtId="167" xfId="0" applyAlignment="1" applyBorder="1" applyFont="1" applyNumberFormat="1">
      <alignment horizontal="center" readingOrder="0" shrinkToFit="0" vertical="center" wrapText="1"/>
    </xf>
    <xf borderId="63" fillId="19" fontId="12" numFmtId="167" xfId="0" applyAlignment="1" applyBorder="1" applyFont="1" applyNumberFormat="1">
      <alignment horizontal="center" readingOrder="0" shrinkToFit="0" vertical="center" wrapText="1"/>
    </xf>
    <xf borderId="80" fillId="19" fontId="12" numFmtId="167" xfId="0" applyAlignment="1" applyBorder="1" applyFont="1" applyNumberFormat="1">
      <alignment horizontal="center" readingOrder="0" shrinkToFit="0" vertical="center" wrapText="1"/>
    </xf>
    <xf borderId="71" fillId="20" fontId="12" numFmtId="0" xfId="0" applyAlignment="1" applyBorder="1" applyFill="1" applyFont="1">
      <alignment horizontal="left" readingOrder="0" shrinkToFit="0" vertical="center" wrapText="0"/>
    </xf>
    <xf borderId="60" fillId="20" fontId="12" numFmtId="0" xfId="0" applyAlignment="1" applyBorder="1" applyFont="1">
      <alignment horizontal="left" readingOrder="0" shrinkToFit="0" vertical="center" wrapText="0"/>
    </xf>
    <xf borderId="60" fillId="20" fontId="12" numFmtId="0" xfId="0" applyAlignment="1" applyBorder="1" applyFont="1">
      <alignment horizontal="center" readingOrder="0" shrinkToFit="0" vertical="center" wrapText="1"/>
    </xf>
    <xf borderId="70" fillId="20" fontId="12" numFmtId="0" xfId="0" applyAlignment="1" applyBorder="1" applyFont="1">
      <alignment horizontal="center" readingOrder="0" shrinkToFit="0" vertical="center" wrapText="1"/>
    </xf>
    <xf borderId="33" fillId="20" fontId="12" numFmtId="0" xfId="0" applyAlignment="1" applyBorder="1" applyFont="1">
      <alignment horizontal="center" readingOrder="0" shrinkToFit="0" vertical="center" wrapText="1"/>
    </xf>
    <xf borderId="35" fillId="20" fontId="12" numFmtId="0" xfId="0" applyAlignment="1" applyBorder="1" applyFont="1">
      <alignment horizontal="center" readingOrder="0" shrinkToFit="0" vertical="center" wrapText="1"/>
    </xf>
    <xf borderId="36" fillId="20" fontId="12" numFmtId="0" xfId="0" applyAlignment="1" applyBorder="1" applyFont="1">
      <alignment horizontal="center" readingOrder="0" shrinkToFit="0" vertical="center" wrapText="1"/>
    </xf>
    <xf borderId="74" fillId="20" fontId="12" numFmtId="167" xfId="0" applyAlignment="1" applyBorder="1" applyFont="1" applyNumberFormat="1">
      <alignment horizontal="center" readingOrder="0" shrinkToFit="0" vertical="center" wrapText="1"/>
    </xf>
    <xf borderId="62" fillId="20" fontId="12" numFmtId="167" xfId="0" applyAlignment="1" applyBorder="1" applyFont="1" applyNumberFormat="1">
      <alignment horizontal="center" readingOrder="0" shrinkToFit="0" vertical="center" wrapText="1"/>
    </xf>
    <xf borderId="41" fillId="20" fontId="12" numFmtId="167" xfId="0" applyAlignment="1" applyBorder="1" applyFont="1" applyNumberFormat="1">
      <alignment horizontal="center" readingOrder="0" shrinkToFit="0" vertical="center" wrapText="1"/>
    </xf>
    <xf borderId="42" fillId="20" fontId="12" numFmtId="167" xfId="0" applyAlignment="1" applyBorder="1" applyFont="1" applyNumberFormat="1">
      <alignment horizontal="center" readingOrder="0" shrinkToFit="0" vertical="center" wrapText="1"/>
    </xf>
    <xf borderId="43" fillId="20" fontId="12" numFmtId="167" xfId="0" applyAlignment="1" applyBorder="1" applyFont="1" applyNumberFormat="1">
      <alignment horizontal="center" readingOrder="0" shrinkToFit="0" vertical="center" wrapText="1"/>
    </xf>
    <xf borderId="75" fillId="20" fontId="12" numFmtId="167" xfId="0" applyAlignment="1" applyBorder="1" applyFont="1" applyNumberFormat="1">
      <alignment horizontal="center" readingOrder="0" shrinkToFit="0" vertical="center" wrapText="1"/>
    </xf>
    <xf borderId="45" fillId="20" fontId="12" numFmtId="167" xfId="0" applyAlignment="1" applyBorder="1" applyFont="1" applyNumberFormat="1">
      <alignment horizontal="center" readingOrder="0" shrinkToFit="0" vertical="center" wrapText="1"/>
    </xf>
    <xf borderId="47" fillId="20" fontId="12" numFmtId="167" xfId="0" applyAlignment="1" applyBorder="1" applyFont="1" applyNumberFormat="1">
      <alignment horizontal="center" readingOrder="0" shrinkToFit="0" vertical="center" wrapText="1"/>
    </xf>
    <xf borderId="52" fillId="20" fontId="12" numFmtId="167" xfId="0" applyAlignment="1" applyBorder="1" applyFont="1" applyNumberFormat="1">
      <alignment horizontal="center" readingOrder="0" shrinkToFit="0" vertical="center" wrapText="1"/>
    </xf>
    <xf borderId="40" fillId="20" fontId="12" numFmtId="167" xfId="0" applyAlignment="1" applyBorder="1" applyFont="1" applyNumberFormat="1">
      <alignment horizontal="center" readingOrder="0" shrinkToFit="0" vertical="center" wrapText="1"/>
    </xf>
    <xf borderId="51" fillId="20" fontId="12" numFmtId="167" xfId="0" applyAlignment="1" applyBorder="1" applyFont="1" applyNumberFormat="1">
      <alignment horizontal="center" readingOrder="0" shrinkToFit="0" vertical="center" wrapText="1"/>
    </xf>
    <xf borderId="54" fillId="20" fontId="12" numFmtId="167" xfId="0" applyAlignment="1" applyBorder="1" applyFont="1" applyNumberFormat="1">
      <alignment horizontal="center" readingOrder="0" shrinkToFit="0" vertical="center" wrapText="1"/>
    </xf>
    <xf borderId="76" fillId="20" fontId="12" numFmtId="167" xfId="0" applyAlignment="1" applyBorder="1" applyFont="1" applyNumberFormat="1">
      <alignment horizontal="center" readingOrder="0" shrinkToFit="0" vertical="center" wrapText="1"/>
    </xf>
    <xf borderId="77" fillId="20" fontId="12" numFmtId="167" xfId="0" applyAlignment="1" applyBorder="1" applyFont="1" applyNumberFormat="1">
      <alignment horizontal="center" readingOrder="0" shrinkToFit="0" vertical="center" wrapText="1"/>
    </xf>
    <xf borderId="61" fillId="20" fontId="12" numFmtId="167" xfId="0" applyAlignment="1" applyBorder="1" applyFont="1" applyNumberFormat="1">
      <alignment horizontal="center" readingOrder="0" shrinkToFit="0" vertical="center" wrapText="1"/>
    </xf>
    <xf borderId="60" fillId="20" fontId="12" numFmtId="167" xfId="0" applyAlignment="1" applyBorder="1" applyFont="1" applyNumberFormat="1">
      <alignment horizontal="center" readingOrder="0" shrinkToFit="0" vertical="center" wrapText="1"/>
    </xf>
    <xf borderId="78" fillId="20" fontId="12" numFmtId="167" xfId="0" applyAlignment="1" applyBorder="1" applyFont="1" applyNumberFormat="1">
      <alignment horizontal="center" readingOrder="0" shrinkToFit="0" vertical="center" wrapText="1"/>
    </xf>
    <xf borderId="79" fillId="20" fontId="12" numFmtId="167" xfId="0" applyAlignment="1" applyBorder="1" applyFont="1" applyNumberFormat="1">
      <alignment horizontal="center" readingOrder="0" shrinkToFit="0" vertical="center" wrapText="1"/>
    </xf>
    <xf borderId="53" fillId="20" fontId="12" numFmtId="167" xfId="0" applyAlignment="1" applyBorder="1" applyFont="1" applyNumberFormat="1">
      <alignment horizontal="center" readingOrder="0" shrinkToFit="0" vertical="center" wrapText="1"/>
    </xf>
    <xf borderId="63" fillId="20" fontId="12" numFmtId="167" xfId="0" applyAlignment="1" applyBorder="1" applyFont="1" applyNumberFormat="1">
      <alignment horizontal="center" readingOrder="0" shrinkToFit="0" vertical="center" wrapText="1"/>
    </xf>
    <xf borderId="80" fillId="20" fontId="12" numFmtId="167" xfId="0" applyAlignment="1" applyBorder="1" applyFont="1" applyNumberFormat="1">
      <alignment horizontal="center" readingOrder="0" shrinkToFit="0" vertical="center" wrapText="1"/>
    </xf>
    <xf borderId="71" fillId="21" fontId="12" numFmtId="0" xfId="0" applyAlignment="1" applyBorder="1" applyFill="1" applyFont="1">
      <alignment horizontal="left" readingOrder="0" shrinkToFit="0" vertical="center" wrapText="0"/>
    </xf>
    <xf borderId="60" fillId="21" fontId="12" numFmtId="0" xfId="0" applyAlignment="1" applyBorder="1" applyFont="1">
      <alignment horizontal="left" readingOrder="0" shrinkToFit="0" vertical="center" wrapText="0"/>
    </xf>
    <xf borderId="60" fillId="21" fontId="12" numFmtId="0" xfId="0" applyAlignment="1" applyBorder="1" applyFont="1">
      <alignment horizontal="center" readingOrder="0" shrinkToFit="0" vertical="center" wrapText="1"/>
    </xf>
    <xf borderId="70" fillId="21" fontId="12" numFmtId="0" xfId="0" applyAlignment="1" applyBorder="1" applyFont="1">
      <alignment horizontal="center" readingOrder="0" shrinkToFit="0" vertical="center" wrapText="1"/>
    </xf>
    <xf borderId="33" fillId="21" fontId="12" numFmtId="0" xfId="0" applyAlignment="1" applyBorder="1" applyFont="1">
      <alignment horizontal="center" readingOrder="0" shrinkToFit="0" vertical="center" wrapText="1"/>
    </xf>
    <xf borderId="35" fillId="21" fontId="12" numFmtId="0" xfId="0" applyAlignment="1" applyBorder="1" applyFont="1">
      <alignment horizontal="center" readingOrder="0" shrinkToFit="0" vertical="center" wrapText="1"/>
    </xf>
    <xf borderId="36" fillId="21" fontId="12" numFmtId="0" xfId="0" applyAlignment="1" applyBorder="1" applyFont="1">
      <alignment horizontal="center" readingOrder="0" shrinkToFit="0" vertical="center" wrapText="1"/>
    </xf>
    <xf borderId="74" fillId="21" fontId="12" numFmtId="167" xfId="0" applyAlignment="1" applyBorder="1" applyFont="1" applyNumberFormat="1">
      <alignment horizontal="center" readingOrder="0" shrinkToFit="0" vertical="center" wrapText="1"/>
    </xf>
    <xf borderId="62" fillId="21" fontId="12" numFmtId="167" xfId="0" applyAlignment="1" applyBorder="1" applyFont="1" applyNumberFormat="1">
      <alignment horizontal="center" readingOrder="0" shrinkToFit="0" vertical="center" wrapText="1"/>
    </xf>
    <xf borderId="41" fillId="21" fontId="12" numFmtId="167" xfId="0" applyAlignment="1" applyBorder="1" applyFont="1" applyNumberFormat="1">
      <alignment horizontal="center" readingOrder="0" shrinkToFit="0" vertical="center" wrapText="1"/>
    </xf>
    <xf borderId="42" fillId="21" fontId="12" numFmtId="167" xfId="0" applyAlignment="1" applyBorder="1" applyFont="1" applyNumberFormat="1">
      <alignment horizontal="center" readingOrder="0" shrinkToFit="0" vertical="center" wrapText="1"/>
    </xf>
    <xf borderId="43" fillId="21" fontId="12" numFmtId="167" xfId="0" applyAlignment="1" applyBorder="1" applyFont="1" applyNumberFormat="1">
      <alignment horizontal="center" readingOrder="0" shrinkToFit="0" vertical="center" wrapText="1"/>
    </xf>
    <xf borderId="75" fillId="21" fontId="12" numFmtId="167" xfId="0" applyAlignment="1" applyBorder="1" applyFont="1" applyNumberFormat="1">
      <alignment horizontal="center" readingOrder="0" shrinkToFit="0" vertical="center" wrapText="1"/>
    </xf>
    <xf borderId="45" fillId="21" fontId="12" numFmtId="167" xfId="0" applyAlignment="1" applyBorder="1" applyFont="1" applyNumberFormat="1">
      <alignment horizontal="center" readingOrder="0" shrinkToFit="0" vertical="center" wrapText="1"/>
    </xf>
    <xf borderId="47" fillId="21" fontId="12" numFmtId="167" xfId="0" applyAlignment="1" applyBorder="1" applyFont="1" applyNumberFormat="1">
      <alignment horizontal="center" readingOrder="0" shrinkToFit="0" vertical="center" wrapText="1"/>
    </xf>
    <xf borderId="52" fillId="21" fontId="12" numFmtId="167" xfId="0" applyAlignment="1" applyBorder="1" applyFont="1" applyNumberFormat="1">
      <alignment horizontal="center" readingOrder="0" shrinkToFit="0" vertical="center" wrapText="1"/>
    </xf>
    <xf borderId="40" fillId="21" fontId="12" numFmtId="167" xfId="0" applyAlignment="1" applyBorder="1" applyFont="1" applyNumberFormat="1">
      <alignment horizontal="center" readingOrder="0" shrinkToFit="0" vertical="center" wrapText="1"/>
    </xf>
    <xf borderId="51" fillId="21" fontId="12" numFmtId="167" xfId="0" applyAlignment="1" applyBorder="1" applyFont="1" applyNumberFormat="1">
      <alignment horizontal="center" readingOrder="0" shrinkToFit="0" vertical="center" wrapText="1"/>
    </xf>
    <xf borderId="54" fillId="21" fontId="12" numFmtId="167" xfId="0" applyAlignment="1" applyBorder="1" applyFont="1" applyNumberFormat="1">
      <alignment horizontal="center" readingOrder="0" shrinkToFit="0" vertical="center" wrapText="1"/>
    </xf>
    <xf borderId="76" fillId="21" fontId="12" numFmtId="167" xfId="0" applyAlignment="1" applyBorder="1" applyFont="1" applyNumberFormat="1">
      <alignment horizontal="center" readingOrder="0" shrinkToFit="0" vertical="center" wrapText="1"/>
    </xf>
    <xf borderId="77" fillId="21" fontId="12" numFmtId="167" xfId="0" applyAlignment="1" applyBorder="1" applyFont="1" applyNumberFormat="1">
      <alignment horizontal="center" readingOrder="0" shrinkToFit="0" vertical="center" wrapText="1"/>
    </xf>
    <xf borderId="61" fillId="21" fontId="12" numFmtId="167" xfId="0" applyAlignment="1" applyBorder="1" applyFont="1" applyNumberFormat="1">
      <alignment horizontal="center" readingOrder="0" shrinkToFit="0" vertical="center" wrapText="1"/>
    </xf>
    <xf borderId="60" fillId="21" fontId="12" numFmtId="167" xfId="0" applyAlignment="1" applyBorder="1" applyFont="1" applyNumberFormat="1">
      <alignment horizontal="center" readingOrder="0" shrinkToFit="0" vertical="center" wrapText="1"/>
    </xf>
    <xf borderId="78" fillId="21" fontId="12" numFmtId="167" xfId="0" applyAlignment="1" applyBorder="1" applyFont="1" applyNumberFormat="1">
      <alignment horizontal="center" readingOrder="0" shrinkToFit="0" vertical="center" wrapText="1"/>
    </xf>
    <xf borderId="79" fillId="21" fontId="12" numFmtId="167" xfId="0" applyAlignment="1" applyBorder="1" applyFont="1" applyNumberFormat="1">
      <alignment horizontal="center" readingOrder="0" shrinkToFit="0" vertical="center" wrapText="1"/>
    </xf>
    <xf borderId="53" fillId="21" fontId="12" numFmtId="167" xfId="0" applyAlignment="1" applyBorder="1" applyFont="1" applyNumberFormat="1">
      <alignment horizontal="center" readingOrder="0" shrinkToFit="0" vertical="center" wrapText="1"/>
    </xf>
    <xf borderId="63" fillId="21" fontId="12" numFmtId="167" xfId="0" applyAlignment="1" applyBorder="1" applyFont="1" applyNumberFormat="1">
      <alignment horizontal="center" readingOrder="0" shrinkToFit="0" vertical="center" wrapText="1"/>
    </xf>
    <xf borderId="80" fillId="21" fontId="12" numFmtId="167" xfId="0" applyAlignment="1" applyBorder="1" applyFont="1" applyNumberFormat="1">
      <alignment horizontal="center" readingOrder="0" shrinkToFit="0" vertical="center" wrapText="1"/>
    </xf>
    <xf borderId="71" fillId="22" fontId="12" numFmtId="0" xfId="0" applyAlignment="1" applyBorder="1" applyFill="1" applyFont="1">
      <alignment horizontal="left" readingOrder="0" shrinkToFit="0" vertical="center" wrapText="0"/>
    </xf>
    <xf borderId="60" fillId="22" fontId="12" numFmtId="0" xfId="0" applyAlignment="1" applyBorder="1" applyFont="1">
      <alignment horizontal="left" readingOrder="0" shrinkToFit="0" vertical="center" wrapText="0"/>
    </xf>
    <xf borderId="60" fillId="22" fontId="12" numFmtId="0" xfId="0" applyAlignment="1" applyBorder="1" applyFont="1">
      <alignment horizontal="center" readingOrder="0" shrinkToFit="0" vertical="center" wrapText="1"/>
    </xf>
    <xf borderId="70" fillId="22" fontId="12" numFmtId="0" xfId="0" applyAlignment="1" applyBorder="1" applyFont="1">
      <alignment horizontal="center" readingOrder="0" shrinkToFit="0" vertical="center" wrapText="1"/>
    </xf>
    <xf borderId="33" fillId="22" fontId="12" numFmtId="0" xfId="0" applyAlignment="1" applyBorder="1" applyFont="1">
      <alignment horizontal="center" readingOrder="0" shrinkToFit="0" vertical="center" wrapText="1"/>
    </xf>
    <xf borderId="35" fillId="22" fontId="12" numFmtId="0" xfId="0" applyAlignment="1" applyBorder="1" applyFont="1">
      <alignment horizontal="center" readingOrder="0" shrinkToFit="0" vertical="center" wrapText="1"/>
    </xf>
    <xf borderId="36" fillId="22" fontId="12" numFmtId="0" xfId="0" applyAlignment="1" applyBorder="1" applyFont="1">
      <alignment horizontal="center" readingOrder="0" shrinkToFit="0" vertical="center" wrapText="1"/>
    </xf>
    <xf borderId="74" fillId="22" fontId="12" numFmtId="167" xfId="0" applyAlignment="1" applyBorder="1" applyFont="1" applyNumberFormat="1">
      <alignment horizontal="center" readingOrder="0" shrinkToFit="0" vertical="center" wrapText="1"/>
    </xf>
    <xf borderId="62" fillId="22" fontId="12" numFmtId="167" xfId="0" applyAlignment="1" applyBorder="1" applyFont="1" applyNumberFormat="1">
      <alignment horizontal="center" readingOrder="0" shrinkToFit="0" vertical="center" wrapText="1"/>
    </xf>
    <xf borderId="41" fillId="22" fontId="12" numFmtId="167" xfId="0" applyAlignment="1" applyBorder="1" applyFont="1" applyNumberFormat="1">
      <alignment horizontal="center" readingOrder="0" shrinkToFit="0" vertical="center" wrapText="1"/>
    </xf>
    <xf borderId="42" fillId="22" fontId="12" numFmtId="167" xfId="0" applyAlignment="1" applyBorder="1" applyFont="1" applyNumberFormat="1">
      <alignment horizontal="center" readingOrder="0" shrinkToFit="0" vertical="center" wrapText="1"/>
    </xf>
    <xf borderId="43" fillId="22" fontId="12" numFmtId="167" xfId="0" applyAlignment="1" applyBorder="1" applyFont="1" applyNumberFormat="1">
      <alignment horizontal="center" readingOrder="0" shrinkToFit="0" vertical="center" wrapText="1"/>
    </xf>
    <xf borderId="75" fillId="22" fontId="12" numFmtId="167" xfId="0" applyAlignment="1" applyBorder="1" applyFont="1" applyNumberFormat="1">
      <alignment horizontal="center" readingOrder="0" shrinkToFit="0" vertical="center" wrapText="1"/>
    </xf>
    <xf borderId="45" fillId="22" fontId="12" numFmtId="167" xfId="0" applyAlignment="1" applyBorder="1" applyFont="1" applyNumberFormat="1">
      <alignment horizontal="center" readingOrder="0" shrinkToFit="0" vertical="center" wrapText="1"/>
    </xf>
    <xf borderId="47" fillId="22" fontId="12" numFmtId="167" xfId="0" applyAlignment="1" applyBorder="1" applyFont="1" applyNumberFormat="1">
      <alignment horizontal="center" readingOrder="0" shrinkToFit="0" vertical="center" wrapText="1"/>
    </xf>
    <xf borderId="52" fillId="22" fontId="12" numFmtId="167" xfId="0" applyAlignment="1" applyBorder="1" applyFont="1" applyNumberFormat="1">
      <alignment horizontal="center" readingOrder="0" shrinkToFit="0" vertical="center" wrapText="1"/>
    </xf>
    <xf borderId="40" fillId="22" fontId="12" numFmtId="167" xfId="0" applyAlignment="1" applyBorder="1" applyFont="1" applyNumberFormat="1">
      <alignment horizontal="center" readingOrder="0" shrinkToFit="0" vertical="center" wrapText="1"/>
    </xf>
    <xf borderId="41" fillId="22" fontId="12" numFmtId="167" xfId="0" applyAlignment="1" applyBorder="1" applyFont="1" applyNumberFormat="1">
      <alignment horizontal="center" readingOrder="0" shrinkToFit="0" vertical="center" wrapText="1"/>
    </xf>
    <xf borderId="51" fillId="22" fontId="12" numFmtId="167" xfId="0" applyAlignment="1" applyBorder="1" applyFont="1" applyNumberFormat="1">
      <alignment horizontal="center" readingOrder="0" shrinkToFit="0" vertical="center" wrapText="1"/>
    </xf>
    <xf borderId="75" fillId="22" fontId="12" numFmtId="167" xfId="0" applyAlignment="1" applyBorder="1" applyFont="1" applyNumberFormat="1">
      <alignment horizontal="center" readingOrder="0" shrinkToFit="0" vertical="center" wrapText="1"/>
    </xf>
    <xf borderId="54" fillId="22" fontId="12" numFmtId="167" xfId="0" applyAlignment="1" applyBorder="1" applyFont="1" applyNumberFormat="1">
      <alignment horizontal="center" readingOrder="0" shrinkToFit="0" vertical="center" wrapText="1"/>
    </xf>
    <xf borderId="76" fillId="22" fontId="12" numFmtId="167" xfId="0" applyAlignment="1" applyBorder="1" applyFont="1" applyNumberFormat="1">
      <alignment horizontal="center" readingOrder="0" shrinkToFit="0" vertical="center" wrapText="1"/>
    </xf>
    <xf borderId="77" fillId="22" fontId="12" numFmtId="167" xfId="0" applyAlignment="1" applyBorder="1" applyFont="1" applyNumberFormat="1">
      <alignment horizontal="center" readingOrder="0" shrinkToFit="0" vertical="center" wrapText="1"/>
    </xf>
    <xf borderId="61" fillId="22" fontId="12" numFmtId="167" xfId="0" applyAlignment="1" applyBorder="1" applyFont="1" applyNumberFormat="1">
      <alignment horizontal="center" readingOrder="0" shrinkToFit="0" vertical="center" wrapText="1"/>
    </xf>
    <xf borderId="60" fillId="22" fontId="12" numFmtId="167" xfId="0" applyAlignment="1" applyBorder="1" applyFont="1" applyNumberFormat="1">
      <alignment horizontal="center" readingOrder="0" shrinkToFit="0" vertical="center" wrapText="1"/>
    </xf>
    <xf borderId="78" fillId="22" fontId="12" numFmtId="167" xfId="0" applyAlignment="1" applyBorder="1" applyFont="1" applyNumberFormat="1">
      <alignment horizontal="center" readingOrder="0" shrinkToFit="0" vertical="center" wrapText="1"/>
    </xf>
    <xf borderId="79" fillId="22" fontId="12" numFmtId="167" xfId="0" applyAlignment="1" applyBorder="1" applyFont="1" applyNumberFormat="1">
      <alignment horizontal="center" readingOrder="0" shrinkToFit="0" vertical="center" wrapText="1"/>
    </xf>
    <xf borderId="42" fillId="22" fontId="12" numFmtId="167" xfId="0" applyAlignment="1" applyBorder="1" applyFont="1" applyNumberFormat="1">
      <alignment horizontal="center" readingOrder="0" shrinkToFit="0" vertical="center" wrapText="1"/>
    </xf>
    <xf borderId="43" fillId="22" fontId="12" numFmtId="167" xfId="0" applyAlignment="1" applyBorder="1" applyFont="1" applyNumberFormat="1">
      <alignment horizontal="center" readingOrder="0" shrinkToFit="0" vertical="center" wrapText="1"/>
    </xf>
    <xf borderId="53" fillId="22" fontId="12" numFmtId="167" xfId="0" applyAlignment="1" applyBorder="1" applyFont="1" applyNumberFormat="1">
      <alignment horizontal="center" readingOrder="0" shrinkToFit="0" vertical="center" wrapText="1"/>
    </xf>
    <xf borderId="62" fillId="22" fontId="12" numFmtId="167" xfId="0" applyAlignment="1" applyBorder="1" applyFont="1" applyNumberFormat="1">
      <alignment horizontal="center" readingOrder="0" shrinkToFit="0" vertical="center" wrapText="1"/>
    </xf>
    <xf borderId="63" fillId="22" fontId="12" numFmtId="167" xfId="0" applyAlignment="1" applyBorder="1" applyFont="1" applyNumberFormat="1">
      <alignment horizontal="center" readingOrder="0" shrinkToFit="0" vertical="center" wrapText="1"/>
    </xf>
    <xf borderId="80" fillId="22" fontId="12" numFmtId="167" xfId="0" applyAlignment="1" applyBorder="1" applyFont="1" applyNumberFormat="1">
      <alignment horizontal="center" readingOrder="0" shrinkToFit="0" vertical="center" wrapText="1"/>
    </xf>
    <xf borderId="71" fillId="10" fontId="12" numFmtId="0" xfId="0" applyAlignment="1" applyBorder="1" applyFont="1">
      <alignment horizontal="left" readingOrder="0" shrinkToFit="0" vertical="center" wrapText="0"/>
    </xf>
    <xf borderId="60" fillId="10" fontId="12" numFmtId="0" xfId="0" applyAlignment="1" applyBorder="1" applyFont="1">
      <alignment horizontal="left" readingOrder="0" shrinkToFit="0" vertical="center" wrapText="0"/>
    </xf>
    <xf borderId="60" fillId="10" fontId="12" numFmtId="0" xfId="0" applyAlignment="1" applyBorder="1" applyFont="1">
      <alignment horizontal="center" readingOrder="0" shrinkToFit="0" vertical="center" wrapText="1"/>
    </xf>
    <xf borderId="70" fillId="10" fontId="12" numFmtId="0" xfId="0" applyAlignment="1" applyBorder="1" applyFont="1">
      <alignment horizontal="center" readingOrder="0" shrinkToFit="0" vertical="center" wrapText="1"/>
    </xf>
    <xf borderId="33" fillId="10" fontId="12" numFmtId="0" xfId="0" applyAlignment="1" applyBorder="1" applyFont="1">
      <alignment horizontal="center" readingOrder="0" shrinkToFit="0" vertical="center" wrapText="1"/>
    </xf>
    <xf borderId="35" fillId="10" fontId="12" numFmtId="0" xfId="0" applyAlignment="1" applyBorder="1" applyFont="1">
      <alignment horizontal="center" readingOrder="0" shrinkToFit="0" vertical="center" wrapText="1"/>
    </xf>
    <xf borderId="36" fillId="10" fontId="12" numFmtId="0" xfId="0" applyAlignment="1" applyBorder="1" applyFont="1">
      <alignment horizontal="center" readingOrder="0" shrinkToFit="0" vertical="center" wrapText="1"/>
    </xf>
    <xf borderId="74" fillId="10" fontId="12" numFmtId="167" xfId="0" applyAlignment="1" applyBorder="1" applyFont="1" applyNumberFormat="1">
      <alignment horizontal="center" readingOrder="0" shrinkToFit="0" vertical="center" wrapText="1"/>
    </xf>
    <xf borderId="62" fillId="10" fontId="12" numFmtId="167" xfId="0" applyAlignment="1" applyBorder="1" applyFont="1" applyNumberFormat="1">
      <alignment horizontal="center" readingOrder="0" shrinkToFit="0" vertical="center" wrapText="1"/>
    </xf>
    <xf borderId="41" fillId="10" fontId="12" numFmtId="167" xfId="0" applyAlignment="1" applyBorder="1" applyFont="1" applyNumberFormat="1">
      <alignment horizontal="center" readingOrder="0" shrinkToFit="0" vertical="center" wrapText="1"/>
    </xf>
    <xf borderId="42" fillId="10" fontId="12" numFmtId="167" xfId="0" applyAlignment="1" applyBorder="1" applyFont="1" applyNumberFormat="1">
      <alignment horizontal="center" readingOrder="0" shrinkToFit="0" vertical="center" wrapText="1"/>
    </xf>
    <xf borderId="43" fillId="10" fontId="12" numFmtId="167" xfId="0" applyAlignment="1" applyBorder="1" applyFont="1" applyNumberFormat="1">
      <alignment horizontal="center" readingOrder="0" shrinkToFit="0" vertical="center" wrapText="1"/>
    </xf>
    <xf borderId="75" fillId="10" fontId="12" numFmtId="167" xfId="0" applyAlignment="1" applyBorder="1" applyFont="1" applyNumberFormat="1">
      <alignment horizontal="center" readingOrder="0" shrinkToFit="0" vertical="center" wrapText="1"/>
    </xf>
    <xf borderId="45" fillId="10" fontId="12" numFmtId="167" xfId="0" applyAlignment="1" applyBorder="1" applyFont="1" applyNumberFormat="1">
      <alignment horizontal="center" readingOrder="0" shrinkToFit="0" vertical="center" wrapText="1"/>
    </xf>
    <xf borderId="45" fillId="10" fontId="12" numFmtId="167" xfId="0" applyAlignment="1" applyBorder="1" applyFont="1" applyNumberFormat="1">
      <alignment horizontal="center" readingOrder="0" shrinkToFit="0" vertical="center" wrapText="1"/>
    </xf>
    <xf borderId="47" fillId="10" fontId="12" numFmtId="167" xfId="0" applyAlignment="1" applyBorder="1" applyFont="1" applyNumberFormat="1">
      <alignment horizontal="center" readingOrder="0" shrinkToFit="0" vertical="center" wrapText="1"/>
    </xf>
    <xf borderId="52" fillId="10" fontId="12" numFmtId="167" xfId="0" applyAlignment="1" applyBorder="1" applyFont="1" applyNumberFormat="1">
      <alignment horizontal="center" readingOrder="0" shrinkToFit="0" vertical="center" wrapText="1"/>
    </xf>
    <xf borderId="40" fillId="10" fontId="12" numFmtId="167" xfId="0" applyAlignment="1" applyBorder="1" applyFont="1" applyNumberFormat="1">
      <alignment horizontal="center" readingOrder="0" shrinkToFit="0" vertical="center" wrapText="1"/>
    </xf>
    <xf borderId="51" fillId="10" fontId="12" numFmtId="167" xfId="0" applyAlignment="1" applyBorder="1" applyFont="1" applyNumberFormat="1">
      <alignment horizontal="center" readingOrder="0" shrinkToFit="0" vertical="center" wrapText="1"/>
    </xf>
    <xf borderId="54" fillId="10" fontId="12" numFmtId="167" xfId="0" applyAlignment="1" applyBorder="1" applyFont="1" applyNumberFormat="1">
      <alignment horizontal="center" readingOrder="0" shrinkToFit="0" vertical="center" wrapText="1"/>
    </xf>
    <xf borderId="76" fillId="10" fontId="12" numFmtId="167" xfId="0" applyAlignment="1" applyBorder="1" applyFont="1" applyNumberFormat="1">
      <alignment horizontal="center" readingOrder="0" shrinkToFit="0" vertical="center" wrapText="1"/>
    </xf>
    <xf borderId="77" fillId="10" fontId="12" numFmtId="167" xfId="0" applyAlignment="1" applyBorder="1" applyFont="1" applyNumberFormat="1">
      <alignment horizontal="center" readingOrder="0" shrinkToFit="0" vertical="center" wrapText="1"/>
    </xf>
    <xf borderId="61" fillId="10" fontId="12" numFmtId="167" xfId="0" applyAlignment="1" applyBorder="1" applyFont="1" applyNumberFormat="1">
      <alignment horizontal="center" readingOrder="0" shrinkToFit="0" vertical="center" wrapText="1"/>
    </xf>
    <xf borderId="60" fillId="10" fontId="12" numFmtId="167" xfId="0" applyAlignment="1" applyBorder="1" applyFont="1" applyNumberFormat="1">
      <alignment horizontal="center" readingOrder="0" shrinkToFit="0" vertical="center" wrapText="1"/>
    </xf>
    <xf borderId="78" fillId="10" fontId="12" numFmtId="167" xfId="0" applyAlignment="1" applyBorder="1" applyFont="1" applyNumberFormat="1">
      <alignment horizontal="center" readingOrder="0" shrinkToFit="0" vertical="center" wrapText="1"/>
    </xf>
    <xf borderId="79" fillId="10" fontId="12" numFmtId="167" xfId="0" applyAlignment="1" applyBorder="1" applyFont="1" applyNumberFormat="1">
      <alignment horizontal="center" readingOrder="0" shrinkToFit="0" vertical="center" wrapText="1"/>
    </xf>
    <xf borderId="53" fillId="10" fontId="12" numFmtId="167" xfId="0" applyAlignment="1" applyBorder="1" applyFont="1" applyNumberFormat="1">
      <alignment horizontal="center" readingOrder="0" shrinkToFit="0" vertical="center" wrapText="1"/>
    </xf>
    <xf borderId="63" fillId="10" fontId="12" numFmtId="167" xfId="0" applyAlignment="1" applyBorder="1" applyFont="1" applyNumberFormat="1">
      <alignment horizontal="center" readingOrder="0" shrinkToFit="0" vertical="center" wrapText="1"/>
    </xf>
    <xf borderId="80" fillId="10" fontId="12" numFmtId="167" xfId="0" applyAlignment="1" applyBorder="1" applyFont="1" applyNumberFormat="1">
      <alignment horizontal="center" readingOrder="0" shrinkToFit="0" vertical="center" wrapText="1"/>
    </xf>
    <xf borderId="0" fillId="0" fontId="13" numFmtId="9" xfId="0" applyAlignment="1" applyFont="1" applyNumberFormat="1">
      <alignment horizontal="center" readingOrder="0" shrinkToFit="0" vertical="center" wrapText="1"/>
    </xf>
    <xf borderId="71" fillId="23" fontId="12" numFmtId="0" xfId="0" applyAlignment="1" applyBorder="1" applyFill="1" applyFont="1">
      <alignment horizontal="left" readingOrder="0" shrinkToFit="0" vertical="center" wrapText="0"/>
    </xf>
    <xf borderId="60" fillId="23" fontId="12" numFmtId="0" xfId="0" applyAlignment="1" applyBorder="1" applyFont="1">
      <alignment horizontal="left" readingOrder="0" shrinkToFit="0" vertical="center" wrapText="0"/>
    </xf>
    <xf borderId="60" fillId="23" fontId="12" numFmtId="0" xfId="0" applyAlignment="1" applyBorder="1" applyFont="1">
      <alignment horizontal="center" readingOrder="0" shrinkToFit="0" vertical="center" wrapText="1"/>
    </xf>
    <xf borderId="70" fillId="23" fontId="12" numFmtId="0" xfId="0" applyAlignment="1" applyBorder="1" applyFont="1">
      <alignment horizontal="center" readingOrder="0" shrinkToFit="0" vertical="center" wrapText="1"/>
    </xf>
    <xf borderId="33" fillId="23" fontId="12" numFmtId="0" xfId="0" applyAlignment="1" applyBorder="1" applyFont="1">
      <alignment horizontal="center" readingOrder="0" shrinkToFit="0" vertical="center" wrapText="1"/>
    </xf>
    <xf borderId="35" fillId="23" fontId="12" numFmtId="0" xfId="0" applyAlignment="1" applyBorder="1" applyFont="1">
      <alignment horizontal="center" readingOrder="0" shrinkToFit="0" vertical="center" wrapText="1"/>
    </xf>
    <xf borderId="36" fillId="23" fontId="12" numFmtId="0" xfId="0" applyAlignment="1" applyBorder="1" applyFont="1">
      <alignment horizontal="center" readingOrder="0" shrinkToFit="0" vertical="center" wrapText="1"/>
    </xf>
    <xf borderId="74" fillId="23" fontId="12" numFmtId="167" xfId="0" applyAlignment="1" applyBorder="1" applyFont="1" applyNumberFormat="1">
      <alignment horizontal="center" readingOrder="0" shrinkToFit="0" vertical="center" wrapText="1"/>
    </xf>
    <xf borderId="62" fillId="23" fontId="12" numFmtId="167" xfId="0" applyAlignment="1" applyBorder="1" applyFont="1" applyNumberFormat="1">
      <alignment horizontal="center" readingOrder="0" shrinkToFit="0" vertical="center" wrapText="1"/>
    </xf>
    <xf borderId="41" fillId="23" fontId="12" numFmtId="167" xfId="0" applyAlignment="1" applyBorder="1" applyFont="1" applyNumberFormat="1">
      <alignment horizontal="center" readingOrder="0" shrinkToFit="0" vertical="center" wrapText="1"/>
    </xf>
    <xf borderId="42" fillId="23" fontId="12" numFmtId="167" xfId="0" applyAlignment="1" applyBorder="1" applyFont="1" applyNumberFormat="1">
      <alignment horizontal="center" readingOrder="0" shrinkToFit="0" vertical="center" wrapText="1"/>
    </xf>
    <xf borderId="43" fillId="23" fontId="12" numFmtId="167" xfId="0" applyAlignment="1" applyBorder="1" applyFont="1" applyNumberFormat="1">
      <alignment horizontal="center" readingOrder="0" shrinkToFit="0" vertical="center" wrapText="1"/>
    </xf>
    <xf borderId="75" fillId="23" fontId="12" numFmtId="167" xfId="0" applyAlignment="1" applyBorder="1" applyFont="1" applyNumberFormat="1">
      <alignment horizontal="center" readingOrder="0" shrinkToFit="0" vertical="center" wrapText="1"/>
    </xf>
    <xf borderId="45" fillId="23" fontId="12" numFmtId="167" xfId="0" applyAlignment="1" applyBorder="1" applyFont="1" applyNumberFormat="1">
      <alignment horizontal="center" readingOrder="0" shrinkToFit="0" vertical="center" wrapText="1"/>
    </xf>
    <xf borderId="47" fillId="23" fontId="12" numFmtId="167" xfId="0" applyAlignment="1" applyBorder="1" applyFont="1" applyNumberFormat="1">
      <alignment horizontal="center" readingOrder="0" shrinkToFit="0" vertical="center" wrapText="1"/>
    </xf>
    <xf borderId="52" fillId="23" fontId="12" numFmtId="167" xfId="0" applyAlignment="1" applyBorder="1" applyFont="1" applyNumberFormat="1">
      <alignment horizontal="center" readingOrder="0" shrinkToFit="0" vertical="center" wrapText="1"/>
    </xf>
    <xf borderId="40" fillId="23" fontId="12" numFmtId="167" xfId="0" applyAlignment="1" applyBorder="1" applyFont="1" applyNumberFormat="1">
      <alignment horizontal="center" readingOrder="0" shrinkToFit="0" vertical="center" wrapText="1"/>
    </xf>
    <xf borderId="41" fillId="23" fontId="12" numFmtId="167" xfId="0" applyAlignment="1" applyBorder="1" applyFont="1" applyNumberFormat="1">
      <alignment horizontal="center" readingOrder="0" shrinkToFit="0" vertical="center" wrapText="1"/>
    </xf>
    <xf borderId="51" fillId="23" fontId="12" numFmtId="167" xfId="0" applyAlignment="1" applyBorder="1" applyFont="1" applyNumberFormat="1">
      <alignment horizontal="center" readingOrder="0" shrinkToFit="0" vertical="center" wrapText="1"/>
    </xf>
    <xf borderId="75" fillId="23" fontId="12" numFmtId="167" xfId="0" applyAlignment="1" applyBorder="1" applyFont="1" applyNumberFormat="1">
      <alignment horizontal="center" readingOrder="0" shrinkToFit="0" vertical="center" wrapText="1"/>
    </xf>
    <xf borderId="54" fillId="23" fontId="12" numFmtId="167" xfId="0" applyAlignment="1" applyBorder="1" applyFont="1" applyNumberFormat="1">
      <alignment horizontal="center" readingOrder="0" shrinkToFit="0" vertical="center" wrapText="1"/>
    </xf>
    <xf borderId="76" fillId="23" fontId="12" numFmtId="167" xfId="0" applyAlignment="1" applyBorder="1" applyFont="1" applyNumberFormat="1">
      <alignment horizontal="center" readingOrder="0" shrinkToFit="0" vertical="center" wrapText="1"/>
    </xf>
    <xf borderId="77" fillId="23" fontId="12" numFmtId="167" xfId="0" applyAlignment="1" applyBorder="1" applyFont="1" applyNumberFormat="1">
      <alignment horizontal="center" readingOrder="0" shrinkToFit="0" vertical="center" wrapText="1"/>
    </xf>
    <xf borderId="61" fillId="23" fontId="12" numFmtId="167" xfId="0" applyAlignment="1" applyBorder="1" applyFont="1" applyNumberFormat="1">
      <alignment horizontal="center" readingOrder="0" shrinkToFit="0" vertical="center" wrapText="1"/>
    </xf>
    <xf borderId="60" fillId="23" fontId="12" numFmtId="167" xfId="0" applyAlignment="1" applyBorder="1" applyFont="1" applyNumberFormat="1">
      <alignment horizontal="center" readingOrder="0" shrinkToFit="0" vertical="center" wrapText="1"/>
    </xf>
    <xf borderId="78" fillId="23" fontId="12" numFmtId="167" xfId="0" applyAlignment="1" applyBorder="1" applyFont="1" applyNumberFormat="1">
      <alignment horizontal="center" readingOrder="0" shrinkToFit="0" vertical="center" wrapText="1"/>
    </xf>
    <xf borderId="79" fillId="23" fontId="12" numFmtId="167" xfId="0" applyAlignment="1" applyBorder="1" applyFont="1" applyNumberFormat="1">
      <alignment horizontal="center" readingOrder="0" shrinkToFit="0" vertical="center" wrapText="1"/>
    </xf>
    <xf borderId="42" fillId="23" fontId="12" numFmtId="167" xfId="0" applyAlignment="1" applyBorder="1" applyFont="1" applyNumberFormat="1">
      <alignment horizontal="center" readingOrder="0" shrinkToFit="0" vertical="center" wrapText="1"/>
    </xf>
    <xf borderId="43" fillId="23" fontId="12" numFmtId="167" xfId="0" applyAlignment="1" applyBorder="1" applyFont="1" applyNumberFormat="1">
      <alignment horizontal="center" readingOrder="0" shrinkToFit="0" vertical="center" wrapText="1"/>
    </xf>
    <xf borderId="53" fillId="23" fontId="12" numFmtId="167" xfId="0" applyAlignment="1" applyBorder="1" applyFont="1" applyNumberFormat="1">
      <alignment horizontal="center" readingOrder="0" shrinkToFit="0" vertical="center" wrapText="1"/>
    </xf>
    <xf borderId="62" fillId="23" fontId="12" numFmtId="167" xfId="0" applyAlignment="1" applyBorder="1" applyFont="1" applyNumberFormat="1">
      <alignment horizontal="center" readingOrder="0" shrinkToFit="0" vertical="center" wrapText="1"/>
    </xf>
    <xf borderId="63" fillId="23" fontId="12" numFmtId="167" xfId="0" applyAlignment="1" applyBorder="1" applyFont="1" applyNumberFormat="1">
      <alignment horizontal="center" readingOrder="0" shrinkToFit="0" vertical="center" wrapText="1"/>
    </xf>
    <xf borderId="80" fillId="23" fontId="12" numFmtId="167" xfId="0" applyAlignment="1" applyBorder="1" applyFont="1" applyNumberFormat="1">
      <alignment horizontal="center" readingOrder="0" shrinkToFit="0" vertical="center" wrapText="1"/>
    </xf>
    <xf borderId="81" fillId="0" fontId="12" numFmtId="0" xfId="0" applyAlignment="1" applyBorder="1" applyFont="1">
      <alignment horizontal="center" readingOrder="0" shrinkToFit="0" vertical="center" wrapText="0"/>
    </xf>
    <xf borderId="82" fillId="0" fontId="12" numFmtId="0" xfId="0" applyAlignment="1" applyBorder="1" applyFont="1">
      <alignment horizontal="center" vertical="center"/>
    </xf>
    <xf borderId="83" fillId="0" fontId="12" numFmtId="0" xfId="0" applyAlignment="1" applyBorder="1" applyFont="1">
      <alignment horizontal="center" readingOrder="0" shrinkToFit="0" vertical="center" wrapText="0"/>
    </xf>
    <xf borderId="84" fillId="0" fontId="12" numFmtId="0" xfId="0" applyAlignment="1" applyBorder="1" applyFont="1">
      <alignment horizontal="center" readingOrder="0" shrinkToFit="0" vertical="center" wrapText="0"/>
    </xf>
    <xf borderId="85" fillId="0" fontId="12" numFmtId="0" xfId="0" applyAlignment="1" applyBorder="1" applyFont="1">
      <alignment horizontal="center" readingOrder="0" shrinkToFit="0" vertical="center" wrapText="0"/>
    </xf>
    <xf borderId="86" fillId="0" fontId="12" numFmtId="0" xfId="0" applyAlignment="1" applyBorder="1" applyFont="1">
      <alignment horizontal="center" vertical="center"/>
    </xf>
    <xf borderId="87" fillId="0" fontId="6" numFmtId="0" xfId="0" applyBorder="1" applyFont="1"/>
    <xf borderId="85" fillId="0" fontId="12" numFmtId="0" xfId="0" applyAlignment="1" applyBorder="1" applyFont="1">
      <alignment horizontal="center" vertical="center"/>
    </xf>
    <xf borderId="88" fillId="0" fontId="12" numFmtId="0" xfId="0" applyAlignment="1" applyBorder="1" applyFont="1">
      <alignment horizontal="center" vertical="center"/>
    </xf>
    <xf borderId="85" fillId="0" fontId="12" numFmtId="0" xfId="0" applyAlignment="1" applyBorder="1" applyFont="1">
      <alignment horizontal="center" readingOrder="0" shrinkToFit="0" vertical="center" wrapText="1"/>
    </xf>
    <xf borderId="86" fillId="0" fontId="12" numFmtId="0" xfId="0" applyAlignment="1" applyBorder="1" applyFont="1">
      <alignment horizontal="center" readingOrder="0" shrinkToFit="0" vertical="center" wrapText="1"/>
    </xf>
    <xf borderId="89" fillId="0" fontId="12" numFmtId="164" xfId="0" applyAlignment="1" applyBorder="1" applyFont="1" applyNumberFormat="1">
      <alignment horizontal="center" shrinkToFit="0" wrapText="1"/>
    </xf>
    <xf borderId="90" fillId="0" fontId="12" numFmtId="0" xfId="0" applyAlignment="1" applyBorder="1" applyFont="1">
      <alignment horizontal="center" readingOrder="0" shrinkToFit="0" vertical="center" wrapText="1"/>
    </xf>
    <xf borderId="90" fillId="0" fontId="12" numFmtId="165" xfId="0" applyAlignment="1" applyBorder="1" applyFont="1" applyNumberFormat="1">
      <alignment horizontal="center" readingOrder="0" shrinkToFit="0" vertical="center" wrapText="1"/>
    </xf>
    <xf borderId="90" fillId="0" fontId="6" numFmtId="164" xfId="0" applyAlignment="1" applyBorder="1" applyFont="1" applyNumberFormat="1">
      <alignment horizontal="center"/>
    </xf>
    <xf borderId="91" fillId="0" fontId="12" numFmtId="0" xfId="0" applyAlignment="1" applyBorder="1" applyFont="1">
      <alignment horizontal="center" readingOrder="0" shrinkToFit="0" vertical="center" wrapText="1"/>
    </xf>
    <xf borderId="87" fillId="0" fontId="12" numFmtId="0" xfId="0" applyAlignment="1" applyBorder="1" applyFont="1">
      <alignment horizontal="center" readingOrder="0" shrinkToFit="0" vertical="center" wrapText="1"/>
    </xf>
    <xf borderId="92" fillId="0" fontId="12" numFmtId="0" xfId="0" applyAlignment="1" applyBorder="1" applyFont="1">
      <alignment horizontal="center" readingOrder="0" shrinkToFit="0" vertical="center" wrapText="1"/>
    </xf>
    <xf borderId="93" fillId="0" fontId="11" numFmtId="9" xfId="0" applyAlignment="1" applyBorder="1" applyFont="1" applyNumberFormat="1">
      <alignment horizontal="center" readingOrder="0" shrinkToFit="0" vertical="center" wrapText="1"/>
    </xf>
    <xf borderId="94" fillId="0" fontId="12" numFmtId="9" xfId="0" applyAlignment="1" applyBorder="1" applyFont="1" applyNumberFormat="1">
      <alignment horizontal="center" readingOrder="0" shrinkToFit="0" vertical="center" wrapText="1"/>
    </xf>
    <xf borderId="94" fillId="0" fontId="12" numFmtId="10" xfId="0" applyAlignment="1" applyBorder="1" applyFont="1" applyNumberFormat="1">
      <alignment horizontal="center" readingOrder="0" shrinkToFit="0" vertical="center" wrapText="1"/>
    </xf>
    <xf borderId="92" fillId="0" fontId="12" numFmtId="9" xfId="0" applyAlignment="1" applyBorder="1" applyFont="1" applyNumberFormat="1">
      <alignment horizontal="center" readingOrder="0" shrinkToFit="0" vertical="center" wrapText="1"/>
    </xf>
    <xf borderId="95" fillId="0" fontId="12" numFmtId="9" xfId="0" applyAlignment="1" applyBorder="1" applyFont="1" applyNumberFormat="1">
      <alignment horizontal="center" readingOrder="0" shrinkToFit="0" vertical="center" wrapText="1"/>
    </xf>
    <xf borderId="96" fillId="0" fontId="12" numFmtId="9" xfId="0" applyAlignment="1" applyBorder="1" applyFont="1" applyNumberFormat="1">
      <alignment horizontal="center" readingOrder="0" shrinkToFit="0" vertical="center" wrapText="1"/>
    </xf>
    <xf borderId="97" fillId="0" fontId="12" numFmtId="9" xfId="0" applyAlignment="1" applyBorder="1" applyFont="1" applyNumberFormat="1">
      <alignment horizontal="center" readingOrder="0" shrinkToFit="0" vertical="center" wrapText="1"/>
    </xf>
    <xf borderId="98" fillId="0" fontId="12" numFmtId="9" xfId="0" applyAlignment="1" applyBorder="1" applyFont="1" applyNumberFormat="1">
      <alignment horizontal="center" readingOrder="0" shrinkToFit="0" vertical="center" wrapText="1"/>
    </xf>
    <xf borderId="99" fillId="11" fontId="6" numFmtId="9" xfId="0" applyAlignment="1" applyBorder="1" applyFont="1" applyNumberFormat="1">
      <alignment horizontal="center" vertical="center"/>
    </xf>
    <xf borderId="100" fillId="0" fontId="11" numFmtId="9" xfId="0" applyAlignment="1" applyBorder="1" applyFont="1" applyNumberFormat="1">
      <alignment horizontal="center" readingOrder="0" shrinkToFit="0" vertical="center" wrapText="1"/>
    </xf>
    <xf borderId="100" fillId="0" fontId="12" numFmtId="9" xfId="0" applyAlignment="1" applyBorder="1" applyFont="1" applyNumberFormat="1">
      <alignment horizontal="center" readingOrder="0" shrinkToFit="0" vertical="center" wrapText="1"/>
    </xf>
    <xf borderId="101" fillId="0" fontId="12" numFmtId="9" xfId="0" applyAlignment="1" applyBorder="1" applyFont="1" applyNumberFormat="1">
      <alignment horizontal="center" readingOrder="0" shrinkToFit="0" vertical="center" wrapText="1"/>
    </xf>
    <xf borderId="102" fillId="0" fontId="12" numFmtId="9" xfId="0" applyAlignment="1" applyBorder="1" applyFont="1" applyNumberFormat="1">
      <alignment horizontal="center" readingOrder="0" shrinkToFit="0" vertical="center" wrapText="1"/>
    </xf>
    <xf borderId="103" fillId="11" fontId="6" numFmtId="9" xfId="0" applyAlignment="1" applyBorder="1" applyFont="1" applyNumberFormat="1">
      <alignment horizontal="center" vertical="center"/>
    </xf>
    <xf borderId="94" fillId="0" fontId="11" numFmtId="9" xfId="0" applyAlignment="1" applyBorder="1" applyFont="1" applyNumberFormat="1">
      <alignment horizontal="center" readingOrder="0" shrinkToFit="0" vertical="center" wrapText="1"/>
    </xf>
    <xf borderId="87" fillId="11" fontId="6" numFmtId="9" xfId="0" applyAlignment="1" applyBorder="1" applyFont="1" applyNumberFormat="1">
      <alignment horizontal="center" vertical="center"/>
    </xf>
    <xf borderId="96" fillId="0" fontId="11" numFmtId="9" xfId="0" applyAlignment="1" applyBorder="1" applyFont="1" applyNumberFormat="1">
      <alignment horizontal="center" readingOrder="0" shrinkToFit="0" vertical="center" wrapText="1"/>
    </xf>
    <xf borderId="104" fillId="0" fontId="11" numFmtId="9" xfId="0" applyAlignment="1" applyBorder="1" applyFont="1" applyNumberFormat="1">
      <alignment horizontal="center" readingOrder="0" shrinkToFit="0" vertical="center" wrapText="1"/>
    </xf>
    <xf borderId="87" fillId="0" fontId="11" numFmtId="9" xfId="0" applyAlignment="1" applyBorder="1" applyFont="1" applyNumberFormat="1">
      <alignment horizontal="center" readingOrder="0" shrinkToFit="0" vertical="center" wrapText="1"/>
    </xf>
    <xf borderId="98" fillId="11" fontId="6" numFmtId="9" xfId="0" applyAlignment="1" applyBorder="1" applyFont="1" applyNumberFormat="1">
      <alignment horizontal="center"/>
    </xf>
    <xf borderId="105" fillId="0" fontId="11" numFmtId="9" xfId="0" applyAlignment="1" applyBorder="1" applyFont="1" applyNumberFormat="1">
      <alignment horizontal="center" readingOrder="0" shrinkToFit="0" vertical="center" wrapText="1"/>
    </xf>
    <xf borderId="105" fillId="0" fontId="12" numFmtId="9" xfId="0" applyAlignment="1" applyBorder="1" applyFont="1" applyNumberFormat="1">
      <alignment horizontal="center" readingOrder="0" shrinkToFit="0" vertical="center" wrapText="1"/>
    </xf>
    <xf borderId="106" fillId="0" fontId="12" numFmtId="9" xfId="0" applyAlignment="1" applyBorder="1" applyFont="1" applyNumberFormat="1">
      <alignment horizontal="center" readingOrder="0" shrinkToFit="0" vertical="center" wrapText="1"/>
    </xf>
    <xf borderId="104" fillId="0" fontId="12" numFmtId="9" xfId="0" applyAlignment="1" applyBorder="1" applyFont="1" applyNumberFormat="1">
      <alignment horizontal="center" readingOrder="0" shrinkToFit="0" vertical="center" wrapText="1"/>
    </xf>
    <xf borderId="87" fillId="0" fontId="12" numFmtId="9" xfId="0" applyAlignment="1" applyBorder="1" applyFont="1" applyNumberFormat="1">
      <alignment horizontal="center" readingOrder="0" shrinkToFit="0" vertical="center" wrapText="1"/>
    </xf>
    <xf borderId="107" fillId="11" fontId="6" numFmtId="9" xfId="0" applyAlignment="1" applyBorder="1" applyFont="1" applyNumberFormat="1">
      <alignment horizontal="center" vertical="center"/>
    </xf>
    <xf borderId="0" fillId="0" fontId="11" numFmtId="0" xfId="0" applyAlignment="1" applyFont="1">
      <alignment horizontal="left" readingOrder="0" shrinkToFit="0" vertical="center" wrapText="1"/>
    </xf>
    <xf borderId="0" fillId="0" fontId="12" numFmtId="0" xfId="0" applyAlignment="1" applyFont="1">
      <alignment horizontal="center" readingOrder="0" shrinkToFit="0" vertical="center" wrapText="0"/>
    </xf>
    <xf borderId="0" fillId="0" fontId="12" numFmtId="0" xfId="0" applyAlignment="1" applyFont="1">
      <alignment horizontal="center" vertical="center"/>
    </xf>
    <xf borderId="0" fillId="0" fontId="12" numFmtId="164" xfId="0" applyAlignment="1" applyFont="1" applyNumberFormat="1">
      <alignment horizontal="center" shrinkToFit="0" wrapText="1"/>
    </xf>
    <xf borderId="0" fillId="0" fontId="12" numFmtId="165"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0"/>
    </xf>
    <xf borderId="0" fillId="0" fontId="11" numFmtId="0" xfId="0" applyAlignment="1" applyFont="1">
      <alignment horizontal="center" vertical="center"/>
    </xf>
    <xf borderId="0" fillId="0" fontId="11" numFmtId="9" xfId="0" applyAlignment="1" applyFont="1" applyNumberFormat="1">
      <alignment horizontal="center" readingOrder="0" shrinkToFit="0" vertical="center" wrapText="1"/>
    </xf>
    <xf borderId="0" fillId="0" fontId="14" numFmtId="0" xfId="0" applyAlignment="1" applyFont="1">
      <alignment horizontal="center" vertical="center"/>
    </xf>
    <xf borderId="0" fillId="4" fontId="9" numFmtId="0" xfId="0" applyAlignment="1" applyFont="1">
      <alignment horizontal="center" readingOrder="0" shrinkToFit="0" vertical="center" wrapText="1"/>
    </xf>
    <xf borderId="8" fillId="4" fontId="9" numFmtId="0" xfId="0" applyAlignment="1" applyBorder="1" applyFont="1">
      <alignment horizontal="center" readingOrder="0" shrinkToFit="0" vertical="center" wrapText="1"/>
    </xf>
    <xf borderId="9" fillId="19" fontId="9" numFmtId="0" xfId="0" applyAlignment="1" applyBorder="1" applyFont="1">
      <alignment horizontal="center" readingOrder="0" shrinkToFit="0" vertical="center" wrapText="1"/>
    </xf>
    <xf borderId="9" fillId="4" fontId="9" numFmtId="0" xfId="0" applyAlignment="1" applyBorder="1" applyFont="1">
      <alignment horizontal="center" readingOrder="0" shrinkToFit="0" vertical="center" wrapText="1"/>
    </xf>
    <xf borderId="108" fillId="4" fontId="9" numFmtId="0" xfId="0" applyAlignment="1" applyBorder="1" applyFont="1">
      <alignment horizontal="center" readingOrder="0" shrinkToFit="0" vertical="center" wrapText="1"/>
    </xf>
    <xf borderId="9" fillId="13" fontId="9" numFmtId="0" xfId="0" applyAlignment="1" applyBorder="1" applyFont="1">
      <alignment horizontal="center" readingOrder="0" shrinkToFit="0" vertical="center" wrapText="1"/>
    </xf>
    <xf borderId="109" fillId="24" fontId="9" numFmtId="0" xfId="0" applyAlignment="1" applyBorder="1" applyFill="1" applyFont="1">
      <alignment horizontal="center" readingOrder="0" shrinkToFit="0" vertical="center" wrapText="1"/>
    </xf>
    <xf borderId="10" fillId="4" fontId="9" numFmtId="0" xfId="0" applyAlignment="1" applyBorder="1" applyFont="1">
      <alignment horizontal="center" readingOrder="0" shrinkToFit="0" vertical="center" wrapText="1"/>
    </xf>
    <xf borderId="110" fillId="12" fontId="12" numFmtId="0" xfId="0" applyAlignment="1" applyBorder="1" applyFont="1">
      <alignment horizontal="left" readingOrder="0" shrinkToFit="0" vertical="center" wrapText="0"/>
    </xf>
    <xf borderId="0" fillId="12" fontId="12" numFmtId="0" xfId="0" applyAlignment="1" applyFont="1">
      <alignment horizontal="left" readingOrder="0" shrinkToFit="0" vertical="center" wrapText="0"/>
    </xf>
    <xf borderId="0" fillId="12" fontId="6" numFmtId="0" xfId="0" applyFont="1"/>
    <xf borderId="111" fillId="12" fontId="6" numFmtId="0" xfId="0" applyBorder="1" applyFont="1"/>
    <xf borderId="112" fillId="12" fontId="12" numFmtId="0" xfId="0" applyAlignment="1" applyBorder="1" applyFont="1">
      <alignment horizontal="left" readingOrder="0" shrinkToFit="0" vertical="center" wrapText="0"/>
    </xf>
    <xf borderId="113" fillId="12" fontId="12" numFmtId="0" xfId="0" applyAlignment="1" applyBorder="1" applyFont="1">
      <alignment horizontal="left" readingOrder="0" shrinkToFit="0" vertical="center" wrapText="0"/>
    </xf>
    <xf borderId="110" fillId="0" fontId="12" numFmtId="0" xfId="0" applyAlignment="1" applyBorder="1" applyFont="1">
      <alignment horizontal="center" readingOrder="0" shrinkToFit="0" vertical="center" wrapText="0"/>
    </xf>
    <xf borderId="0" fillId="19" fontId="12" numFmtId="0" xfId="0" applyAlignment="1" applyFont="1">
      <alignment horizontal="center" readingOrder="0" shrinkToFit="0" vertical="center" wrapText="0"/>
    </xf>
    <xf borderId="0" fillId="0" fontId="6" numFmtId="9" xfId="0" applyAlignment="1" applyFont="1" applyNumberFormat="1">
      <alignment horizontal="center" vertical="center"/>
    </xf>
    <xf borderId="0" fillId="0" fontId="6" numFmtId="9" xfId="0" applyAlignment="1" applyFont="1" applyNumberFormat="1">
      <alignment horizontal="center"/>
    </xf>
    <xf borderId="35" fillId="0" fontId="6" numFmtId="9" xfId="0" applyAlignment="1" applyBorder="1" applyFont="1" applyNumberFormat="1">
      <alignment horizontal="center"/>
    </xf>
    <xf borderId="0" fillId="13" fontId="12" numFmtId="0" xfId="0" applyAlignment="1" applyFont="1">
      <alignment horizontal="center" readingOrder="0" shrinkToFit="0" vertical="center" wrapText="0"/>
    </xf>
    <xf borderId="112" fillId="24" fontId="12" numFmtId="0" xfId="0" applyAlignment="1" applyBorder="1" applyFont="1">
      <alignment horizontal="center" readingOrder="0" shrinkToFit="0" vertical="center" wrapText="0"/>
    </xf>
    <xf borderId="113" fillId="0" fontId="6" numFmtId="9" xfId="0" applyAlignment="1" applyBorder="1" applyFont="1" applyNumberFormat="1">
      <alignment horizontal="center"/>
    </xf>
    <xf borderId="114" fillId="0" fontId="12" numFmtId="0" xfId="0" applyAlignment="1" applyBorder="1" applyFont="1">
      <alignment horizontal="center" readingOrder="0" shrinkToFit="0" vertical="center" wrapText="0"/>
    </xf>
    <xf borderId="115" fillId="0" fontId="12" numFmtId="0" xfId="0" applyAlignment="1" applyBorder="1" applyFont="1">
      <alignment horizontal="center" readingOrder="0" shrinkToFit="0" vertical="center" wrapText="0"/>
    </xf>
    <xf borderId="116" fillId="14" fontId="12" numFmtId="0" xfId="0" applyAlignment="1" applyBorder="1" applyFont="1">
      <alignment horizontal="left" readingOrder="0" shrinkToFit="0" vertical="center" wrapText="0"/>
    </xf>
    <xf borderId="0" fillId="14" fontId="12" numFmtId="0" xfId="0" applyAlignment="1" applyFont="1">
      <alignment horizontal="left" readingOrder="0" shrinkToFit="0" vertical="center" wrapText="0"/>
    </xf>
    <xf borderId="0" fillId="14" fontId="6" numFmtId="0" xfId="0" applyFont="1"/>
    <xf borderId="35" fillId="14" fontId="6" numFmtId="0" xfId="0" applyBorder="1" applyFont="1"/>
    <xf borderId="112" fillId="14" fontId="12" numFmtId="0" xfId="0" applyAlignment="1" applyBorder="1" applyFont="1">
      <alignment horizontal="left" readingOrder="0" shrinkToFit="0" vertical="center" wrapText="0"/>
    </xf>
    <xf borderId="113" fillId="14" fontId="12" numFmtId="0" xfId="0" applyAlignment="1" applyBorder="1" applyFont="1">
      <alignment horizontal="left" readingOrder="0" shrinkToFit="0" vertical="center" wrapText="0"/>
    </xf>
    <xf borderId="116" fillId="15" fontId="12" numFmtId="0" xfId="0" applyAlignment="1" applyBorder="1" applyFont="1">
      <alignment horizontal="left" readingOrder="0" shrinkToFit="0" vertical="center" wrapText="0"/>
    </xf>
    <xf borderId="0" fillId="15" fontId="12" numFmtId="0" xfId="0" applyAlignment="1" applyFont="1">
      <alignment horizontal="left" readingOrder="0" shrinkToFit="0" vertical="center" wrapText="0"/>
    </xf>
    <xf borderId="0" fillId="15" fontId="6" numFmtId="0" xfId="0" applyFont="1"/>
    <xf borderId="35" fillId="15" fontId="6" numFmtId="0" xfId="0" applyBorder="1" applyFont="1"/>
    <xf borderId="112" fillId="15" fontId="12" numFmtId="0" xfId="0" applyAlignment="1" applyBorder="1" applyFont="1">
      <alignment horizontal="left" readingOrder="0" shrinkToFit="0" vertical="center" wrapText="0"/>
    </xf>
    <xf borderId="113" fillId="15" fontId="12" numFmtId="0" xfId="0" applyAlignment="1" applyBorder="1" applyFont="1">
      <alignment horizontal="left" readingOrder="0" shrinkToFit="0" vertical="center" wrapText="0"/>
    </xf>
    <xf borderId="116" fillId="16" fontId="12" numFmtId="0" xfId="0" applyAlignment="1" applyBorder="1" applyFont="1">
      <alignment horizontal="left" readingOrder="0" shrinkToFit="0" vertical="center" wrapText="0"/>
    </xf>
    <xf borderId="0" fillId="16" fontId="12" numFmtId="0" xfId="0" applyAlignment="1" applyFont="1">
      <alignment horizontal="left" readingOrder="0" shrinkToFit="0" vertical="center" wrapText="0"/>
    </xf>
    <xf borderId="0" fillId="16" fontId="6" numFmtId="0" xfId="0" applyFont="1"/>
    <xf borderId="35" fillId="16" fontId="6" numFmtId="0" xfId="0" applyBorder="1" applyFont="1"/>
    <xf borderId="112" fillId="16" fontId="12" numFmtId="0" xfId="0" applyAlignment="1" applyBorder="1" applyFont="1">
      <alignment horizontal="left" readingOrder="0" shrinkToFit="0" vertical="center" wrapText="0"/>
    </xf>
    <xf borderId="113" fillId="16" fontId="12" numFmtId="0" xfId="0" applyAlignment="1" applyBorder="1" applyFont="1">
      <alignment horizontal="left" readingOrder="0" shrinkToFit="0" vertical="center" wrapText="0"/>
    </xf>
    <xf borderId="116" fillId="17" fontId="12" numFmtId="0" xfId="0" applyAlignment="1" applyBorder="1" applyFont="1">
      <alignment horizontal="left" readingOrder="0" shrinkToFit="0" vertical="center" wrapText="0"/>
    </xf>
    <xf borderId="0" fillId="17" fontId="12" numFmtId="0" xfId="0" applyAlignment="1" applyFont="1">
      <alignment horizontal="left" readingOrder="0" shrinkToFit="0" vertical="center" wrapText="0"/>
    </xf>
    <xf borderId="0" fillId="17" fontId="6" numFmtId="0" xfId="0" applyFont="1"/>
    <xf borderId="35" fillId="17" fontId="6" numFmtId="0" xfId="0" applyBorder="1" applyFont="1"/>
    <xf borderId="112" fillId="17" fontId="12" numFmtId="0" xfId="0" applyAlignment="1" applyBorder="1" applyFont="1">
      <alignment horizontal="left" readingOrder="0" shrinkToFit="0" vertical="center" wrapText="0"/>
    </xf>
    <xf borderId="113" fillId="17" fontId="12" numFmtId="0" xfId="0" applyAlignment="1" applyBorder="1" applyFont="1">
      <alignment horizontal="left" readingOrder="0" shrinkToFit="0" vertical="center" wrapText="0"/>
    </xf>
    <xf borderId="116" fillId="18" fontId="12" numFmtId="0" xfId="0" applyAlignment="1" applyBorder="1" applyFont="1">
      <alignment horizontal="left" readingOrder="0" shrinkToFit="0" vertical="center" wrapText="0"/>
    </xf>
    <xf borderId="0" fillId="18" fontId="12" numFmtId="0" xfId="0" applyAlignment="1" applyFont="1">
      <alignment horizontal="left" readingOrder="0" shrinkToFit="0" vertical="center" wrapText="0"/>
    </xf>
    <xf borderId="0" fillId="18" fontId="6" numFmtId="0" xfId="0" applyFont="1"/>
    <xf borderId="35" fillId="18" fontId="6" numFmtId="0" xfId="0" applyBorder="1" applyFont="1"/>
    <xf borderId="112" fillId="18" fontId="12" numFmtId="0" xfId="0" applyAlignment="1" applyBorder="1" applyFont="1">
      <alignment horizontal="left" readingOrder="0" shrinkToFit="0" vertical="center" wrapText="0"/>
    </xf>
    <xf borderId="113" fillId="18" fontId="12" numFmtId="0" xfId="0" applyAlignment="1" applyBorder="1" applyFont="1">
      <alignment horizontal="left" readingOrder="0" shrinkToFit="0" vertical="center" wrapText="0"/>
    </xf>
    <xf borderId="116" fillId="19" fontId="12" numFmtId="0" xfId="0" applyAlignment="1" applyBorder="1" applyFont="1">
      <alignment horizontal="left" readingOrder="0" shrinkToFit="0" vertical="center" wrapText="0"/>
    </xf>
    <xf borderId="0" fillId="19" fontId="12" numFmtId="0" xfId="0" applyAlignment="1" applyFont="1">
      <alignment horizontal="left" readingOrder="0" shrinkToFit="0" vertical="center" wrapText="0"/>
    </xf>
    <xf borderId="0" fillId="19" fontId="6" numFmtId="0" xfId="0" applyFont="1"/>
    <xf borderId="35" fillId="19" fontId="6" numFmtId="0" xfId="0" applyBorder="1" applyFont="1"/>
    <xf borderId="112" fillId="19" fontId="12" numFmtId="0" xfId="0" applyAlignment="1" applyBorder="1" applyFont="1">
      <alignment horizontal="left" readingOrder="0" shrinkToFit="0" vertical="center" wrapText="0"/>
    </xf>
    <xf borderId="113" fillId="19" fontId="12" numFmtId="0" xfId="0" applyAlignment="1" applyBorder="1" applyFont="1">
      <alignment horizontal="left" readingOrder="0" shrinkToFit="0" vertical="center" wrapText="0"/>
    </xf>
    <xf borderId="116" fillId="20" fontId="12" numFmtId="0" xfId="0" applyAlignment="1" applyBorder="1" applyFont="1">
      <alignment horizontal="left" readingOrder="0" shrinkToFit="0" vertical="center" wrapText="0"/>
    </xf>
    <xf borderId="0" fillId="20" fontId="12" numFmtId="0" xfId="0" applyAlignment="1" applyFont="1">
      <alignment horizontal="left" readingOrder="0" shrinkToFit="0" vertical="center" wrapText="0"/>
    </xf>
    <xf borderId="0" fillId="20" fontId="6" numFmtId="0" xfId="0" applyFont="1"/>
    <xf borderId="35" fillId="20" fontId="6" numFmtId="0" xfId="0" applyBorder="1" applyFont="1"/>
    <xf borderId="112" fillId="20" fontId="12" numFmtId="0" xfId="0" applyAlignment="1" applyBorder="1" applyFont="1">
      <alignment horizontal="left" readingOrder="0" shrinkToFit="0" vertical="center" wrapText="0"/>
    </xf>
    <xf borderId="113" fillId="20" fontId="12" numFmtId="0" xfId="0" applyAlignment="1" applyBorder="1" applyFont="1">
      <alignment horizontal="left" readingOrder="0" shrinkToFit="0" vertical="center" wrapText="0"/>
    </xf>
    <xf borderId="116" fillId="21" fontId="12" numFmtId="0" xfId="0" applyAlignment="1" applyBorder="1" applyFont="1">
      <alignment horizontal="left" readingOrder="0" shrinkToFit="0" vertical="center" wrapText="0"/>
    </xf>
    <xf borderId="0" fillId="21" fontId="12" numFmtId="0" xfId="0" applyAlignment="1" applyFont="1">
      <alignment horizontal="left" readingOrder="0" shrinkToFit="0" vertical="center" wrapText="0"/>
    </xf>
    <xf borderId="0" fillId="21" fontId="6" numFmtId="0" xfId="0" applyFont="1"/>
    <xf borderId="35" fillId="21" fontId="6" numFmtId="0" xfId="0" applyBorder="1" applyFont="1"/>
    <xf borderId="112" fillId="21" fontId="12" numFmtId="0" xfId="0" applyAlignment="1" applyBorder="1" applyFont="1">
      <alignment horizontal="left" readingOrder="0" shrinkToFit="0" vertical="center" wrapText="0"/>
    </xf>
    <xf borderId="113" fillId="21" fontId="12" numFmtId="0" xfId="0" applyAlignment="1" applyBorder="1" applyFont="1">
      <alignment horizontal="left" readingOrder="0" shrinkToFit="0" vertical="center" wrapText="0"/>
    </xf>
    <xf borderId="116" fillId="22" fontId="12" numFmtId="0" xfId="0" applyAlignment="1" applyBorder="1" applyFont="1">
      <alignment horizontal="left" readingOrder="0" shrinkToFit="0" vertical="center" wrapText="0"/>
    </xf>
    <xf borderId="0" fillId="22" fontId="12" numFmtId="0" xfId="0" applyAlignment="1" applyFont="1">
      <alignment horizontal="left" readingOrder="0" shrinkToFit="0" vertical="center" wrapText="0"/>
    </xf>
    <xf borderId="0" fillId="22" fontId="6" numFmtId="0" xfId="0" applyFont="1"/>
    <xf borderId="35" fillId="22" fontId="6" numFmtId="0" xfId="0" applyBorder="1" applyFont="1"/>
    <xf borderId="112" fillId="22" fontId="12" numFmtId="0" xfId="0" applyAlignment="1" applyBorder="1" applyFont="1">
      <alignment horizontal="left" readingOrder="0" shrinkToFit="0" vertical="center" wrapText="0"/>
    </xf>
    <xf borderId="113" fillId="22" fontId="12" numFmtId="0" xfId="0" applyAlignment="1" applyBorder="1" applyFont="1">
      <alignment horizontal="left" readingOrder="0" shrinkToFit="0" vertical="center" wrapText="0"/>
    </xf>
    <xf borderId="116" fillId="10" fontId="12" numFmtId="0" xfId="0" applyAlignment="1" applyBorder="1" applyFont="1">
      <alignment horizontal="left" readingOrder="0" shrinkToFit="0" vertical="center" wrapText="0"/>
    </xf>
    <xf borderId="0" fillId="10" fontId="12" numFmtId="0" xfId="0" applyAlignment="1" applyFont="1">
      <alignment horizontal="left" readingOrder="0" shrinkToFit="0" vertical="center" wrapText="0"/>
    </xf>
    <xf borderId="0" fillId="10" fontId="6" numFmtId="0" xfId="0" applyFont="1"/>
    <xf borderId="35" fillId="10" fontId="6" numFmtId="0" xfId="0" applyBorder="1" applyFont="1"/>
    <xf borderId="112" fillId="10" fontId="12" numFmtId="0" xfId="0" applyAlignment="1" applyBorder="1" applyFont="1">
      <alignment horizontal="left" readingOrder="0" shrinkToFit="0" vertical="center" wrapText="0"/>
    </xf>
    <xf borderId="113" fillId="10" fontId="12" numFmtId="0" xfId="0" applyAlignment="1" applyBorder="1" applyFont="1">
      <alignment horizontal="left" readingOrder="0" shrinkToFit="0" vertical="center" wrapText="0"/>
    </xf>
    <xf borderId="116" fillId="23" fontId="12" numFmtId="0" xfId="0" applyAlignment="1" applyBorder="1" applyFont="1">
      <alignment horizontal="left" readingOrder="0" shrinkToFit="0" vertical="center" wrapText="0"/>
    </xf>
    <xf borderId="0" fillId="23" fontId="12" numFmtId="0" xfId="0" applyAlignment="1" applyFont="1">
      <alignment horizontal="left" readingOrder="0" shrinkToFit="0" vertical="center" wrapText="0"/>
    </xf>
    <xf borderId="0" fillId="23" fontId="6" numFmtId="0" xfId="0" applyFont="1"/>
    <xf borderId="35" fillId="23" fontId="6" numFmtId="0" xfId="0" applyBorder="1" applyFont="1"/>
    <xf borderId="112" fillId="23" fontId="12" numFmtId="0" xfId="0" applyAlignment="1" applyBorder="1" applyFont="1">
      <alignment horizontal="left" readingOrder="0" shrinkToFit="0" vertical="center" wrapText="0"/>
    </xf>
    <xf borderId="113" fillId="23" fontId="12" numFmtId="0" xfId="0" applyAlignment="1" applyBorder="1" applyFont="1">
      <alignment horizontal="left" readingOrder="0" shrinkToFit="0" vertical="center" wrapText="0"/>
    </xf>
    <xf borderId="117" fillId="0" fontId="12" numFmtId="0" xfId="0" applyAlignment="1" applyBorder="1" applyFont="1">
      <alignment horizontal="center" readingOrder="0" shrinkToFit="0" vertical="center" wrapText="0"/>
    </xf>
    <xf borderId="87" fillId="19" fontId="12" numFmtId="0" xfId="0" applyAlignment="1" applyBorder="1" applyFont="1">
      <alignment horizontal="center" readingOrder="0" shrinkToFit="0" vertical="center" wrapText="0"/>
    </xf>
    <xf borderId="87" fillId="0" fontId="6" numFmtId="9" xfId="0" applyAlignment="1" applyBorder="1" applyFont="1" applyNumberFormat="1">
      <alignment horizontal="center" vertical="center"/>
    </xf>
    <xf borderId="87" fillId="0" fontId="6" numFmtId="9" xfId="0" applyAlignment="1" applyBorder="1" applyFont="1" applyNumberFormat="1">
      <alignment horizontal="center"/>
    </xf>
    <xf borderId="90" fillId="0" fontId="6" numFmtId="9" xfId="0" applyAlignment="1" applyBorder="1" applyFont="1" applyNumberFormat="1">
      <alignment horizontal="center"/>
    </xf>
    <xf borderId="87" fillId="13" fontId="12" numFmtId="0" xfId="0" applyAlignment="1" applyBorder="1" applyFont="1">
      <alignment horizontal="center" readingOrder="0" shrinkToFit="0" vertical="center" wrapText="0"/>
    </xf>
    <xf borderId="118" fillId="24" fontId="12" numFmtId="0" xfId="0" applyAlignment="1" applyBorder="1" applyFont="1">
      <alignment horizontal="center" readingOrder="0" shrinkToFit="0" vertical="center" wrapText="0"/>
    </xf>
    <xf borderId="119" fillId="0" fontId="6" numFmtId="9" xfId="0" applyAlignment="1" applyBorder="1" applyFont="1" applyNumberFormat="1">
      <alignment horizontal="center"/>
    </xf>
    <xf borderId="0" fillId="0" fontId="6" numFmtId="0" xfId="0" applyAlignment="1" applyFont="1">
      <alignment horizontal="center"/>
    </xf>
    <xf borderId="120" fillId="0" fontId="1" numFmtId="0" xfId="0" applyAlignment="1" applyBorder="1" applyFont="1">
      <alignment horizontal="center" readingOrder="0" shrinkToFit="0" vertical="center" wrapText="1"/>
    </xf>
    <xf borderId="121" fillId="0" fontId="1" numFmtId="0" xfId="0" applyAlignment="1" applyBorder="1" applyFont="1">
      <alignment horizontal="center" readingOrder="0" shrinkToFit="0" vertical="center" wrapText="1"/>
    </xf>
    <xf borderId="121" fillId="0" fontId="2" numFmtId="9" xfId="0" applyAlignment="1" applyBorder="1" applyFont="1" applyNumberFormat="1">
      <alignment horizontal="center" shrinkToFit="0" vertical="center" wrapText="1"/>
    </xf>
    <xf borderId="121" fillId="0" fontId="2" numFmtId="0" xfId="0" applyAlignment="1" applyBorder="1" applyFont="1">
      <alignment horizontal="center" readingOrder="0" shrinkToFit="0" vertical="center" wrapText="1"/>
    </xf>
    <xf borderId="121" fillId="0" fontId="3" numFmtId="0" xfId="0" applyBorder="1" applyFont="1"/>
    <xf borderId="121" fillId="0" fontId="4" numFmtId="0" xfId="0" applyAlignment="1" applyBorder="1" applyFont="1">
      <alignment horizontal="center" readingOrder="0" shrinkToFit="0" vertical="center" wrapText="1"/>
    </xf>
    <xf borderId="122" fillId="3" fontId="1" numFmtId="0" xfId="0" applyAlignment="1" applyBorder="1" applyFont="1">
      <alignment horizontal="center" readingOrder="0" shrinkToFit="0" vertical="center" wrapText="1"/>
    </xf>
    <xf borderId="121" fillId="3" fontId="1" numFmtId="0" xfId="0" applyAlignment="1" applyBorder="1" applyFont="1">
      <alignment horizontal="center" readingOrder="0" shrinkToFit="0" vertical="center" wrapText="1"/>
    </xf>
    <xf borderId="123" fillId="0" fontId="1" numFmtId="0" xfId="0" applyAlignment="1" applyBorder="1" applyFont="1">
      <alignment horizontal="center" readingOrder="0" shrinkToFit="0" vertical="center" wrapText="1"/>
    </xf>
    <xf borderId="121" fillId="3" fontId="5" numFmtId="0" xfId="0" applyAlignment="1" applyBorder="1" applyFont="1">
      <alignment horizontal="center" readingOrder="0" shrinkToFit="0" vertical="center" wrapText="1"/>
    </xf>
    <xf borderId="121" fillId="3" fontId="8" numFmtId="0" xfId="0" applyAlignment="1" applyBorder="1" applyFont="1">
      <alignment horizontal="center" readingOrder="0" shrinkToFit="0" vertical="center" wrapText="1"/>
    </xf>
    <xf borderId="123" fillId="0" fontId="7"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124" fillId="0" fontId="3" numFmtId="0" xfId="0" applyBorder="1" applyFont="1"/>
    <xf borderId="125" fillId="0" fontId="3" numFmtId="0" xfId="0" applyBorder="1" applyFont="1"/>
    <xf borderId="0" fillId="3" fontId="4" numFmtId="0" xfId="0" applyAlignment="1" applyFont="1">
      <alignment horizontal="center" readingOrder="0" shrinkToFit="0" vertical="center" wrapText="1"/>
    </xf>
    <xf borderId="121" fillId="3" fontId="4" numFmtId="0" xfId="0" applyAlignment="1" applyBorder="1" applyFont="1">
      <alignment horizontal="center" readingOrder="0" shrinkToFit="0" vertical="center" wrapText="1"/>
    </xf>
    <xf borderId="126" fillId="4" fontId="9" numFmtId="0" xfId="0" applyAlignment="1" applyBorder="1" applyFont="1">
      <alignment horizontal="center" readingOrder="0" shrinkToFit="0" vertical="center" wrapText="1"/>
    </xf>
    <xf borderId="126" fillId="5" fontId="9" numFmtId="0" xfId="0" applyAlignment="1" applyBorder="1" applyFont="1">
      <alignment horizontal="center" readingOrder="0" shrinkToFit="0" vertical="center" wrapText="1"/>
    </xf>
    <xf borderId="127" fillId="4" fontId="9" numFmtId="0" xfId="0" applyAlignment="1" applyBorder="1" applyFont="1">
      <alignment horizontal="center" readingOrder="0" shrinkToFit="0" vertical="center" wrapText="1"/>
    </xf>
    <xf borderId="2" fillId="4" fontId="9" numFmtId="0" xfId="0" applyAlignment="1" applyBorder="1" applyFont="1">
      <alignment horizontal="center" readingOrder="0" shrinkToFit="0" vertical="center" wrapText="1"/>
    </xf>
    <xf borderId="128" fillId="0" fontId="9"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129" fillId="5" fontId="9" numFmtId="0" xfId="0" applyAlignment="1" applyBorder="1" applyFont="1">
      <alignment horizontal="center" readingOrder="0" shrinkToFit="0" vertical="center" wrapText="1"/>
    </xf>
    <xf borderId="129" fillId="4" fontId="9" numFmtId="0" xfId="0" applyAlignment="1" applyBorder="1" applyFont="1">
      <alignment horizontal="center" readingOrder="0" shrinkToFit="0" vertical="center" wrapText="1"/>
    </xf>
    <xf borderId="130" fillId="4" fontId="9" numFmtId="0" xfId="0" applyAlignment="1" applyBorder="1" applyFont="1">
      <alignment horizontal="center" readingOrder="0" shrinkToFit="0" vertical="center" wrapText="1"/>
    </xf>
    <xf borderId="128" fillId="4" fontId="9" numFmtId="0" xfId="0" applyAlignment="1" applyBorder="1" applyFont="1">
      <alignment horizontal="center" readingOrder="0" shrinkToFit="0" vertical="center" wrapText="1"/>
    </xf>
    <xf borderId="0" fillId="2" fontId="10" numFmtId="0" xfId="0" applyAlignment="1" applyFont="1">
      <alignment horizontal="center" shrinkToFit="0" vertical="bottom" wrapText="1"/>
    </xf>
    <xf borderId="29" fillId="6" fontId="9" numFmtId="0" xfId="0" applyAlignment="1" applyBorder="1" applyFont="1">
      <alignment horizontal="center" readingOrder="0" shrinkToFit="0" vertical="center" wrapText="1"/>
    </xf>
    <xf borderId="131" fillId="8" fontId="11" numFmtId="0" xfId="0" applyAlignment="1" applyBorder="1" applyFont="1">
      <alignment horizontal="center" readingOrder="0" shrinkToFit="0" vertical="center" wrapText="1"/>
    </xf>
    <xf borderId="132" fillId="8" fontId="11" numFmtId="0" xfId="0" applyAlignment="1" applyBorder="1" applyFont="1">
      <alignment horizontal="center" readingOrder="0" shrinkToFit="0" vertical="center" wrapText="1"/>
    </xf>
    <xf borderId="133" fillId="8" fontId="11" numFmtId="0" xfId="0" applyAlignment="1" applyBorder="1" applyFont="1">
      <alignment horizontal="center" readingOrder="0" shrinkToFit="0" vertical="center" wrapText="1"/>
    </xf>
    <xf borderId="131" fillId="9" fontId="11" numFmtId="0" xfId="0" applyAlignment="1" applyBorder="1" applyFont="1">
      <alignment horizontal="center" readingOrder="0" shrinkToFit="0" vertical="center" wrapText="1"/>
    </xf>
    <xf borderId="132" fillId="9" fontId="11" numFmtId="0" xfId="0" applyAlignment="1" applyBorder="1" applyFont="1">
      <alignment horizontal="center" readingOrder="0" shrinkToFit="0" vertical="center" wrapText="1"/>
    </xf>
    <xf borderId="133" fillId="9" fontId="11" numFmtId="0" xfId="0" applyAlignment="1" applyBorder="1" applyFont="1">
      <alignment horizontal="center" readingOrder="0" shrinkToFit="0" vertical="center" wrapText="1"/>
    </xf>
    <xf borderId="131" fillId="2" fontId="11" numFmtId="0" xfId="0" applyAlignment="1" applyBorder="1" applyFont="1">
      <alignment horizontal="center" readingOrder="0" shrinkToFit="0" vertical="center" wrapText="1"/>
    </xf>
    <xf borderId="132" fillId="2" fontId="11" numFmtId="0" xfId="0" applyAlignment="1" applyBorder="1" applyFont="1">
      <alignment horizontal="center" readingOrder="0" shrinkToFit="0" vertical="center" wrapText="1"/>
    </xf>
    <xf borderId="133" fillId="2" fontId="11" numFmtId="0" xfId="0" applyAlignment="1" applyBorder="1" applyFont="1">
      <alignment horizontal="center" readingOrder="0" shrinkToFit="0" vertical="center" wrapText="1"/>
    </xf>
    <xf borderId="131" fillId="4" fontId="11" numFmtId="0" xfId="0" applyAlignment="1" applyBorder="1" applyFont="1">
      <alignment horizontal="center" readingOrder="0" shrinkToFit="0" vertical="center" wrapText="1"/>
    </xf>
    <xf borderId="132" fillId="4" fontId="11" numFmtId="0" xfId="0" applyAlignment="1" applyBorder="1" applyFont="1">
      <alignment horizontal="center" readingOrder="0" shrinkToFit="0" vertical="center" wrapText="1"/>
    </xf>
    <xf borderId="133" fillId="4" fontId="11" numFmtId="0" xfId="0" applyAlignment="1" applyBorder="1" applyFont="1">
      <alignment horizontal="center" readingOrder="0" shrinkToFit="0" vertical="center" wrapText="1"/>
    </xf>
    <xf borderId="131" fillId="10" fontId="11" numFmtId="0" xfId="0" applyAlignment="1" applyBorder="1" applyFont="1">
      <alignment horizontal="center" readingOrder="0" shrinkToFit="0" vertical="center" wrapText="1"/>
    </xf>
    <xf borderId="132" fillId="10" fontId="11" numFmtId="0" xfId="0" applyAlignment="1" applyBorder="1" applyFont="1">
      <alignment horizontal="center" readingOrder="0" shrinkToFit="0" vertical="center" wrapText="1"/>
    </xf>
    <xf borderId="133" fillId="10" fontId="11" numFmtId="0" xfId="0" applyAlignment="1" applyBorder="1" applyFont="1">
      <alignment horizontal="center" readingOrder="0" shrinkToFit="0" vertical="center" wrapText="1"/>
    </xf>
    <xf borderId="131" fillId="3" fontId="15" numFmtId="0" xfId="0" applyAlignment="1" applyBorder="1" applyFont="1">
      <alignment horizontal="center" readingOrder="0" shrinkToFit="0" vertical="center" wrapText="1"/>
    </xf>
    <xf borderId="132" fillId="3" fontId="11" numFmtId="0" xfId="0" applyAlignment="1" applyBorder="1" applyFont="1">
      <alignment horizontal="center" readingOrder="0" shrinkToFit="0" vertical="center" wrapText="1"/>
    </xf>
    <xf borderId="133" fillId="3" fontId="11" numFmtId="0" xfId="0" applyAlignment="1" applyBorder="1" applyFont="1">
      <alignment horizontal="center" readingOrder="0" shrinkToFit="0" vertical="center" wrapText="1"/>
    </xf>
    <xf borderId="131" fillId="5" fontId="15" numFmtId="0" xfId="0" applyAlignment="1" applyBorder="1" applyFont="1">
      <alignment horizontal="center" readingOrder="0" shrinkToFit="0" vertical="center" wrapText="1"/>
    </xf>
    <xf borderId="132" fillId="5" fontId="11" numFmtId="0" xfId="0" applyAlignment="1" applyBorder="1" applyFont="1">
      <alignment horizontal="center" readingOrder="0" shrinkToFit="0" vertical="center" wrapText="1"/>
    </xf>
    <xf borderId="133" fillId="5" fontId="11" numFmtId="0" xfId="0" applyAlignment="1" applyBorder="1" applyFont="1">
      <alignment horizontal="center" readingOrder="0" shrinkToFit="0" vertical="center" wrapText="1"/>
    </xf>
    <xf borderId="131" fillId="5" fontId="16" numFmtId="0" xfId="0" applyAlignment="1" applyBorder="1" applyFont="1">
      <alignment horizontal="center" readingOrder="0" shrinkToFit="0" vertical="center" wrapText="1"/>
    </xf>
    <xf borderId="127" fillId="5" fontId="11" numFmtId="0" xfId="0" applyAlignment="1" applyBorder="1" applyFont="1">
      <alignment horizontal="center" readingOrder="0" shrinkToFit="0" vertical="center" wrapText="1"/>
    </xf>
    <xf borderId="128" fillId="5" fontId="11" numFmtId="0" xfId="0" applyAlignment="1" applyBorder="1" applyFont="1">
      <alignment horizontal="center" readingOrder="0" shrinkToFit="0" vertical="center" wrapText="1"/>
    </xf>
    <xf borderId="134" fillId="0" fontId="12" numFmtId="0" xfId="0" applyAlignment="1" applyBorder="1" applyFont="1">
      <alignment horizontal="center" readingOrder="0" shrinkToFit="0" vertical="center" wrapText="0"/>
    </xf>
    <xf borderId="135" fillId="0" fontId="12" numFmtId="0" xfId="0" applyAlignment="1" applyBorder="1" applyFont="1">
      <alignment horizontal="center" readingOrder="0" shrinkToFit="0" vertical="center" wrapText="0"/>
    </xf>
    <xf borderId="136" fillId="0" fontId="12" numFmtId="0" xfId="0" applyAlignment="1" applyBorder="1" applyFont="1">
      <alignment horizontal="center" vertical="center"/>
    </xf>
    <xf borderId="135" fillId="0" fontId="12" numFmtId="0" xfId="0" applyAlignment="1" applyBorder="1" applyFont="1">
      <alignment horizontal="center" vertical="center"/>
    </xf>
    <xf borderId="2" fillId="0" fontId="12" numFmtId="0" xfId="0" applyAlignment="1" applyBorder="1" applyFont="1">
      <alignment horizontal="center" vertical="center"/>
    </xf>
    <xf borderId="2" fillId="0" fontId="12" numFmtId="0" xfId="0" applyAlignment="1" applyBorder="1" applyFont="1">
      <alignment horizontal="center" readingOrder="0" shrinkToFit="0" vertical="center" wrapText="1"/>
    </xf>
    <xf borderId="137" fillId="0" fontId="12" numFmtId="0" xfId="0" applyAlignment="1" applyBorder="1" applyFont="1">
      <alignment horizontal="center" readingOrder="0" shrinkToFit="0" vertical="center" wrapText="1"/>
    </xf>
    <xf borderId="135" fillId="0" fontId="12" numFmtId="164" xfId="0" applyAlignment="1" applyBorder="1" applyFont="1" applyNumberFormat="1">
      <alignment horizontal="center" shrinkToFit="0" wrapText="1"/>
    </xf>
    <xf borderId="138" fillId="0" fontId="12" numFmtId="0" xfId="0" applyAlignment="1" applyBorder="1" applyFont="1">
      <alignment horizontal="center" readingOrder="0" shrinkToFit="0" vertical="center" wrapText="1"/>
    </xf>
    <xf borderId="135" fillId="0" fontId="12" numFmtId="164" xfId="0" applyAlignment="1" applyBorder="1" applyFont="1" applyNumberFormat="1">
      <alignment horizontal="center" shrinkToFit="0" vertical="center" wrapText="1"/>
    </xf>
    <xf borderId="139" fillId="0" fontId="14" numFmtId="0" xfId="0" applyAlignment="1" applyBorder="1" applyFont="1">
      <alignment horizontal="center" readingOrder="0" shrinkToFit="0" vertical="bottom" wrapText="1"/>
    </xf>
    <xf borderId="140" fillId="0" fontId="12" numFmtId="0" xfId="0" applyAlignment="1" applyBorder="1" applyFont="1">
      <alignment horizontal="center" readingOrder="0" shrinkToFit="0" vertical="center" wrapText="1"/>
    </xf>
    <xf borderId="136" fillId="0" fontId="12" numFmtId="0" xfId="0" applyAlignment="1" applyBorder="1" applyFont="1">
      <alignment horizontal="center" readingOrder="0" shrinkToFit="0" vertical="center" wrapText="1"/>
    </xf>
    <xf borderId="135" fillId="0" fontId="12" numFmtId="0" xfId="0" applyAlignment="1" applyBorder="1" applyFont="1">
      <alignment horizontal="center" readingOrder="0" shrinkToFit="0" vertical="center" wrapText="1"/>
    </xf>
    <xf borderId="30" fillId="0" fontId="12" numFmtId="0" xfId="0" applyAlignment="1" applyBorder="1" applyFont="1">
      <alignment horizontal="center" readingOrder="0" shrinkToFit="0" vertical="center" wrapText="1"/>
    </xf>
    <xf borderId="28" fillId="0" fontId="12" numFmtId="0" xfId="0" applyAlignment="1" applyBorder="1" applyFont="1">
      <alignment horizontal="center" readingOrder="0" shrinkToFit="0" vertical="center" wrapText="1"/>
    </xf>
    <xf borderId="139" fillId="0" fontId="12" numFmtId="0" xfId="0" applyAlignment="1" applyBorder="1" applyFont="1">
      <alignment horizontal="center" readingOrder="0" shrinkToFit="0" vertical="center" wrapText="1"/>
    </xf>
    <xf borderId="141" fillId="0" fontId="12" numFmtId="0" xfId="0" applyAlignment="1" applyBorder="1" applyFont="1">
      <alignment horizontal="center" readingOrder="0" shrinkToFit="0" vertical="center" wrapText="0"/>
    </xf>
    <xf borderId="142" fillId="0" fontId="12" numFmtId="164" xfId="0" applyAlignment="1" applyBorder="1" applyFont="1" applyNumberFormat="1">
      <alignment horizontal="center" shrinkToFit="0" wrapText="1"/>
    </xf>
    <xf borderId="70" fillId="0" fontId="12" numFmtId="0" xfId="0" applyAlignment="1" applyBorder="1" applyFont="1">
      <alignment horizontal="center" readingOrder="0" shrinkToFit="0" vertical="center" wrapText="1"/>
    </xf>
    <xf borderId="143" fillId="0" fontId="12" numFmtId="0" xfId="0" applyAlignment="1" applyBorder="1" applyFont="1">
      <alignment horizontal="center" readingOrder="0" shrinkToFit="0" vertical="center" wrapText="1"/>
    </xf>
    <xf borderId="62" fillId="0" fontId="12" numFmtId="0" xfId="0" applyAlignment="1" applyBorder="1" applyFont="1">
      <alignment horizontal="center" readingOrder="0" shrinkToFit="0" vertical="center" wrapText="1"/>
    </xf>
    <xf borderId="144" fillId="0" fontId="12" numFmtId="0" xfId="0" applyAlignment="1" applyBorder="1" applyFont="1">
      <alignment horizontal="center" readingOrder="0" shrinkToFit="0" vertical="center" wrapText="1"/>
    </xf>
    <xf borderId="142" fillId="0" fontId="12" numFmtId="0" xfId="0" applyAlignment="1" applyBorder="1" applyFont="1">
      <alignment horizontal="center" readingOrder="0" shrinkToFit="0" vertical="center" wrapText="1"/>
    </xf>
    <xf borderId="33" fillId="0" fontId="12" numFmtId="166" xfId="0" applyAlignment="1" applyBorder="1" applyFont="1" applyNumberFormat="1">
      <alignment horizontal="center" vertical="center"/>
    </xf>
    <xf borderId="139" fillId="0" fontId="13" numFmtId="0" xfId="0" applyAlignment="1" applyBorder="1" applyFont="1">
      <alignment horizontal="center" readingOrder="0" shrinkToFit="0" vertical="center" wrapText="1"/>
    </xf>
    <xf borderId="70" fillId="0" fontId="12" numFmtId="164" xfId="0" applyAlignment="1" applyBorder="1" applyFont="1" applyNumberFormat="1">
      <alignment horizontal="center" shrinkToFit="0" vertical="center" wrapText="1"/>
    </xf>
    <xf borderId="62" fillId="25" fontId="12" numFmtId="0" xfId="0" applyAlignment="1" applyBorder="1" applyFill="1" applyFont="1">
      <alignment horizontal="center" readingOrder="0" shrinkToFit="0" vertical="center" wrapText="1"/>
    </xf>
    <xf borderId="139" fillId="0" fontId="15" numFmtId="0" xfId="0" applyAlignment="1" applyBorder="1" applyFont="1">
      <alignment horizontal="center" shrinkToFit="0" wrapText="1"/>
    </xf>
    <xf borderId="33" fillId="3" fontId="12" numFmtId="0" xfId="0" applyAlignment="1" applyBorder="1" applyFont="1">
      <alignment horizontal="center" readingOrder="0" shrinkToFit="0" vertical="center" wrapText="1"/>
    </xf>
    <xf borderId="142" fillId="0" fontId="15" numFmtId="0" xfId="0" applyAlignment="1" applyBorder="1" applyFont="1">
      <alignment horizontal="center" shrinkToFit="0" wrapText="1"/>
    </xf>
    <xf borderId="142" fillId="0" fontId="13" numFmtId="0" xfId="0" applyAlignment="1" applyBorder="1" applyFont="1">
      <alignment horizontal="center" readingOrder="0" shrinkToFit="0" vertical="center" wrapText="1"/>
    </xf>
    <xf borderId="142" fillId="0" fontId="12" numFmtId="9" xfId="0" applyAlignment="1" applyBorder="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139" fillId="0" fontId="12" numFmtId="9" xfId="0" applyAlignment="1" applyBorder="1" applyFont="1" applyNumberFormat="1">
      <alignment horizontal="center" readingOrder="0" shrinkToFit="0" vertical="center" wrapText="1"/>
    </xf>
    <xf borderId="70" fillId="26" fontId="12" numFmtId="165" xfId="0" applyAlignment="1" applyBorder="1" applyFill="1" applyFont="1" applyNumberFormat="1">
      <alignment horizontal="center" readingOrder="0" shrinkToFit="0" vertical="center" wrapText="1"/>
    </xf>
    <xf borderId="33" fillId="5" fontId="12" numFmtId="0" xfId="0" applyAlignment="1" applyBorder="1" applyFont="1">
      <alignment horizontal="center" readingOrder="0" shrinkToFit="0" vertical="center" wrapText="1"/>
    </xf>
    <xf borderId="70" fillId="0" fontId="13" numFmtId="0" xfId="0" applyAlignment="1" applyBorder="1" applyFont="1">
      <alignment horizontal="center" readingOrder="0" shrinkToFit="0" vertical="center" wrapText="1"/>
    </xf>
    <xf borderId="143" fillId="0" fontId="12" numFmtId="9" xfId="0" applyAlignment="1" applyBorder="1" applyFont="1" applyNumberFormat="1">
      <alignment horizontal="center" readingOrder="0" shrinkToFit="0" vertical="center" wrapText="1"/>
    </xf>
    <xf borderId="145" fillId="0" fontId="12" numFmtId="0" xfId="0" applyAlignment="1" applyBorder="1" applyFont="1">
      <alignment horizontal="center" readingOrder="0" shrinkToFit="0" vertical="center" wrapText="0"/>
    </xf>
    <xf borderId="60" fillId="0" fontId="12" numFmtId="0" xfId="0" applyAlignment="1" applyBorder="1" applyFont="1">
      <alignment horizontal="center" readingOrder="0" shrinkToFit="0" vertical="center" wrapText="0"/>
    </xf>
    <xf borderId="60" fillId="0" fontId="12" numFmtId="0" xfId="0" applyAlignment="1" applyBorder="1" applyFont="1">
      <alignment horizontal="center" vertical="center"/>
    </xf>
    <xf borderId="60" fillId="0" fontId="12" numFmtId="164" xfId="0" applyAlignment="1" applyBorder="1" applyFont="1" applyNumberFormat="1">
      <alignment horizontal="center" shrinkToFit="0" vertical="center" wrapText="1"/>
    </xf>
    <xf borderId="70" fillId="0" fontId="12" numFmtId="9" xfId="0" applyAlignment="1" applyBorder="1" applyFont="1" applyNumberFormat="1">
      <alignment horizontal="center" readingOrder="0" shrinkToFit="0" vertical="center" wrapText="1"/>
    </xf>
    <xf borderId="146" fillId="0" fontId="12" numFmtId="0" xfId="0" applyAlignment="1" applyBorder="1" applyFont="1">
      <alignment horizontal="center" readingOrder="0" shrinkToFit="0" vertical="center" wrapText="1"/>
    </xf>
    <xf borderId="35" fillId="5" fontId="12" numFmtId="0" xfId="0" applyAlignment="1" applyBorder="1" applyFont="1">
      <alignment horizontal="center" readingOrder="0" shrinkToFit="0" vertical="center" wrapText="1"/>
    </xf>
    <xf borderId="131" fillId="0" fontId="12" numFmtId="0" xfId="0" applyAlignment="1" applyBorder="1" applyFont="1">
      <alignment horizontal="center" readingOrder="0" shrinkToFit="0" vertical="center" wrapText="1"/>
    </xf>
    <xf borderId="147" fillId="5" fontId="12" numFmtId="0" xfId="0" applyAlignment="1" applyBorder="1" applyFont="1">
      <alignment horizontal="center" readingOrder="0" shrinkToFit="0" vertical="center" wrapText="1"/>
    </xf>
    <xf borderId="148" fillId="0" fontId="12" numFmtId="9" xfId="0" applyAlignment="1" applyBorder="1" applyFont="1" applyNumberFormat="1">
      <alignment horizontal="center" readingOrder="0" shrinkToFit="0" vertical="center" wrapText="1"/>
    </xf>
    <xf borderId="0" fillId="5" fontId="12" numFmtId="0" xfId="0" applyAlignment="1" applyFont="1">
      <alignment horizontal="center" readingOrder="0" shrinkToFit="0" vertical="center" wrapText="1"/>
    </xf>
    <xf borderId="149" fillId="5" fontId="12" numFmtId="0" xfId="0" applyAlignment="1" applyBorder="1" applyFont="1">
      <alignment horizontal="center" readingOrder="0" shrinkToFit="0" vertical="center" wrapText="1"/>
    </xf>
    <xf borderId="150" fillId="0" fontId="12" numFmtId="9" xfId="0" applyAlignment="1" applyBorder="1" applyFont="1" applyNumberFormat="1">
      <alignment horizontal="center" readingOrder="0" shrinkToFit="0" vertical="center" wrapText="1"/>
    </xf>
    <xf borderId="70" fillId="0" fontId="12" numFmtId="164" xfId="0" applyAlignment="1" applyBorder="1" applyFont="1" applyNumberFormat="1">
      <alignment horizontal="center" readingOrder="0" shrinkToFit="0" vertical="center" wrapText="1"/>
    </xf>
    <xf borderId="62" fillId="0" fontId="13" numFmtId="0" xfId="0" applyAlignment="1" applyBorder="1" applyFont="1">
      <alignment horizontal="center" readingOrder="0" shrinkToFit="0" vertical="center" wrapText="1"/>
    </xf>
    <xf borderId="151" fillId="0" fontId="12" numFmtId="9" xfId="0" applyAlignment="1" applyBorder="1" applyFont="1" applyNumberFormat="1">
      <alignment horizontal="center" readingOrder="0" shrinkToFit="0" vertical="center" wrapText="1"/>
    </xf>
    <xf borderId="143" fillId="0" fontId="13" numFmtId="0" xfId="0" applyAlignment="1" applyBorder="1" applyFont="1">
      <alignment horizontal="center" readingOrder="0" shrinkToFit="0" vertical="center" wrapText="1"/>
    </xf>
    <xf borderId="35" fillId="3" fontId="12" numFmtId="0" xfId="0" applyAlignment="1" applyBorder="1" applyFont="1">
      <alignment horizontal="center" readingOrder="0" shrinkToFit="0" vertical="center" wrapText="1"/>
    </xf>
    <xf borderId="131" fillId="0" fontId="13" numFmtId="0" xfId="0" applyAlignment="1" applyBorder="1" applyFont="1">
      <alignment horizontal="center" readingOrder="0" shrinkToFit="0" vertical="center" wrapText="1"/>
    </xf>
    <xf borderId="147" fillId="3" fontId="12" numFmtId="0" xfId="0" applyAlignment="1" applyBorder="1" applyFont="1">
      <alignment horizontal="center" readingOrder="0" shrinkToFit="0" vertical="center" wrapText="1"/>
    </xf>
    <xf borderId="131" fillId="0" fontId="17" numFmtId="0" xfId="0" applyAlignment="1" applyBorder="1" applyFont="1">
      <alignment horizontal="center" readingOrder="0" shrinkToFit="0" vertical="center" wrapText="1"/>
    </xf>
    <xf borderId="148" fillId="0" fontId="13" numFmtId="0" xfId="0" applyAlignment="1" applyBorder="1" applyFont="1">
      <alignment horizontal="center" readingOrder="0" shrinkToFit="0" vertical="center" wrapText="1"/>
    </xf>
    <xf borderId="0" fillId="3" fontId="12" numFmtId="0" xfId="0" applyAlignment="1" applyFont="1">
      <alignment horizontal="center" readingOrder="0" shrinkToFit="0" vertical="center" wrapText="1"/>
    </xf>
    <xf borderId="70" fillId="5" fontId="12" numFmtId="0" xfId="0" applyAlignment="1" applyBorder="1" applyFont="1">
      <alignment horizontal="center" readingOrder="0" shrinkToFit="0" vertical="center" wrapText="1"/>
    </xf>
    <xf borderId="145" fillId="12" fontId="12" numFmtId="0" xfId="0" applyAlignment="1" applyBorder="1" applyFont="1">
      <alignment horizontal="left" readingOrder="0" shrinkToFit="0" vertical="center" wrapText="0"/>
    </xf>
    <xf borderId="60" fillId="12" fontId="12" numFmtId="0" xfId="0" applyAlignment="1" applyBorder="1" applyFont="1">
      <alignment horizontal="left" readingOrder="0" shrinkToFit="0" vertical="center" wrapText="0"/>
    </xf>
    <xf borderId="60" fillId="12" fontId="12" numFmtId="0" xfId="0" applyAlignment="1" applyBorder="1" applyFont="1">
      <alignment horizontal="center" readingOrder="0" shrinkToFit="0" vertical="center" wrapText="1"/>
    </xf>
    <xf borderId="70" fillId="12" fontId="12" numFmtId="0" xfId="0" applyAlignment="1" applyBorder="1" applyFont="1">
      <alignment horizontal="center" readingOrder="0" shrinkToFit="0" vertical="center" wrapText="1"/>
    </xf>
    <xf borderId="33" fillId="12" fontId="12" numFmtId="0" xfId="0" applyAlignment="1" applyBorder="1" applyFont="1">
      <alignment horizontal="center" readingOrder="0" shrinkToFit="0" vertical="center" wrapText="1"/>
    </xf>
    <xf borderId="32" fillId="12" fontId="12" numFmtId="0" xfId="0" applyAlignment="1" applyBorder="1" applyFont="1">
      <alignment horizontal="center" readingOrder="0" shrinkToFit="0" vertical="center" wrapText="1"/>
    </xf>
    <xf borderId="142" fillId="12" fontId="12" numFmtId="0" xfId="0" applyAlignment="1" applyBorder="1" applyFont="1">
      <alignment horizontal="center" readingOrder="0" shrinkToFit="0" vertical="center" wrapText="1"/>
    </xf>
    <xf borderId="62" fillId="12" fontId="12" numFmtId="0" xfId="0" applyAlignment="1" applyBorder="1" applyFont="1">
      <alignment horizontal="center" readingOrder="0" shrinkToFit="0" vertical="center" wrapText="1"/>
    </xf>
    <xf borderId="139" fillId="12" fontId="12" numFmtId="0" xfId="0" applyAlignment="1" applyBorder="1" applyFont="1">
      <alignment horizontal="center" readingOrder="0" shrinkToFit="0" vertical="center" wrapText="1"/>
    </xf>
    <xf borderId="146" fillId="12" fontId="12" numFmtId="0" xfId="0" applyAlignment="1" applyBorder="1" applyFont="1">
      <alignment horizontal="center" readingOrder="0" shrinkToFit="0" vertical="center" wrapText="1"/>
    </xf>
    <xf borderId="35" fillId="12" fontId="12" numFmtId="0" xfId="0" applyAlignment="1" applyBorder="1" applyFont="1">
      <alignment horizontal="center" readingOrder="0" shrinkToFit="0" vertical="center" wrapText="1"/>
    </xf>
    <xf borderId="143" fillId="12" fontId="12" numFmtId="0" xfId="0" applyAlignment="1" applyBorder="1" applyFont="1">
      <alignment horizontal="center" readingOrder="0" shrinkToFit="0" vertical="center" wrapText="1"/>
    </xf>
    <xf borderId="131" fillId="12" fontId="12" numFmtId="0" xfId="0" applyAlignment="1" applyBorder="1" applyFont="1">
      <alignment horizontal="center" readingOrder="0" shrinkToFit="0" vertical="center" wrapText="1"/>
    </xf>
    <xf borderId="147" fillId="12" fontId="12" numFmtId="0" xfId="0" applyAlignment="1" applyBorder="1" applyFont="1">
      <alignment horizontal="center" readingOrder="0" shrinkToFit="0" vertical="center" wrapText="1"/>
    </xf>
    <xf borderId="148" fillId="12" fontId="12" numFmtId="0" xfId="0" applyAlignment="1" applyBorder="1" applyFont="1">
      <alignment horizontal="center" readingOrder="0" shrinkToFit="0" vertical="center" wrapText="1"/>
    </xf>
    <xf borderId="0" fillId="12" fontId="12" numFmtId="0" xfId="0" applyAlignment="1" applyFont="1">
      <alignment horizontal="center" readingOrder="0" shrinkToFit="0" vertical="center" wrapText="1"/>
    </xf>
    <xf borderId="141" fillId="15" fontId="12" numFmtId="0" xfId="0" applyAlignment="1" applyBorder="1" applyFont="1">
      <alignment horizontal="left" readingOrder="0" shrinkToFit="0" vertical="center" wrapText="0"/>
    </xf>
    <xf borderId="32" fillId="15" fontId="12" numFmtId="0" xfId="0" applyAlignment="1" applyBorder="1" applyFont="1">
      <alignment horizontal="left" readingOrder="0" shrinkToFit="0" vertical="center" wrapText="0"/>
    </xf>
    <xf borderId="32" fillId="15" fontId="12" numFmtId="0" xfId="0" applyAlignment="1" applyBorder="1" applyFont="1">
      <alignment horizontal="center" readingOrder="0" shrinkToFit="0" vertical="center" wrapText="1"/>
    </xf>
    <xf borderId="142" fillId="15" fontId="12" numFmtId="0" xfId="0" applyAlignment="1" applyBorder="1" applyFont="1">
      <alignment horizontal="center" readingOrder="0" shrinkToFit="0" vertical="center" wrapText="1"/>
    </xf>
    <xf borderId="139" fillId="15" fontId="12" numFmtId="0" xfId="0" applyAlignment="1" applyBorder="1" applyFont="1">
      <alignment horizontal="center" readingOrder="0" shrinkToFit="0" vertical="center" wrapText="1"/>
    </xf>
    <xf borderId="143" fillId="15" fontId="12" numFmtId="0" xfId="0" applyAlignment="1" applyBorder="1" applyFont="1">
      <alignment horizontal="center" readingOrder="0" shrinkToFit="0" vertical="center" wrapText="1"/>
    </xf>
    <xf borderId="0" fillId="15" fontId="12" numFmtId="0" xfId="0" applyAlignment="1" applyFont="1">
      <alignment horizontal="center" readingOrder="0" shrinkToFit="0" vertical="center" wrapText="1"/>
    </xf>
    <xf borderId="145" fillId="14" fontId="12" numFmtId="0" xfId="0" applyAlignment="1" applyBorder="1" applyFont="1">
      <alignment horizontal="left" readingOrder="0" shrinkToFit="0" vertical="center" wrapText="0"/>
    </xf>
    <xf borderId="32" fillId="14" fontId="12" numFmtId="0" xfId="0" applyAlignment="1" applyBorder="1" applyFont="1">
      <alignment horizontal="center" readingOrder="0" vertical="center"/>
    </xf>
    <xf borderId="142" fillId="14" fontId="12" numFmtId="0" xfId="0" applyAlignment="1" applyBorder="1" applyFont="1">
      <alignment horizontal="center" readingOrder="0" vertical="center"/>
    </xf>
    <xf borderId="62" fillId="14" fontId="12" numFmtId="0" xfId="0" applyAlignment="1" applyBorder="1" applyFont="1">
      <alignment horizontal="center" readingOrder="0" vertical="center"/>
    </xf>
    <xf borderId="139" fillId="14" fontId="12" numFmtId="0" xfId="0" applyAlignment="1" applyBorder="1" applyFont="1">
      <alignment horizontal="center" readingOrder="0" vertical="center"/>
    </xf>
    <xf borderId="33" fillId="14" fontId="12" numFmtId="167" xfId="0" applyAlignment="1" applyBorder="1" applyFont="1" applyNumberFormat="1">
      <alignment horizontal="center" readingOrder="0" vertical="center"/>
    </xf>
    <xf borderId="70" fillId="14" fontId="12" numFmtId="167" xfId="0" applyAlignment="1" applyBorder="1" applyFont="1" applyNumberFormat="1">
      <alignment horizontal="center" readingOrder="0" vertical="center"/>
    </xf>
    <xf borderId="146" fillId="14" fontId="12" numFmtId="167" xfId="0" applyAlignment="1" applyBorder="1" applyFont="1" applyNumberFormat="1">
      <alignment horizontal="center" readingOrder="0" vertical="center"/>
    </xf>
    <xf borderId="35" fillId="14" fontId="12" numFmtId="167" xfId="0" applyAlignment="1" applyBorder="1" applyFont="1" applyNumberFormat="1">
      <alignment horizontal="center" readingOrder="0" vertical="center"/>
    </xf>
    <xf borderId="143" fillId="14" fontId="12" numFmtId="167" xfId="0" applyAlignment="1" applyBorder="1" applyFont="1" applyNumberFormat="1">
      <alignment horizontal="center" readingOrder="0" vertical="center"/>
    </xf>
    <xf borderId="131" fillId="14" fontId="12" numFmtId="167" xfId="0" applyAlignment="1" applyBorder="1" applyFont="1" applyNumberFormat="1">
      <alignment horizontal="center" readingOrder="0" vertical="center"/>
    </xf>
    <xf borderId="147" fillId="14" fontId="12" numFmtId="167" xfId="0" applyAlignment="1" applyBorder="1" applyFont="1" applyNumberFormat="1">
      <alignment horizontal="center" readingOrder="0" vertical="center"/>
    </xf>
    <xf borderId="148" fillId="14" fontId="12" numFmtId="167" xfId="0" applyAlignment="1" applyBorder="1" applyFont="1" applyNumberFormat="1">
      <alignment horizontal="center" readingOrder="0" vertical="center"/>
    </xf>
    <xf borderId="0" fillId="14" fontId="12" numFmtId="167" xfId="0" applyAlignment="1" applyFont="1" applyNumberFormat="1">
      <alignment horizontal="center" readingOrder="0" vertical="center"/>
    </xf>
    <xf borderId="141" fillId="10" fontId="12" numFmtId="0" xfId="0" applyAlignment="1" applyBorder="1" applyFont="1">
      <alignment horizontal="left" readingOrder="0" shrinkToFit="0" vertical="center" wrapText="0"/>
    </xf>
    <xf borderId="32" fillId="10" fontId="12" numFmtId="0" xfId="0" applyAlignment="1" applyBorder="1" applyFont="1">
      <alignment horizontal="left" readingOrder="0" shrinkToFit="0" vertical="center" wrapText="0"/>
    </xf>
    <xf borderId="32" fillId="10" fontId="12" numFmtId="0" xfId="0" applyAlignment="1" applyBorder="1" applyFont="1">
      <alignment horizontal="center" readingOrder="0" shrinkToFit="0" vertical="center" wrapText="1"/>
    </xf>
    <xf borderId="142" fillId="10" fontId="12" numFmtId="0" xfId="0" applyAlignment="1" applyBorder="1" applyFont="1">
      <alignment horizontal="center" readingOrder="0" shrinkToFit="0" vertical="center" wrapText="1"/>
    </xf>
    <xf borderId="62" fillId="10" fontId="12" numFmtId="0" xfId="0" applyAlignment="1" applyBorder="1" applyFont="1">
      <alignment horizontal="center" readingOrder="0" shrinkToFit="0" vertical="center" wrapText="1"/>
    </xf>
    <xf borderId="139" fillId="10" fontId="12" numFmtId="0" xfId="0" applyAlignment="1" applyBorder="1" applyFont="1">
      <alignment horizontal="center" readingOrder="0" shrinkToFit="0" vertical="center" wrapText="1"/>
    </xf>
    <xf borderId="33" fillId="10" fontId="12" numFmtId="167" xfId="0" applyAlignment="1" applyBorder="1" applyFont="1" applyNumberFormat="1">
      <alignment horizontal="center" readingOrder="0" shrinkToFit="0" vertical="center" wrapText="1"/>
    </xf>
    <xf borderId="70" fillId="10" fontId="12" numFmtId="167" xfId="0" applyAlignment="1" applyBorder="1" applyFont="1" applyNumberFormat="1">
      <alignment horizontal="center" readingOrder="0" shrinkToFit="0" vertical="center" wrapText="1"/>
    </xf>
    <xf borderId="139" fillId="10" fontId="12" numFmtId="167" xfId="0" applyAlignment="1" applyBorder="1" applyFont="1" applyNumberFormat="1">
      <alignment horizontal="center" readingOrder="0" shrinkToFit="0" vertical="center" wrapText="1"/>
    </xf>
    <xf borderId="35" fillId="10" fontId="12" numFmtId="167" xfId="0" applyAlignment="1" applyBorder="1" applyFont="1" applyNumberFormat="1">
      <alignment horizontal="center" readingOrder="0" shrinkToFit="0" vertical="center" wrapText="1"/>
    </xf>
    <xf borderId="143" fillId="10" fontId="12" numFmtId="167" xfId="0" applyAlignment="1" applyBorder="1" applyFont="1" applyNumberFormat="1">
      <alignment horizontal="center" readingOrder="0" shrinkToFit="0" vertical="center" wrapText="1"/>
    </xf>
    <xf borderId="0" fillId="10" fontId="12" numFmtId="167" xfId="0" applyAlignment="1" applyFont="1" applyNumberFormat="1">
      <alignment horizontal="center" readingOrder="0" shrinkToFit="0" vertical="center" wrapText="1"/>
    </xf>
    <xf borderId="70" fillId="27" fontId="12" numFmtId="9" xfId="0" applyAlignment="1" applyBorder="1" applyFill="1" applyFont="1" applyNumberFormat="1">
      <alignment horizontal="center" readingOrder="0" shrinkToFit="0" vertical="center" wrapText="1"/>
    </xf>
    <xf borderId="32" fillId="0" fontId="12" numFmtId="164" xfId="0" applyAlignment="1" applyBorder="1" applyFont="1" applyNumberFormat="1">
      <alignment horizontal="center" shrinkToFit="0" vertical="center" wrapText="1"/>
    </xf>
    <xf borderId="62" fillId="13" fontId="12" numFmtId="0" xfId="0" applyAlignment="1" applyBorder="1" applyFont="1">
      <alignment horizontal="center" readingOrder="0" shrinkToFit="0" vertical="center" wrapText="1"/>
    </xf>
    <xf borderId="139" fillId="15" fontId="12" numFmtId="9" xfId="0" applyAlignment="1" applyBorder="1" applyFont="1" applyNumberFormat="1">
      <alignment horizontal="center" readingOrder="0" shrinkToFit="0" vertical="center" wrapText="1"/>
    </xf>
    <xf borderId="139" fillId="27" fontId="12" numFmtId="9" xfId="0" applyAlignment="1" applyBorder="1" applyFont="1" applyNumberFormat="1">
      <alignment horizontal="center" readingOrder="0" shrinkToFit="0" vertical="center" wrapText="1"/>
    </xf>
    <xf borderId="32" fillId="0" fontId="12" numFmtId="164" xfId="0" applyAlignment="1" applyBorder="1" applyFont="1" applyNumberFormat="1">
      <alignment horizontal="center" readingOrder="0" shrinkToFit="0" vertical="center" wrapText="1"/>
    </xf>
    <xf borderId="32" fillId="0" fontId="13" numFmtId="164" xfId="0" applyAlignment="1" applyBorder="1" applyFont="1" applyNumberFormat="1">
      <alignment horizontal="center" shrinkToFit="0" vertical="center" wrapText="1"/>
    </xf>
    <xf borderId="141" fillId="10" fontId="12" numFmtId="0" xfId="0" applyAlignment="1" applyBorder="1" applyFont="1">
      <alignment horizontal="center" readingOrder="0" shrinkToFit="0" vertical="center" wrapText="0"/>
    </xf>
    <xf borderId="139" fillId="0" fontId="12" numFmtId="164" xfId="0" applyAlignment="1" applyBorder="1" applyFont="1" applyNumberFormat="1">
      <alignment horizontal="center" shrinkToFit="0" vertical="center" wrapText="1"/>
    </xf>
    <xf borderId="139" fillId="0" fontId="14" numFmtId="164" xfId="0" applyAlignment="1" applyBorder="1" applyFont="1" applyNumberFormat="1">
      <alignment horizontal="center" shrinkToFit="0" vertical="bottom" wrapText="1"/>
    </xf>
    <xf borderId="63" fillId="0" fontId="12" numFmtId="0" xfId="0" applyAlignment="1" applyBorder="1" applyFont="1">
      <alignment horizontal="center" readingOrder="0" shrinkToFit="0" vertical="center" wrapText="1"/>
    </xf>
    <xf borderId="60" fillId="5" fontId="12" numFmtId="0" xfId="0" applyAlignment="1" applyBorder="1" applyFont="1">
      <alignment horizontal="center" readingOrder="0" shrinkToFit="0" vertical="center" wrapText="1"/>
    </xf>
    <xf borderId="139" fillId="0" fontId="12" numFmtId="9" xfId="0" applyAlignment="1" applyBorder="1" applyFont="1" applyNumberFormat="1">
      <alignment horizontal="center" readingOrder="0" vertical="center"/>
    </xf>
    <xf borderId="60" fillId="0" fontId="12" numFmtId="165" xfId="0" applyAlignment="1" applyBorder="1" applyFont="1" applyNumberFormat="1">
      <alignment horizontal="center" readingOrder="0" shrinkToFit="0" vertical="center" wrapText="1"/>
    </xf>
    <xf borderId="139" fillId="0" fontId="14" numFmtId="165" xfId="0" applyAlignment="1" applyBorder="1" applyFont="1" applyNumberFormat="1">
      <alignment horizontal="center" shrinkToFit="0" vertical="bottom" wrapText="1"/>
    </xf>
    <xf borderId="60" fillId="0" fontId="12" numFmtId="164" xfId="0" applyAlignment="1" applyBorder="1" applyFont="1" applyNumberFormat="1">
      <alignment horizontal="center" readingOrder="0" shrinkToFit="0" vertical="center" wrapText="1"/>
    </xf>
    <xf borderId="147" fillId="0" fontId="12" numFmtId="0" xfId="0" applyAlignment="1" applyBorder="1" applyFont="1">
      <alignment horizontal="center" readingOrder="0" shrinkToFit="0" vertical="center" wrapText="1"/>
    </xf>
    <xf borderId="148" fillId="0" fontId="12" numFmtId="0" xfId="0" applyAlignment="1" applyBorder="1" applyFont="1">
      <alignment horizontal="center" readingOrder="0" shrinkToFit="0" vertical="center" wrapText="1"/>
    </xf>
    <xf borderId="0" fillId="0" fontId="15" numFmtId="0" xfId="0" applyAlignment="1" applyFont="1">
      <alignment horizontal="center" shrinkToFit="0" wrapText="1"/>
    </xf>
    <xf borderId="70" fillId="3" fontId="12" numFmtId="0" xfId="0" applyAlignment="1" applyBorder="1" applyFont="1">
      <alignment horizontal="center" readingOrder="0" shrinkToFit="0" vertical="center" wrapText="1"/>
    </xf>
    <xf borderId="145" fillId="17" fontId="12" numFmtId="0" xfId="0" applyAlignment="1" applyBorder="1" applyFont="1">
      <alignment horizontal="left" readingOrder="0" shrinkToFit="0" vertical="center" wrapText="0"/>
    </xf>
    <xf borderId="63" fillId="17" fontId="12" numFmtId="0" xfId="0" applyAlignment="1" applyBorder="1" applyFont="1">
      <alignment horizontal="center" readingOrder="0" shrinkToFit="0" vertical="center" wrapText="1"/>
    </xf>
    <xf borderId="45" fillId="17" fontId="12" numFmtId="0" xfId="0" applyAlignment="1" applyBorder="1" applyFont="1">
      <alignment horizontal="center" readingOrder="0" shrinkToFit="0" vertical="center" wrapText="1"/>
    </xf>
    <xf borderId="62" fillId="17" fontId="12" numFmtId="0" xfId="0" applyAlignment="1" applyBorder="1" applyFont="1">
      <alignment horizontal="center" readingOrder="0" shrinkToFit="0" vertical="center" wrapText="1"/>
    </xf>
    <xf borderId="139" fillId="17" fontId="12" numFmtId="0" xfId="0" applyAlignment="1" applyBorder="1" applyFont="1">
      <alignment horizontal="center" readingOrder="0" shrinkToFit="0" vertical="center" wrapText="1"/>
    </xf>
    <xf borderId="33" fillId="17" fontId="12" numFmtId="167" xfId="0" applyAlignment="1" applyBorder="1" applyFont="1" applyNumberFormat="1">
      <alignment horizontal="center" readingOrder="0" shrinkToFit="0" vertical="center" wrapText="1"/>
    </xf>
    <xf borderId="70" fillId="17" fontId="12" numFmtId="167" xfId="0" applyAlignment="1" applyBorder="1" applyFont="1" applyNumberFormat="1">
      <alignment horizontal="center" readingOrder="0" shrinkToFit="0" vertical="center" wrapText="1"/>
    </xf>
    <xf borderId="146" fillId="17" fontId="12" numFmtId="167" xfId="0" applyAlignment="1" applyBorder="1" applyFont="1" applyNumberFormat="1">
      <alignment horizontal="center" readingOrder="0" shrinkToFit="0" vertical="center" wrapText="1"/>
    </xf>
    <xf borderId="35" fillId="17" fontId="12" numFmtId="167" xfId="0" applyAlignment="1" applyBorder="1" applyFont="1" applyNumberFormat="1">
      <alignment horizontal="center" readingOrder="0" shrinkToFit="0" vertical="center" wrapText="1"/>
    </xf>
    <xf borderId="143" fillId="17" fontId="12" numFmtId="167" xfId="0" applyAlignment="1" applyBorder="1" applyFont="1" applyNumberFormat="1">
      <alignment horizontal="center" readingOrder="0" shrinkToFit="0" vertical="center" wrapText="1"/>
    </xf>
    <xf borderId="131" fillId="17" fontId="12" numFmtId="167" xfId="0" applyAlignment="1" applyBorder="1" applyFont="1" applyNumberFormat="1">
      <alignment horizontal="center" readingOrder="0" shrinkToFit="0" vertical="center" wrapText="1"/>
    </xf>
    <xf borderId="147" fillId="17" fontId="12" numFmtId="167" xfId="0" applyAlignment="1" applyBorder="1" applyFont="1" applyNumberFormat="1">
      <alignment horizontal="center" readingOrder="0" shrinkToFit="0" vertical="center" wrapText="1"/>
    </xf>
    <xf borderId="148" fillId="17" fontId="12" numFmtId="167" xfId="0" applyAlignment="1" applyBorder="1" applyFont="1" applyNumberFormat="1">
      <alignment horizontal="center" readingOrder="0" shrinkToFit="0" vertical="center" wrapText="1"/>
    </xf>
    <xf borderId="0" fillId="17" fontId="12" numFmtId="167" xfId="0" applyAlignment="1" applyFont="1" applyNumberFormat="1">
      <alignment horizontal="center" readingOrder="0" shrinkToFit="0" vertical="center" wrapText="1"/>
    </xf>
    <xf borderId="33" fillId="15" fontId="12" numFmtId="167" xfId="0" applyAlignment="1" applyBorder="1" applyFont="1" applyNumberFormat="1">
      <alignment horizontal="center" readingOrder="0" shrinkToFit="0" vertical="center" wrapText="1"/>
    </xf>
    <xf borderId="70" fillId="15" fontId="12" numFmtId="167" xfId="0" applyAlignment="1" applyBorder="1" applyFont="1" applyNumberFormat="1">
      <alignment horizontal="center" readingOrder="0" shrinkToFit="0" vertical="center" wrapText="1"/>
    </xf>
    <xf borderId="139" fillId="15" fontId="12" numFmtId="167" xfId="0" applyAlignment="1" applyBorder="1" applyFont="1" applyNumberFormat="1">
      <alignment horizontal="center" readingOrder="0" shrinkToFit="0" vertical="center" wrapText="1"/>
    </xf>
    <xf borderId="143" fillId="15" fontId="12" numFmtId="167" xfId="0" applyAlignment="1" applyBorder="1" applyFont="1" applyNumberFormat="1">
      <alignment horizontal="center" readingOrder="0" shrinkToFit="0" vertical="center" wrapText="1"/>
    </xf>
    <xf borderId="0" fillId="15" fontId="12" numFmtId="167" xfId="0" applyAlignment="1" applyFont="1" applyNumberFormat="1">
      <alignment horizontal="center" readingOrder="0" shrinkToFit="0" vertical="center" wrapText="1"/>
    </xf>
    <xf borderId="145" fillId="16" fontId="12" numFmtId="0" xfId="0" applyAlignment="1" applyBorder="1" applyFont="1">
      <alignment horizontal="left" readingOrder="0" shrinkToFit="0" vertical="center" wrapText="0"/>
    </xf>
    <xf borderId="63" fillId="16" fontId="12" numFmtId="0" xfId="0" applyAlignment="1" applyBorder="1" applyFont="1">
      <alignment horizontal="center" readingOrder="0" shrinkToFit="0" vertical="center" wrapText="1"/>
    </xf>
    <xf borderId="45" fillId="16" fontId="12" numFmtId="0" xfId="0" applyAlignment="1" applyBorder="1" applyFont="1">
      <alignment horizontal="center" readingOrder="0" shrinkToFit="0" vertical="center" wrapText="1"/>
    </xf>
    <xf borderId="62" fillId="16" fontId="12" numFmtId="0" xfId="0" applyAlignment="1" applyBorder="1" applyFont="1">
      <alignment horizontal="center" readingOrder="0" shrinkToFit="0" vertical="center" wrapText="1"/>
    </xf>
    <xf borderId="139" fillId="16" fontId="12" numFmtId="0" xfId="0" applyAlignment="1" applyBorder="1" applyFont="1">
      <alignment horizontal="center" readingOrder="0" shrinkToFit="0" vertical="center" wrapText="1"/>
    </xf>
    <xf borderId="33" fillId="16" fontId="12" numFmtId="167" xfId="0" applyAlignment="1" applyBorder="1" applyFont="1" applyNumberFormat="1">
      <alignment horizontal="center" readingOrder="0" shrinkToFit="0" vertical="center" wrapText="1"/>
    </xf>
    <xf borderId="70" fillId="16" fontId="12" numFmtId="167" xfId="0" applyAlignment="1" applyBorder="1" applyFont="1" applyNumberFormat="1">
      <alignment horizontal="center" readingOrder="0" shrinkToFit="0" vertical="center" wrapText="1"/>
    </xf>
    <xf borderId="146" fillId="16" fontId="12" numFmtId="167" xfId="0" applyAlignment="1" applyBorder="1" applyFont="1" applyNumberFormat="1">
      <alignment horizontal="center" readingOrder="0" shrinkToFit="0" vertical="center" wrapText="1"/>
    </xf>
    <xf borderId="35" fillId="16" fontId="12" numFmtId="167" xfId="0" applyAlignment="1" applyBorder="1" applyFont="1" applyNumberFormat="1">
      <alignment horizontal="center" readingOrder="0" shrinkToFit="0" vertical="center" wrapText="1"/>
    </xf>
    <xf borderId="143" fillId="16" fontId="12" numFmtId="167" xfId="0" applyAlignment="1" applyBorder="1" applyFont="1" applyNumberFormat="1">
      <alignment horizontal="center" readingOrder="0" shrinkToFit="0" vertical="center" wrapText="1"/>
    </xf>
    <xf borderId="131" fillId="16" fontId="12" numFmtId="167" xfId="0" applyAlignment="1" applyBorder="1" applyFont="1" applyNumberFormat="1">
      <alignment horizontal="center" readingOrder="0" shrinkToFit="0" vertical="center" wrapText="1"/>
    </xf>
    <xf borderId="147" fillId="16" fontId="12" numFmtId="167" xfId="0" applyAlignment="1" applyBorder="1" applyFont="1" applyNumberFormat="1">
      <alignment horizontal="center" readingOrder="0" shrinkToFit="0" vertical="center" wrapText="1"/>
    </xf>
    <xf borderId="148" fillId="16" fontId="12" numFmtId="167" xfId="0" applyAlignment="1" applyBorder="1" applyFont="1" applyNumberFormat="1">
      <alignment horizontal="center" readingOrder="0" shrinkToFit="0" vertical="center" wrapText="1"/>
    </xf>
    <xf borderId="0" fillId="16" fontId="12" numFmtId="167" xfId="0" applyAlignment="1" applyFont="1" applyNumberFormat="1">
      <alignment horizontal="center" readingOrder="0" shrinkToFit="0" vertical="center" wrapText="1"/>
    </xf>
    <xf borderId="145" fillId="15" fontId="12" numFmtId="0" xfId="0" applyAlignment="1" applyBorder="1" applyFont="1">
      <alignment horizontal="left" readingOrder="0" shrinkToFit="0" vertical="center" wrapText="0"/>
    </xf>
    <xf borderId="146" fillId="15" fontId="12" numFmtId="167" xfId="0" applyAlignment="1" applyBorder="1" applyFont="1" applyNumberFormat="1">
      <alignment horizontal="center" readingOrder="0" shrinkToFit="0" vertical="center" wrapText="1"/>
    </xf>
    <xf borderId="35" fillId="15" fontId="12" numFmtId="167" xfId="0" applyAlignment="1" applyBorder="1" applyFont="1" applyNumberFormat="1">
      <alignment horizontal="center" readingOrder="0" shrinkToFit="0" vertical="center" wrapText="1"/>
    </xf>
    <xf borderId="152" fillId="15" fontId="12" numFmtId="167" xfId="0" applyAlignment="1" applyBorder="1" applyFont="1" applyNumberFormat="1">
      <alignment horizontal="center" readingOrder="0" shrinkToFit="0" vertical="center" wrapText="1"/>
    </xf>
    <xf borderId="145" fillId="18" fontId="12" numFmtId="0" xfId="0" applyAlignment="1" applyBorder="1" applyFont="1">
      <alignment horizontal="left" readingOrder="0" shrinkToFit="0" vertical="center" wrapText="0"/>
    </xf>
    <xf borderId="139" fillId="18" fontId="12" numFmtId="0" xfId="0" applyAlignment="1" applyBorder="1" applyFont="1">
      <alignment horizontal="center" readingOrder="0" shrinkToFit="0" vertical="center" wrapText="1"/>
    </xf>
    <xf borderId="149" fillId="18" fontId="12" numFmtId="0" xfId="0" applyAlignment="1" applyBorder="1" applyFont="1">
      <alignment horizontal="center" readingOrder="0" shrinkToFit="0" vertical="center" wrapText="1"/>
    </xf>
    <xf borderId="146" fillId="18" fontId="12" numFmtId="0" xfId="0" applyAlignment="1" applyBorder="1" applyFont="1">
      <alignment horizontal="center" readingOrder="0" shrinkToFit="0" vertical="center" wrapText="1"/>
    </xf>
    <xf borderId="143" fillId="18" fontId="12" numFmtId="0" xfId="0" applyAlignment="1" applyBorder="1" applyFont="1">
      <alignment horizontal="center" readingOrder="0" shrinkToFit="0" vertical="center" wrapText="1"/>
    </xf>
    <xf borderId="131" fillId="18" fontId="12" numFmtId="0" xfId="0" applyAlignment="1" applyBorder="1" applyFont="1">
      <alignment horizontal="center" readingOrder="0" shrinkToFit="0" vertical="center" wrapText="1"/>
    </xf>
    <xf borderId="147" fillId="18" fontId="12" numFmtId="0" xfId="0" applyAlignment="1" applyBorder="1" applyFont="1">
      <alignment horizontal="center" readingOrder="0" shrinkToFit="0" vertical="center" wrapText="1"/>
    </xf>
    <xf borderId="148" fillId="18" fontId="12" numFmtId="0" xfId="0" applyAlignment="1" applyBorder="1" applyFont="1">
      <alignment horizontal="center" readingOrder="0" shrinkToFit="0" vertical="center" wrapText="1"/>
    </xf>
    <xf borderId="0" fillId="18" fontId="12" numFmtId="0" xfId="0" applyAlignment="1" applyFont="1">
      <alignment horizontal="center" readingOrder="0" shrinkToFit="0" vertical="center" wrapText="1"/>
    </xf>
    <xf borderId="141" fillId="19" fontId="12" numFmtId="0" xfId="0" applyAlignment="1" applyBorder="1" applyFont="1">
      <alignment horizontal="left" readingOrder="0" shrinkToFit="0" vertical="center" wrapText="0"/>
    </xf>
    <xf borderId="32" fillId="19" fontId="12" numFmtId="0" xfId="0" applyAlignment="1" applyBorder="1" applyFont="1">
      <alignment horizontal="left" readingOrder="0" shrinkToFit="0" vertical="center" wrapText="0"/>
    </xf>
    <xf borderId="32" fillId="19" fontId="12" numFmtId="0" xfId="0" applyAlignment="1" applyBorder="1" applyFont="1">
      <alignment horizontal="center" readingOrder="0" shrinkToFit="0" vertical="center" wrapText="1"/>
    </xf>
    <xf borderId="139" fillId="19" fontId="12" numFmtId="0" xfId="0" applyAlignment="1" applyBorder="1" applyFont="1">
      <alignment horizontal="center" readingOrder="0" shrinkToFit="0" vertical="center" wrapText="1"/>
    </xf>
    <xf borderId="142" fillId="19" fontId="12" numFmtId="0" xfId="0" applyAlignment="1" applyBorder="1" applyFont="1">
      <alignment horizontal="center" readingOrder="0" shrinkToFit="0" vertical="center" wrapText="1"/>
    </xf>
    <xf borderId="62" fillId="19" fontId="12" numFmtId="0" xfId="0" applyAlignment="1" applyBorder="1" applyFont="1">
      <alignment horizontal="center" readingOrder="0" shrinkToFit="0" vertical="center" wrapText="1"/>
    </xf>
    <xf borderId="33" fillId="19" fontId="12" numFmtId="167" xfId="0" applyAlignment="1" applyBorder="1" applyFont="1" applyNumberFormat="1">
      <alignment horizontal="center" readingOrder="0" shrinkToFit="0" vertical="center" wrapText="1"/>
    </xf>
    <xf borderId="32" fillId="19" fontId="12" numFmtId="167" xfId="0" applyAlignment="1" applyBorder="1" applyFont="1" applyNumberFormat="1">
      <alignment horizontal="center" readingOrder="0" shrinkToFit="0" vertical="center" wrapText="1"/>
    </xf>
    <xf borderId="70" fillId="19" fontId="12" numFmtId="167" xfId="0" applyAlignment="1" applyBorder="1" applyFont="1" applyNumberFormat="1">
      <alignment horizontal="center" readingOrder="0" shrinkToFit="0" vertical="center" wrapText="1"/>
    </xf>
    <xf borderId="63" fillId="19" fontId="12" numFmtId="0" xfId="0" applyAlignment="1" applyBorder="1" applyFont="1">
      <alignment horizontal="center" readingOrder="0" shrinkToFit="0" vertical="center" wrapText="1"/>
    </xf>
    <xf borderId="139" fillId="19" fontId="12" numFmtId="167" xfId="0" applyAlignment="1" applyBorder="1" applyFont="1" applyNumberFormat="1">
      <alignment horizontal="center" readingOrder="0" shrinkToFit="0" vertical="center" wrapText="1"/>
    </xf>
    <xf borderId="143" fillId="19" fontId="12" numFmtId="167" xfId="0" applyAlignment="1" applyBorder="1" applyFont="1" applyNumberFormat="1">
      <alignment horizontal="center" readingOrder="0" shrinkToFit="0" vertical="center" wrapText="1"/>
    </xf>
    <xf borderId="131" fillId="19" fontId="12" numFmtId="167" xfId="0" applyAlignment="1" applyBorder="1" applyFont="1" applyNumberFormat="1">
      <alignment horizontal="center" readingOrder="0" shrinkToFit="0" vertical="center" wrapText="1"/>
    </xf>
    <xf borderId="148" fillId="19" fontId="12" numFmtId="167" xfId="0" applyAlignment="1" applyBorder="1" applyFont="1" applyNumberFormat="1">
      <alignment horizontal="center" readingOrder="0" shrinkToFit="0" vertical="center" wrapText="1"/>
    </xf>
    <xf borderId="0" fillId="19" fontId="12" numFmtId="167" xfId="0" applyAlignment="1" applyFont="1" applyNumberFormat="1">
      <alignment horizontal="center" readingOrder="0" shrinkToFit="0" vertical="center" wrapText="1"/>
    </xf>
    <xf borderId="141" fillId="22" fontId="12" numFmtId="0" xfId="0" applyAlignment="1" applyBorder="1" applyFont="1">
      <alignment horizontal="left" readingOrder="0" shrinkToFit="0" vertical="center" wrapText="0"/>
    </xf>
    <xf borderId="32" fillId="22" fontId="12" numFmtId="0" xfId="0" applyAlignment="1" applyBorder="1" applyFont="1">
      <alignment horizontal="left" readingOrder="0" shrinkToFit="0" vertical="center" wrapText="0"/>
    </xf>
    <xf borderId="32" fillId="22" fontId="12" numFmtId="0" xfId="0" applyAlignment="1" applyBorder="1" applyFont="1">
      <alignment horizontal="center" readingOrder="0" shrinkToFit="0" vertical="center" wrapText="1"/>
    </xf>
    <xf borderId="139" fillId="22" fontId="12" numFmtId="0" xfId="0" applyAlignment="1" applyBorder="1" applyFont="1">
      <alignment horizontal="center" readingOrder="0" shrinkToFit="0" vertical="center" wrapText="1"/>
    </xf>
    <xf borderId="142" fillId="22" fontId="12" numFmtId="0" xfId="0" applyAlignment="1" applyBorder="1" applyFont="1">
      <alignment horizontal="center" readingOrder="0" shrinkToFit="0" vertical="center" wrapText="1"/>
    </xf>
    <xf borderId="62" fillId="22" fontId="12" numFmtId="0" xfId="0" applyAlignment="1" applyBorder="1" applyFont="1">
      <alignment horizontal="center" readingOrder="0" shrinkToFit="0" vertical="center" wrapText="1"/>
    </xf>
    <xf borderId="33" fillId="22" fontId="12" numFmtId="167" xfId="0" applyAlignment="1" applyBorder="1" applyFont="1" applyNumberFormat="1">
      <alignment horizontal="center" readingOrder="0" shrinkToFit="0" vertical="center" wrapText="1"/>
    </xf>
    <xf borderId="32" fillId="22" fontId="12" numFmtId="167" xfId="0" applyAlignment="1" applyBorder="1" applyFont="1" applyNumberFormat="1">
      <alignment horizontal="center" readingOrder="0" shrinkToFit="0" vertical="center" wrapText="1"/>
    </xf>
    <xf borderId="70" fillId="22" fontId="12" numFmtId="167" xfId="0" applyAlignment="1" applyBorder="1" applyFont="1" applyNumberFormat="1">
      <alignment horizontal="center" readingOrder="0" shrinkToFit="0" vertical="center" wrapText="1"/>
    </xf>
    <xf borderId="63" fillId="22" fontId="12" numFmtId="0" xfId="0" applyAlignment="1" applyBorder="1" applyFont="1">
      <alignment horizontal="center" readingOrder="0" shrinkToFit="0" vertical="center" wrapText="1"/>
    </xf>
    <xf borderId="139" fillId="22" fontId="12" numFmtId="167" xfId="0" applyAlignment="1" applyBorder="1" applyFont="1" applyNumberFormat="1">
      <alignment horizontal="center" readingOrder="0" shrinkToFit="0" vertical="center" wrapText="1"/>
    </xf>
    <xf borderId="143" fillId="22" fontId="12" numFmtId="167" xfId="0" applyAlignment="1" applyBorder="1" applyFont="1" applyNumberFormat="1">
      <alignment horizontal="center" readingOrder="0" shrinkToFit="0" vertical="center" wrapText="1"/>
    </xf>
    <xf borderId="0" fillId="22" fontId="12" numFmtId="167" xfId="0" applyAlignment="1" applyFont="1" applyNumberFormat="1">
      <alignment horizontal="center" readingOrder="0" shrinkToFit="0" vertical="center" wrapText="1"/>
    </xf>
    <xf borderId="141" fillId="21" fontId="12" numFmtId="0" xfId="0" applyAlignment="1" applyBorder="1" applyFont="1">
      <alignment horizontal="left" readingOrder="0" shrinkToFit="0" vertical="center" wrapText="0"/>
    </xf>
    <xf borderId="32" fillId="21" fontId="12" numFmtId="0" xfId="0" applyAlignment="1" applyBorder="1" applyFont="1">
      <alignment horizontal="left" readingOrder="0" shrinkToFit="0" vertical="center" wrapText="0"/>
    </xf>
    <xf borderId="32" fillId="21" fontId="12" numFmtId="0" xfId="0" applyAlignment="1" applyBorder="1" applyFont="1">
      <alignment horizontal="center" readingOrder="0" shrinkToFit="0" vertical="center" wrapText="1"/>
    </xf>
    <xf borderId="139" fillId="21" fontId="12" numFmtId="0" xfId="0" applyAlignment="1" applyBorder="1" applyFont="1">
      <alignment horizontal="center" readingOrder="0" shrinkToFit="0" vertical="center" wrapText="1"/>
    </xf>
    <xf borderId="142" fillId="21" fontId="12" numFmtId="0" xfId="0" applyAlignment="1" applyBorder="1" applyFont="1">
      <alignment horizontal="center" readingOrder="0" shrinkToFit="0" vertical="center" wrapText="1"/>
    </xf>
    <xf borderId="62" fillId="21" fontId="12" numFmtId="0" xfId="0" applyAlignment="1" applyBorder="1" applyFont="1">
      <alignment horizontal="center" readingOrder="0" shrinkToFit="0" vertical="center" wrapText="1"/>
    </xf>
    <xf borderId="67" fillId="21" fontId="12" numFmtId="167" xfId="0" applyAlignment="1" applyBorder="1" applyFont="1" applyNumberFormat="1">
      <alignment horizontal="center" readingOrder="0" shrinkToFit="0" vertical="center" wrapText="1"/>
    </xf>
    <xf borderId="70" fillId="21" fontId="12" numFmtId="167" xfId="0" applyAlignment="1" applyBorder="1" applyFont="1" applyNumberFormat="1">
      <alignment horizontal="center" readingOrder="0" shrinkToFit="0" vertical="center" wrapText="1"/>
    </xf>
    <xf borderId="33" fillId="21" fontId="12" numFmtId="167" xfId="0" applyAlignment="1" applyBorder="1" applyFont="1" applyNumberFormat="1">
      <alignment horizontal="center" readingOrder="0" shrinkToFit="0" vertical="center" wrapText="1"/>
    </xf>
    <xf borderId="139" fillId="21" fontId="12" numFmtId="167" xfId="0" applyAlignment="1" applyBorder="1" applyFont="1" applyNumberFormat="1">
      <alignment horizontal="center" readingOrder="0" shrinkToFit="0" vertical="center" wrapText="1"/>
    </xf>
    <xf borderId="142" fillId="21" fontId="12" numFmtId="167" xfId="0" applyAlignment="1" applyBorder="1" applyFont="1" applyNumberFormat="1">
      <alignment horizontal="center" readingOrder="0" shrinkToFit="0" vertical="center" wrapText="1"/>
    </xf>
    <xf borderId="0" fillId="21" fontId="12" numFmtId="167" xfId="0" applyAlignment="1" applyFont="1" applyNumberFormat="1">
      <alignment horizontal="center" readingOrder="0" shrinkToFit="0" vertical="center" wrapText="1"/>
    </xf>
    <xf borderId="141" fillId="20" fontId="12" numFmtId="0" xfId="0" applyAlignment="1" applyBorder="1" applyFont="1">
      <alignment horizontal="left" readingOrder="0" shrinkToFit="0" vertical="center" wrapText="0"/>
    </xf>
    <xf borderId="32" fillId="20" fontId="12" numFmtId="0" xfId="0" applyAlignment="1" applyBorder="1" applyFont="1">
      <alignment horizontal="left" readingOrder="0" shrinkToFit="0" vertical="center" wrapText="0"/>
    </xf>
    <xf borderId="32" fillId="20" fontId="12" numFmtId="0" xfId="0" applyAlignment="1" applyBorder="1" applyFont="1">
      <alignment horizontal="center" readingOrder="0" shrinkToFit="0" vertical="center" wrapText="1"/>
    </xf>
    <xf borderId="139" fillId="20" fontId="12" numFmtId="0" xfId="0" applyAlignment="1" applyBorder="1" applyFont="1">
      <alignment horizontal="center" readingOrder="0" shrinkToFit="0" vertical="center" wrapText="1"/>
    </xf>
    <xf borderId="142" fillId="20" fontId="12" numFmtId="0" xfId="0" applyAlignment="1" applyBorder="1" applyFont="1">
      <alignment horizontal="center" readingOrder="0" shrinkToFit="0" vertical="center" wrapText="1"/>
    </xf>
    <xf borderId="62" fillId="20" fontId="12" numFmtId="0" xfId="0" applyAlignment="1" applyBorder="1" applyFont="1">
      <alignment horizontal="center" readingOrder="0" shrinkToFit="0" vertical="center" wrapText="1"/>
    </xf>
    <xf borderId="33" fillId="20" fontId="12" numFmtId="167" xfId="0" applyAlignment="1" applyBorder="1" applyFont="1" applyNumberFormat="1">
      <alignment horizontal="center" readingOrder="0" shrinkToFit="0" vertical="center" wrapText="1"/>
    </xf>
    <xf borderId="70" fillId="20" fontId="12" numFmtId="167" xfId="0" applyAlignment="1" applyBorder="1" applyFont="1" applyNumberFormat="1">
      <alignment horizontal="center" readingOrder="0" shrinkToFit="0" vertical="center" wrapText="1"/>
    </xf>
    <xf borderId="139" fillId="20" fontId="12" numFmtId="167" xfId="0" applyAlignment="1" applyBorder="1" applyFont="1" applyNumberFormat="1">
      <alignment horizontal="center" readingOrder="0" shrinkToFit="0" vertical="center" wrapText="1"/>
    </xf>
    <xf borderId="142" fillId="20" fontId="12" numFmtId="167" xfId="0" applyAlignment="1" applyBorder="1" applyFont="1" applyNumberFormat="1">
      <alignment horizontal="center" readingOrder="0" shrinkToFit="0" vertical="center" wrapText="1"/>
    </xf>
    <xf borderId="0" fillId="20" fontId="12" numFmtId="167" xfId="0" applyAlignment="1" applyFont="1" applyNumberFormat="1">
      <alignment horizontal="center" readingOrder="0" shrinkToFit="0" vertical="center" wrapText="1"/>
    </xf>
    <xf borderId="142" fillId="15" fontId="12" numFmtId="167" xfId="0" applyAlignment="1" applyBorder="1" applyFont="1" applyNumberFormat="1">
      <alignment horizontal="center" readingOrder="0" shrinkToFit="0" vertical="center" wrapText="1"/>
    </xf>
    <xf borderId="141" fillId="14" fontId="12" numFmtId="0" xfId="0" applyAlignment="1" applyBorder="1" applyFont="1">
      <alignment horizontal="left" readingOrder="0" shrinkToFit="0" vertical="center" wrapText="0"/>
    </xf>
    <xf borderId="32" fillId="14" fontId="12" numFmtId="0" xfId="0" applyAlignment="1" applyBorder="1" applyFont="1">
      <alignment horizontal="left" readingOrder="0" shrinkToFit="0" vertical="center" wrapText="0"/>
    </xf>
    <xf borderId="139" fillId="14" fontId="12" numFmtId="0" xfId="0" applyAlignment="1" applyBorder="1" applyFont="1">
      <alignment horizontal="center" readingOrder="0" shrinkToFit="0" vertical="center" wrapText="1"/>
    </xf>
    <xf borderId="142" fillId="14" fontId="12" numFmtId="0" xfId="0" applyAlignment="1" applyBorder="1" applyFont="1">
      <alignment horizontal="center" readingOrder="0" shrinkToFit="0" vertical="center" wrapText="1"/>
    </xf>
    <xf borderId="32" fillId="14" fontId="12" numFmtId="0" xfId="0" applyAlignment="1" applyBorder="1" applyFont="1">
      <alignment horizontal="center" readingOrder="0" shrinkToFit="0" vertical="center" wrapText="1"/>
    </xf>
    <xf borderId="62" fillId="14" fontId="12" numFmtId="0" xfId="0" applyAlignment="1" applyBorder="1" applyFont="1">
      <alignment horizontal="center" readingOrder="0" shrinkToFit="0" vertical="center" wrapText="1"/>
    </xf>
    <xf borderId="33" fillId="14" fontId="12" numFmtId="167" xfId="0" applyAlignment="1" applyBorder="1" applyFont="1" applyNumberFormat="1">
      <alignment horizontal="center" readingOrder="0" shrinkToFit="0" vertical="center" wrapText="1"/>
    </xf>
    <xf borderId="70" fillId="14" fontId="12" numFmtId="167" xfId="0" applyAlignment="1" applyBorder="1" applyFont="1" applyNumberFormat="1">
      <alignment horizontal="center" readingOrder="0" shrinkToFit="0" vertical="center" wrapText="1"/>
    </xf>
    <xf borderId="139" fillId="14" fontId="12" numFmtId="167" xfId="0" applyAlignment="1" applyBorder="1" applyFont="1" applyNumberFormat="1">
      <alignment horizontal="center" readingOrder="0" shrinkToFit="0" vertical="center" wrapText="1"/>
    </xf>
    <xf borderId="142" fillId="14" fontId="12" numFmtId="167" xfId="0" applyAlignment="1" applyBorder="1" applyFont="1" applyNumberFormat="1">
      <alignment horizontal="center" readingOrder="0" shrinkToFit="0" vertical="center" wrapText="1"/>
    </xf>
    <xf borderId="0" fillId="14" fontId="12" numFmtId="167" xfId="0" applyAlignment="1" applyFont="1" applyNumberFormat="1">
      <alignment horizontal="center" readingOrder="0" shrinkToFit="0" vertical="center" wrapText="1"/>
    </xf>
    <xf borderId="141" fillId="17" fontId="12" numFmtId="0" xfId="0" applyAlignment="1" applyBorder="1" applyFont="1">
      <alignment horizontal="left" readingOrder="0" shrinkToFit="0" vertical="center" wrapText="0"/>
    </xf>
    <xf borderId="32" fillId="17" fontId="12" numFmtId="0" xfId="0" applyAlignment="1" applyBorder="1" applyFont="1">
      <alignment horizontal="left" readingOrder="0" shrinkToFit="0" vertical="center" wrapText="0"/>
    </xf>
    <xf borderId="68" fillId="17" fontId="12" numFmtId="0" xfId="0" applyAlignment="1" applyBorder="1" applyFont="1">
      <alignment horizontal="center" readingOrder="0" shrinkToFit="0" vertical="center" wrapText="1"/>
    </xf>
    <xf borderId="39" fillId="17" fontId="12" numFmtId="0" xfId="0" applyAlignment="1" applyBorder="1" applyFont="1">
      <alignment horizontal="center" readingOrder="0" shrinkToFit="0" vertical="center" wrapText="1"/>
    </xf>
    <xf borderId="142" fillId="17" fontId="12" numFmtId="0" xfId="0" applyAlignment="1" applyBorder="1" applyFont="1">
      <alignment horizontal="center" readingOrder="0" shrinkToFit="0" vertical="center" wrapText="1"/>
    </xf>
    <xf borderId="56" fillId="17" fontId="12" numFmtId="0" xfId="0" applyAlignment="1" applyBorder="1" applyFont="1">
      <alignment horizontal="center" readingOrder="0" shrinkToFit="0" vertical="center" wrapText="1"/>
    </xf>
    <xf borderId="139" fillId="17" fontId="12" numFmtId="167" xfId="0" applyAlignment="1" applyBorder="1" applyFont="1" applyNumberFormat="1">
      <alignment horizontal="center" readingOrder="0" shrinkToFit="0" vertical="center" wrapText="1"/>
    </xf>
    <xf borderId="142" fillId="17" fontId="12" numFmtId="167" xfId="0" applyAlignment="1" applyBorder="1" applyFont="1" applyNumberFormat="1">
      <alignment horizontal="center" readingOrder="0" shrinkToFit="0" vertical="center" wrapText="1"/>
    </xf>
    <xf borderId="141" fillId="23" fontId="12" numFmtId="0" xfId="0" applyAlignment="1" applyBorder="1" applyFont="1">
      <alignment horizontal="left" readingOrder="0" shrinkToFit="0" vertical="center" wrapText="0"/>
    </xf>
    <xf borderId="32" fillId="23" fontId="12" numFmtId="0" xfId="0" applyAlignment="1" applyBorder="1" applyFont="1">
      <alignment horizontal="left" readingOrder="0" shrinkToFit="0" vertical="center" wrapText="0"/>
    </xf>
    <xf borderId="139" fillId="23" fontId="12" numFmtId="0" xfId="0" applyAlignment="1" applyBorder="1" applyFont="1">
      <alignment horizontal="center" readingOrder="0" shrinkToFit="0" vertical="center" wrapText="1"/>
    </xf>
    <xf borderId="142" fillId="23" fontId="12" numFmtId="0" xfId="0" applyAlignment="1" applyBorder="1" applyFont="1">
      <alignment horizontal="center" readingOrder="0" shrinkToFit="0" vertical="center" wrapText="1"/>
    </xf>
    <xf borderId="63" fillId="23" fontId="12" numFmtId="0" xfId="0" applyAlignment="1" applyBorder="1" applyFont="1">
      <alignment horizontal="center" readingOrder="0" shrinkToFit="0" vertical="center" wrapText="1"/>
    </xf>
    <xf borderId="33" fillId="23" fontId="12" numFmtId="167" xfId="0" applyAlignment="1" applyBorder="1" applyFont="1" applyNumberFormat="1">
      <alignment horizontal="center" readingOrder="0" shrinkToFit="0" vertical="center" wrapText="1"/>
    </xf>
    <xf borderId="70" fillId="23" fontId="12" numFmtId="167" xfId="0" applyAlignment="1" applyBorder="1" applyFont="1" applyNumberFormat="1">
      <alignment horizontal="center" readingOrder="0" shrinkToFit="0" vertical="center" wrapText="1"/>
    </xf>
    <xf borderId="139" fillId="23" fontId="12" numFmtId="167" xfId="0" applyAlignment="1" applyBorder="1" applyFont="1" applyNumberFormat="1">
      <alignment horizontal="center" readingOrder="0" shrinkToFit="0" vertical="center" wrapText="1"/>
    </xf>
    <xf borderId="45" fillId="23" fontId="12" numFmtId="167" xfId="0" applyAlignment="1" applyBorder="1" applyFont="1" applyNumberFormat="1">
      <alignment horizontal="center" readingOrder="0" shrinkToFit="0" vertical="center" wrapText="1"/>
    </xf>
    <xf borderId="142" fillId="23" fontId="12" numFmtId="167" xfId="0" applyAlignment="1" applyBorder="1" applyFont="1" applyNumberFormat="1">
      <alignment horizontal="center" readingOrder="0" shrinkToFit="0" vertical="center" wrapText="1"/>
    </xf>
    <xf borderId="0" fillId="23" fontId="12" numFmtId="167" xfId="0" applyAlignment="1" applyFont="1" applyNumberFormat="1">
      <alignment horizontal="center" readingOrder="0" shrinkToFit="0" vertical="center" wrapText="1"/>
    </xf>
    <xf borderId="63" fillId="14" fontId="12" numFmtId="0" xfId="0" applyAlignment="1" applyBorder="1" applyFont="1">
      <alignment horizontal="center" readingOrder="0" shrinkToFit="0" vertical="center" wrapText="1"/>
    </xf>
    <xf borderId="150" fillId="15" fontId="12" numFmtId="0" xfId="0" applyAlignment="1" applyBorder="1" applyFont="1">
      <alignment horizontal="center" readingOrder="0" shrinkToFit="0" vertical="center" wrapText="1"/>
    </xf>
    <xf borderId="153" fillId="15" fontId="12" numFmtId="0" xfId="0" applyAlignment="1" applyBorder="1" applyFont="1">
      <alignment horizontal="center" readingOrder="0" shrinkToFit="0" vertical="center" wrapText="1"/>
    </xf>
    <xf borderId="0" fillId="0" fontId="11" numFmtId="168" xfId="0" applyAlignment="1" applyFont="1" applyNumberFormat="1">
      <alignment horizontal="center" readingOrder="0" shrinkToFit="0" vertical="center" wrapText="1"/>
    </xf>
    <xf borderId="124" fillId="3" fontId="8" numFmtId="0" xfId="0" applyAlignment="1" applyBorder="1" applyFont="1">
      <alignment horizontal="center" readingOrder="0" shrinkToFit="0" vertical="center" wrapText="1"/>
    </xf>
    <xf borderId="0" fillId="3" fontId="8" numFmtId="0" xfId="0" applyAlignment="1" applyFont="1">
      <alignment horizontal="center" readingOrder="0" shrinkToFit="0" vertical="center" wrapText="1"/>
    </xf>
    <xf borderId="121" fillId="3" fontId="8" numFmtId="0" xfId="0" applyAlignment="1" applyBorder="1" applyFont="1">
      <alignment horizontal="center" readingOrder="0" shrinkToFit="0" vertical="center" wrapText="1"/>
    </xf>
    <xf borderId="0" fillId="2" fontId="10" numFmtId="0" xfId="0" applyAlignment="1" applyFont="1">
      <alignment horizontal="center" readingOrder="0" shrinkToFit="0" vertical="bottom" wrapText="1"/>
    </xf>
    <xf borderId="154" fillId="8" fontId="11" numFmtId="0" xfId="0" applyAlignment="1" applyBorder="1" applyFont="1">
      <alignment horizontal="center" readingOrder="0" shrinkToFit="0" vertical="center" wrapText="1"/>
    </xf>
    <xf borderId="127" fillId="8" fontId="11" numFmtId="0" xfId="0" applyAlignment="1" applyBorder="1" applyFont="1">
      <alignment horizontal="center" readingOrder="0" shrinkToFit="0" vertical="center" wrapText="1"/>
    </xf>
    <xf borderId="128" fillId="8" fontId="11" numFmtId="0" xfId="0" applyAlignment="1" applyBorder="1" applyFont="1">
      <alignment horizontal="center" readingOrder="0" shrinkToFit="0" vertical="center" wrapText="1"/>
    </xf>
    <xf borderId="154" fillId="9" fontId="11" numFmtId="0" xfId="0" applyAlignment="1" applyBorder="1" applyFont="1">
      <alignment horizontal="center" readingOrder="0" shrinkToFit="0" vertical="center" wrapText="1"/>
    </xf>
    <xf borderId="127" fillId="9" fontId="11" numFmtId="0" xfId="0" applyAlignment="1" applyBorder="1" applyFont="1">
      <alignment horizontal="center" readingOrder="0" shrinkToFit="0" vertical="center" wrapText="1"/>
    </xf>
    <xf borderId="128" fillId="9" fontId="11" numFmtId="0" xfId="0" applyAlignment="1" applyBorder="1" applyFont="1">
      <alignment horizontal="center" readingOrder="0" shrinkToFit="0" vertical="center" wrapText="1"/>
    </xf>
    <xf borderId="154" fillId="2" fontId="11" numFmtId="0" xfId="0" applyAlignment="1" applyBorder="1" applyFont="1">
      <alignment horizontal="center" readingOrder="0" shrinkToFit="0" vertical="center" wrapText="1"/>
    </xf>
    <xf borderId="127" fillId="2" fontId="11" numFmtId="0" xfId="0" applyAlignment="1" applyBorder="1" applyFont="1">
      <alignment horizontal="center" readingOrder="0" shrinkToFit="0" vertical="center" wrapText="1"/>
    </xf>
    <xf borderId="129" fillId="2" fontId="11" numFmtId="0" xfId="0" applyAlignment="1" applyBorder="1" applyFont="1">
      <alignment horizontal="center" readingOrder="0" shrinkToFit="0" vertical="center" wrapText="1"/>
    </xf>
    <xf borderId="154" fillId="4" fontId="11" numFmtId="0" xfId="0" applyAlignment="1" applyBorder="1" applyFont="1">
      <alignment horizontal="center" readingOrder="0" shrinkToFit="0" vertical="center" wrapText="1"/>
    </xf>
    <xf borderId="127" fillId="4" fontId="11" numFmtId="0" xfId="0" applyAlignment="1" applyBorder="1" applyFont="1">
      <alignment horizontal="center" readingOrder="0" shrinkToFit="0" vertical="center" wrapText="1"/>
    </xf>
    <xf borderId="129" fillId="4" fontId="11" numFmtId="0" xfId="0" applyAlignment="1" applyBorder="1" applyFont="1">
      <alignment horizontal="center" readingOrder="0" shrinkToFit="0" vertical="center" wrapText="1"/>
    </xf>
    <xf borderId="154" fillId="10" fontId="11" numFmtId="0" xfId="0" applyAlignment="1" applyBorder="1" applyFont="1">
      <alignment horizontal="center" readingOrder="0" shrinkToFit="0" vertical="center" wrapText="1"/>
    </xf>
    <xf borderId="127" fillId="10" fontId="11" numFmtId="0" xfId="0" applyAlignment="1" applyBorder="1" applyFont="1">
      <alignment horizontal="center" readingOrder="0" shrinkToFit="0" vertical="center" wrapText="1"/>
    </xf>
    <xf borderId="129" fillId="10" fontId="11" numFmtId="0" xfId="0" applyAlignment="1" applyBorder="1" applyFont="1">
      <alignment horizontal="center" readingOrder="0" shrinkToFit="0" vertical="center" wrapText="1"/>
    </xf>
    <xf borderId="154" fillId="3" fontId="11" numFmtId="0" xfId="0" applyAlignment="1" applyBorder="1" applyFont="1">
      <alignment horizontal="center" readingOrder="0" shrinkToFit="0" vertical="center" wrapText="1"/>
    </xf>
    <xf borderId="127" fillId="3" fontId="11" numFmtId="0" xfId="0" applyAlignment="1" applyBorder="1" applyFont="1">
      <alignment horizontal="center" readingOrder="0" shrinkToFit="0" vertical="center" wrapText="1"/>
    </xf>
    <xf borderId="129" fillId="3" fontId="11" numFmtId="0" xfId="0" applyAlignment="1" applyBorder="1" applyFont="1">
      <alignment horizontal="center" readingOrder="0" shrinkToFit="0" vertical="center" wrapText="1"/>
    </xf>
    <xf borderId="154" fillId="5" fontId="11" numFmtId="0" xfId="0" applyAlignment="1" applyBorder="1" applyFont="1">
      <alignment horizontal="center" readingOrder="0" shrinkToFit="0" vertical="center" wrapText="1"/>
    </xf>
    <xf borderId="129" fillId="5" fontId="11" numFmtId="0" xfId="0" applyAlignment="1" applyBorder="1" applyFont="1">
      <alignment horizontal="center" readingOrder="0" shrinkToFit="0" vertical="center" wrapText="1"/>
    </xf>
    <xf borderId="154" fillId="5" fontId="10" numFmtId="0" xfId="0" applyAlignment="1" applyBorder="1" applyFont="1">
      <alignment horizontal="center" readingOrder="0" shrinkToFit="0" wrapText="1"/>
    </xf>
    <xf borderId="127" fillId="5" fontId="10" numFmtId="0" xfId="0" applyAlignment="1" applyBorder="1" applyFont="1">
      <alignment horizontal="center" readingOrder="0" shrinkToFit="0" wrapText="1"/>
    </xf>
    <xf borderId="129" fillId="5" fontId="10" numFmtId="0" xfId="0" applyAlignment="1" applyBorder="1" applyFont="1">
      <alignment horizontal="center" readingOrder="0" shrinkToFit="0" wrapText="1"/>
    </xf>
    <xf borderId="134" fillId="12" fontId="12" numFmtId="0" xfId="0" applyAlignment="1" applyBorder="1" applyFont="1">
      <alignment horizontal="left" readingOrder="0" shrinkToFit="0" vertical="center" wrapText="0"/>
    </xf>
    <xf borderId="135" fillId="12" fontId="12" numFmtId="0" xfId="0" applyAlignment="1" applyBorder="1" applyFont="1">
      <alignment horizontal="left" readingOrder="0" shrinkToFit="0" vertical="center" wrapText="0"/>
    </xf>
    <xf borderId="135" fillId="12" fontId="12" numFmtId="0" xfId="0" applyAlignment="1" applyBorder="1" applyFont="1">
      <alignment horizontal="center" readingOrder="0" shrinkToFit="0" vertical="center" wrapText="1"/>
    </xf>
    <xf borderId="136" fillId="12" fontId="12" numFmtId="0" xfId="0" applyAlignment="1" applyBorder="1" applyFont="1">
      <alignment horizontal="center" readingOrder="0" shrinkToFit="0" vertical="center" wrapText="1"/>
    </xf>
    <xf borderId="138" fillId="12" fontId="12" numFmtId="0" xfId="0" applyAlignment="1" applyBorder="1" applyFont="1">
      <alignment horizontal="center" readingOrder="0" shrinkToFit="0" vertical="center" wrapText="1"/>
    </xf>
    <xf borderId="140" fillId="12" fontId="12" numFmtId="0" xfId="0" applyAlignment="1" applyBorder="1" applyFont="1">
      <alignment horizontal="center" readingOrder="0" shrinkToFit="0" vertical="center" wrapText="1"/>
    </xf>
    <xf borderId="155" fillId="12" fontId="12" numFmtId="0" xfId="0" applyAlignment="1" applyBorder="1" applyFont="1">
      <alignment horizontal="center" readingOrder="0" shrinkToFit="0" vertical="center" wrapText="1"/>
    </xf>
    <xf borderId="156" fillId="12" fontId="12" numFmtId="0" xfId="0" applyAlignment="1" applyBorder="1" applyFont="1">
      <alignment horizontal="center" readingOrder="0" shrinkToFit="0" vertical="center" wrapText="1"/>
    </xf>
    <xf borderId="0" fillId="12" fontId="14" numFmtId="0" xfId="0" applyFont="1"/>
    <xf borderId="0" fillId="0" fontId="14" numFmtId="0" xfId="0" applyAlignment="1" applyFont="1">
      <alignment horizontal="center" shrinkToFit="0" wrapText="1"/>
    </xf>
    <xf borderId="33" fillId="0" fontId="14" numFmtId="0" xfId="0" applyAlignment="1" applyBorder="1" applyFont="1">
      <alignment horizontal="center" shrinkToFit="0" wrapText="1"/>
    </xf>
    <xf borderId="139" fillId="0" fontId="14" numFmtId="0" xfId="0" applyAlignment="1" applyBorder="1" applyFont="1">
      <alignment horizontal="center" shrinkToFit="0" wrapText="1"/>
    </xf>
    <xf borderId="143" fillId="0" fontId="14" numFmtId="0" xfId="0" applyAlignment="1" applyBorder="1" applyFont="1">
      <alignment horizontal="center" shrinkToFit="0" wrapText="1"/>
    </xf>
    <xf borderId="139" fillId="0" fontId="14" numFmtId="0" xfId="0" applyAlignment="1" applyBorder="1" applyFont="1">
      <alignment horizontal="center" readingOrder="0" shrinkToFit="0" wrapText="1"/>
    </xf>
    <xf borderId="143" fillId="0" fontId="14" numFmtId="0" xfId="0" applyAlignment="1" applyBorder="1" applyFont="1">
      <alignment horizontal="center" readingOrder="0" shrinkToFit="0" wrapText="1"/>
    </xf>
    <xf borderId="0" fillId="0" fontId="14" numFmtId="0" xfId="0" applyAlignment="1" applyFont="1">
      <alignment horizontal="center" readingOrder="0" shrinkToFit="0" wrapText="1"/>
    </xf>
    <xf borderId="157" fillId="0" fontId="12" numFmtId="0" xfId="0" applyAlignment="1" applyBorder="1" applyFont="1">
      <alignment horizontal="center" readingOrder="0" shrinkToFit="0" vertical="center" wrapText="1"/>
    </xf>
    <xf borderId="70" fillId="0" fontId="12" numFmtId="165" xfId="0" applyAlignment="1" applyBorder="1" applyFont="1" applyNumberFormat="1">
      <alignment horizontal="center" readingOrder="0" shrinkToFit="0" vertical="center" wrapText="1"/>
    </xf>
    <xf borderId="157" fillId="0" fontId="14" numFmtId="0" xfId="0" applyAlignment="1" applyBorder="1" applyFont="1">
      <alignment horizontal="center" shrinkToFit="0" wrapText="1"/>
    </xf>
    <xf borderId="70" fillId="0" fontId="14" numFmtId="0" xfId="0" applyAlignment="1" applyBorder="1" applyFont="1">
      <alignment horizontal="center" shrinkToFit="0" wrapText="1"/>
    </xf>
    <xf borderId="34" fillId="0" fontId="12" numFmtId="0" xfId="0" applyAlignment="1" applyBorder="1" applyFont="1">
      <alignment horizontal="center" readingOrder="0" shrinkToFit="0" vertical="center" wrapText="1"/>
    </xf>
    <xf borderId="33" fillId="0" fontId="14" numFmtId="0" xfId="0" applyAlignment="1" applyBorder="1" applyFont="1">
      <alignment horizontal="center" readingOrder="0" shrinkToFit="0" vertical="bottom" wrapText="1"/>
    </xf>
    <xf borderId="45" fillId="0" fontId="12" numFmtId="0" xfId="0" applyAlignment="1" applyBorder="1" applyFont="1">
      <alignment horizontal="center" readingOrder="0" shrinkToFit="0" vertical="center" wrapText="1"/>
    </xf>
    <xf borderId="32" fillId="0" fontId="12" numFmtId="166" xfId="0" applyAlignment="1" applyBorder="1" applyFont="1" applyNumberFormat="1">
      <alignment horizontal="center" vertical="center"/>
    </xf>
    <xf borderId="32" fillId="0" fontId="12" numFmtId="166" xfId="0" applyAlignment="1" applyBorder="1" applyFont="1" applyNumberFormat="1">
      <alignment horizontal="center" readingOrder="0" vertical="center"/>
    </xf>
    <xf borderId="33" fillId="5" fontId="14" numFmtId="9" xfId="0" applyAlignment="1" applyBorder="1" applyFont="1" applyNumberFormat="1">
      <alignment horizontal="center" shrinkToFit="0" wrapText="1"/>
    </xf>
    <xf borderId="70" fillId="0" fontId="15" numFmtId="0" xfId="0" applyAlignment="1" applyBorder="1" applyFont="1">
      <alignment horizontal="center" shrinkToFit="0" wrapText="1"/>
    </xf>
    <xf borderId="139" fillId="0" fontId="15" numFmtId="0" xfId="0" applyAlignment="1" applyBorder="1" applyFont="1">
      <alignment horizontal="center" readingOrder="0" shrinkToFit="0" wrapText="1"/>
    </xf>
    <xf borderId="70" fillId="0" fontId="15" numFmtId="0" xfId="0" applyAlignment="1" applyBorder="1" applyFont="1">
      <alignment horizontal="center" readingOrder="0" shrinkToFit="0" wrapText="1"/>
    </xf>
    <xf borderId="70" fillId="28" fontId="14" numFmtId="9" xfId="0" applyAlignment="1" applyBorder="1" applyFill="1" applyFont="1" applyNumberFormat="1">
      <alignment horizontal="center" readingOrder="0" shrinkToFit="0" wrapText="1"/>
    </xf>
    <xf borderId="45" fillId="14" fontId="12" numFmtId="0" xfId="0" applyAlignment="1" applyBorder="1" applyFont="1">
      <alignment horizontal="center" readingOrder="0" shrinkToFit="0" vertical="center" wrapText="1"/>
    </xf>
    <xf borderId="146" fillId="14" fontId="12" numFmtId="167" xfId="0" applyAlignment="1" applyBorder="1" applyFont="1" applyNumberFormat="1">
      <alignment horizontal="center" readingOrder="0" shrinkToFit="0" vertical="center" wrapText="1"/>
    </xf>
    <xf borderId="35" fillId="14" fontId="12" numFmtId="167" xfId="0" applyAlignment="1" applyBorder="1" applyFont="1" applyNumberFormat="1">
      <alignment horizontal="center" readingOrder="0" shrinkToFit="0" vertical="center" wrapText="1"/>
    </xf>
    <xf borderId="143" fillId="14" fontId="12" numFmtId="167" xfId="0" applyAlignment="1" applyBorder="1" applyFont="1" applyNumberFormat="1">
      <alignment horizontal="center" readingOrder="0" shrinkToFit="0" vertical="center" wrapText="1"/>
    </xf>
    <xf borderId="0" fillId="14" fontId="14" numFmtId="167" xfId="0" applyFont="1" applyNumberFormat="1"/>
    <xf borderId="157" fillId="0" fontId="14" numFmtId="0" xfId="0" applyAlignment="1" applyBorder="1" applyFont="1">
      <alignment horizontal="center" readingOrder="0" shrinkToFit="0" wrapText="1"/>
    </xf>
    <xf borderId="157" fillId="0" fontId="12" numFmtId="9" xfId="0" applyAlignment="1" applyBorder="1" applyFont="1" applyNumberFormat="1">
      <alignment horizontal="center" readingOrder="0" shrinkToFit="0" vertical="center" wrapText="1"/>
    </xf>
    <xf borderId="157" fillId="28" fontId="14" numFmtId="9" xfId="0" applyAlignment="1" applyBorder="1" applyFont="1" applyNumberFormat="1">
      <alignment horizontal="center" readingOrder="0" shrinkToFit="0" wrapText="1"/>
    </xf>
    <xf borderId="0" fillId="28" fontId="14" numFmtId="9" xfId="0" applyAlignment="1" applyFont="1" applyNumberFormat="1">
      <alignment horizontal="center" readingOrder="0" shrinkToFit="0" wrapText="1"/>
    </xf>
    <xf borderId="0" fillId="15" fontId="14" numFmtId="167" xfId="0" applyFont="1" applyNumberFormat="1"/>
    <xf borderId="70" fillId="0" fontId="13" numFmtId="9" xfId="0" applyAlignment="1" applyBorder="1" applyFont="1" applyNumberFormat="1">
      <alignment horizontal="center" readingOrder="0" shrinkToFit="0" vertical="center" wrapText="1"/>
    </xf>
    <xf borderId="34" fillId="0" fontId="13" numFmtId="0" xfId="0" applyAlignment="1" applyBorder="1" applyFont="1">
      <alignment horizontal="center" readingOrder="0" shrinkToFit="0" vertical="center" wrapText="1"/>
    </xf>
    <xf borderId="34" fillId="0" fontId="12" numFmtId="9" xfId="0" applyAlignment="1" applyBorder="1" applyFont="1" applyNumberFormat="1">
      <alignment horizontal="center" readingOrder="0" shrinkToFit="0" vertical="center" wrapText="1"/>
    </xf>
    <xf borderId="0" fillId="0" fontId="14" numFmtId="9" xfId="0" applyAlignment="1" applyFont="1" applyNumberFormat="1">
      <alignment horizontal="center" shrinkToFit="0" wrapText="1"/>
    </xf>
    <xf borderId="0" fillId="3" fontId="14" numFmtId="9" xfId="0" applyAlignment="1" applyFont="1" applyNumberFormat="1">
      <alignment horizontal="center" shrinkToFit="0" wrapText="1"/>
    </xf>
    <xf borderId="0" fillId="28" fontId="14" numFmtId="9" xfId="0" applyAlignment="1" applyFont="1" applyNumberFormat="1">
      <alignment horizontal="center" shrinkToFit="0" wrapText="1"/>
    </xf>
    <xf borderId="49" fillId="15" fontId="12" numFmtId="167" xfId="0" applyAlignment="1" applyBorder="1" applyFont="1" applyNumberFormat="1">
      <alignment horizontal="center" readingOrder="0" shrinkToFit="0" vertical="center" wrapText="1"/>
    </xf>
    <xf borderId="158" fillId="0" fontId="12" numFmtId="9" xfId="0" applyAlignment="1" applyBorder="1" applyFont="1" applyNumberFormat="1">
      <alignment horizontal="center" readingOrder="0" shrinkToFit="0" vertical="center" wrapText="1"/>
    </xf>
    <xf borderId="139" fillId="0" fontId="14" numFmtId="9" xfId="0" applyAlignment="1" applyBorder="1" applyFont="1" applyNumberFormat="1">
      <alignment horizontal="center" shrinkToFit="0" wrapText="1"/>
    </xf>
    <xf borderId="158" fillId="28" fontId="14" numFmtId="9" xfId="0" applyAlignment="1" applyBorder="1" applyFont="1" applyNumberFormat="1">
      <alignment horizontal="center" shrinkToFit="0" wrapText="1"/>
    </xf>
    <xf borderId="143" fillId="28" fontId="14" numFmtId="9" xfId="0" applyAlignment="1" applyBorder="1" applyFont="1" applyNumberFormat="1">
      <alignment horizontal="center" shrinkToFit="0" wrapText="1"/>
    </xf>
    <xf borderId="70" fillId="5" fontId="14" numFmtId="9" xfId="0" applyAlignment="1" applyBorder="1" applyFont="1" applyNumberFormat="1">
      <alignment horizontal="center" shrinkToFit="0" wrapText="1"/>
    </xf>
    <xf borderId="158" fillId="0" fontId="14" numFmtId="9" xfId="0" applyAlignment="1" applyBorder="1" applyFont="1" applyNumberFormat="1">
      <alignment horizontal="center" shrinkToFit="0" wrapText="1"/>
    </xf>
    <xf borderId="63" fillId="14" fontId="12" numFmtId="0" xfId="0" applyAlignment="1" applyBorder="1" applyFont="1">
      <alignment horizontal="center" readingOrder="0" vertical="center"/>
    </xf>
    <xf borderId="45" fillId="14" fontId="12" numFmtId="0" xfId="0" applyAlignment="1" applyBorder="1" applyFont="1">
      <alignment horizontal="center" readingOrder="0" vertical="center"/>
    </xf>
    <xf borderId="139" fillId="14" fontId="12" numFmtId="167" xfId="0" applyAlignment="1" applyBorder="1" applyFont="1" applyNumberFormat="1">
      <alignment horizontal="center" readingOrder="0" vertical="center"/>
    </xf>
    <xf borderId="49" fillId="14" fontId="12" numFmtId="167" xfId="0" applyAlignment="1" applyBorder="1" applyFont="1" applyNumberFormat="1">
      <alignment horizontal="center" readingOrder="0" vertical="center"/>
    </xf>
    <xf borderId="157" fillId="28" fontId="14" numFmtId="9" xfId="0" applyAlignment="1" applyBorder="1" applyFont="1" applyNumberFormat="1">
      <alignment horizontal="center" shrinkToFit="0" wrapText="1"/>
    </xf>
    <xf borderId="139" fillId="28" fontId="14" numFmtId="9" xfId="0" applyAlignment="1" applyBorder="1" applyFont="1" applyNumberFormat="1">
      <alignment horizontal="center" shrinkToFit="0" wrapText="1"/>
    </xf>
    <xf borderId="146" fillId="15" fontId="12" numFmtId="0" xfId="0" applyAlignment="1" applyBorder="1" applyFont="1">
      <alignment horizontal="center" readingOrder="0" shrinkToFit="0" vertical="center" wrapText="1"/>
    </xf>
    <xf borderId="49" fillId="15" fontId="12" numFmtId="0" xfId="0" applyAlignment="1" applyBorder="1" applyFont="1">
      <alignment horizontal="center" readingOrder="0" shrinkToFit="0" vertical="center" wrapText="1"/>
    </xf>
    <xf borderId="0" fillId="15" fontId="14" numFmtId="0" xfId="0" applyFont="1"/>
    <xf borderId="45" fillId="0" fontId="13" numFmtId="0" xfId="0" applyAlignment="1" applyBorder="1" applyFont="1">
      <alignment horizontal="center" readingOrder="0" shrinkToFit="0" vertical="center" wrapText="1"/>
    </xf>
    <xf borderId="0" fillId="5" fontId="14" numFmtId="9" xfId="0" applyAlignment="1" applyFont="1" applyNumberFormat="1">
      <alignment horizontal="center" shrinkToFit="0" wrapText="1"/>
    </xf>
    <xf borderId="49" fillId="14" fontId="12" numFmtId="167" xfId="0" applyAlignment="1" applyBorder="1" applyFont="1" applyNumberFormat="1">
      <alignment horizontal="center" readingOrder="0" shrinkToFit="0" vertical="center" wrapText="1"/>
    </xf>
    <xf borderId="158" fillId="0" fontId="13" numFmtId="0" xfId="0" applyAlignment="1" applyBorder="1" applyFont="1">
      <alignment horizontal="center" readingOrder="0" shrinkToFit="0" vertical="center" wrapText="1"/>
    </xf>
    <xf borderId="35" fillId="5" fontId="14" numFmtId="9" xfId="0" applyAlignment="1" applyBorder="1" applyFont="1" applyNumberFormat="1">
      <alignment horizontal="center" shrinkToFit="0" wrapText="1"/>
    </xf>
    <xf borderId="33" fillId="3" fontId="14" numFmtId="9" xfId="0" applyAlignment="1" applyBorder="1" applyFont="1" applyNumberFormat="1">
      <alignment horizontal="center" shrinkToFit="0" wrapText="1"/>
    </xf>
    <xf borderId="49" fillId="16" fontId="12" numFmtId="167" xfId="0" applyAlignment="1" applyBorder="1" applyFont="1" applyNumberFormat="1">
      <alignment horizontal="center" readingOrder="0" shrinkToFit="0" vertical="center" wrapText="1"/>
    </xf>
    <xf borderId="0" fillId="16" fontId="14" numFmtId="167" xfId="0" applyFont="1" applyNumberFormat="1"/>
    <xf borderId="49" fillId="17" fontId="12" numFmtId="167" xfId="0" applyAlignment="1" applyBorder="1" applyFont="1" applyNumberFormat="1">
      <alignment horizontal="center" readingOrder="0" shrinkToFit="0" vertical="center" wrapText="1"/>
    </xf>
    <xf borderId="0" fillId="17" fontId="14" numFmtId="167" xfId="0" applyFont="1" applyNumberFormat="1"/>
    <xf borderId="33" fillId="0" fontId="12" numFmtId="164" xfId="0" applyAlignment="1" applyBorder="1" applyFont="1" applyNumberFormat="1">
      <alignment horizontal="center" readingOrder="0" shrinkToFit="0" vertical="center" wrapText="1"/>
    </xf>
    <xf borderId="33" fillId="0" fontId="12" numFmtId="9" xfId="0" applyAlignment="1" applyBorder="1" applyFont="1" applyNumberFormat="1">
      <alignment horizontal="center" readingOrder="0" shrinkToFit="0" vertical="center" wrapText="1"/>
    </xf>
    <xf borderId="49" fillId="18" fontId="12" numFmtId="0" xfId="0" applyAlignment="1" applyBorder="1" applyFont="1">
      <alignment horizontal="center" readingOrder="0" shrinkToFit="0" vertical="center" wrapText="1"/>
    </xf>
    <xf borderId="0" fillId="18" fontId="14" numFmtId="0" xfId="0" applyFont="1"/>
    <xf borderId="145" fillId="19" fontId="12" numFmtId="0" xfId="0" applyAlignment="1" applyBorder="1" applyFont="1">
      <alignment horizontal="left" readingOrder="0" shrinkToFit="0" vertical="center" wrapText="0"/>
    </xf>
    <xf borderId="45" fillId="19" fontId="12" numFmtId="0" xfId="0" applyAlignment="1" applyBorder="1" applyFont="1">
      <alignment horizontal="center" readingOrder="0" shrinkToFit="0" vertical="center" wrapText="1"/>
    </xf>
    <xf borderId="146" fillId="19" fontId="12" numFmtId="167" xfId="0" applyAlignment="1" applyBorder="1" applyFont="1" applyNumberFormat="1">
      <alignment horizontal="center" readingOrder="0" shrinkToFit="0" vertical="center" wrapText="1"/>
    </xf>
    <xf borderId="35" fillId="19" fontId="12" numFmtId="167" xfId="0" applyAlignment="1" applyBorder="1" applyFont="1" applyNumberFormat="1">
      <alignment horizontal="center" readingOrder="0" shrinkToFit="0" vertical="center" wrapText="1"/>
    </xf>
    <xf borderId="49" fillId="19" fontId="12" numFmtId="167" xfId="0" applyAlignment="1" applyBorder="1" applyFont="1" applyNumberFormat="1">
      <alignment horizontal="center" readingOrder="0" shrinkToFit="0" vertical="center" wrapText="1"/>
    </xf>
    <xf borderId="0" fillId="19" fontId="14" numFmtId="167" xfId="0" applyFont="1" applyNumberFormat="1"/>
    <xf borderId="145" fillId="20" fontId="12" numFmtId="0" xfId="0" applyAlignment="1" applyBorder="1" applyFont="1">
      <alignment horizontal="left" readingOrder="0" shrinkToFit="0" vertical="center" wrapText="0"/>
    </xf>
    <xf borderId="63" fillId="20" fontId="12" numFmtId="0" xfId="0" applyAlignment="1" applyBorder="1" applyFont="1">
      <alignment horizontal="center" readingOrder="0" shrinkToFit="0" vertical="center" wrapText="1"/>
    </xf>
    <xf borderId="45" fillId="20" fontId="12" numFmtId="0" xfId="0" applyAlignment="1" applyBorder="1" applyFont="1">
      <alignment horizontal="center" readingOrder="0" shrinkToFit="0" vertical="center" wrapText="1"/>
    </xf>
    <xf borderId="146" fillId="20" fontId="12" numFmtId="167" xfId="0" applyAlignment="1" applyBorder="1" applyFont="1" applyNumberFormat="1">
      <alignment horizontal="center" readingOrder="0" shrinkToFit="0" vertical="center" wrapText="1"/>
    </xf>
    <xf borderId="35" fillId="20" fontId="12" numFmtId="167" xfId="0" applyAlignment="1" applyBorder="1" applyFont="1" applyNumberFormat="1">
      <alignment horizontal="center" readingOrder="0" shrinkToFit="0" vertical="center" wrapText="1"/>
    </xf>
    <xf borderId="143" fillId="20" fontId="12" numFmtId="167" xfId="0" applyAlignment="1" applyBorder="1" applyFont="1" applyNumberFormat="1">
      <alignment horizontal="center" readingOrder="0" shrinkToFit="0" vertical="center" wrapText="1"/>
    </xf>
    <xf borderId="49" fillId="20" fontId="12" numFmtId="167" xfId="0" applyAlignment="1" applyBorder="1" applyFont="1" applyNumberFormat="1">
      <alignment horizontal="center" readingOrder="0" shrinkToFit="0" vertical="center" wrapText="1"/>
    </xf>
    <xf borderId="0" fillId="20" fontId="14" numFmtId="167" xfId="0" applyFont="1" applyNumberFormat="1"/>
    <xf borderId="139" fillId="0" fontId="6" numFmtId="0" xfId="0" applyAlignment="1" applyBorder="1" applyFont="1">
      <alignment horizontal="center"/>
    </xf>
    <xf borderId="145" fillId="21" fontId="12" numFmtId="0" xfId="0" applyAlignment="1" applyBorder="1" applyFont="1">
      <alignment horizontal="left" readingOrder="0" shrinkToFit="0" vertical="center" wrapText="0"/>
    </xf>
    <xf borderId="63" fillId="21" fontId="12" numFmtId="0" xfId="0" applyAlignment="1" applyBorder="1" applyFont="1">
      <alignment horizontal="center" readingOrder="0" shrinkToFit="0" vertical="center" wrapText="1"/>
    </xf>
    <xf borderId="45" fillId="21" fontId="12" numFmtId="0" xfId="0" applyAlignment="1" applyBorder="1" applyFont="1">
      <alignment horizontal="center" readingOrder="0" shrinkToFit="0" vertical="center" wrapText="1"/>
    </xf>
    <xf borderId="146" fillId="21" fontId="12" numFmtId="167" xfId="0" applyAlignment="1" applyBorder="1" applyFont="1" applyNumberFormat="1">
      <alignment horizontal="center" readingOrder="0" shrinkToFit="0" vertical="center" wrapText="1"/>
    </xf>
    <xf borderId="35" fillId="21" fontId="12" numFmtId="167" xfId="0" applyAlignment="1" applyBorder="1" applyFont="1" applyNumberFormat="1">
      <alignment horizontal="center" readingOrder="0" shrinkToFit="0" vertical="center" wrapText="1"/>
    </xf>
    <xf borderId="143" fillId="21" fontId="12" numFmtId="167" xfId="0" applyAlignment="1" applyBorder="1" applyFont="1" applyNumberFormat="1">
      <alignment horizontal="center" readingOrder="0" shrinkToFit="0" vertical="center" wrapText="1"/>
    </xf>
    <xf borderId="49" fillId="21" fontId="12" numFmtId="167" xfId="0" applyAlignment="1" applyBorder="1" applyFont="1" applyNumberFormat="1">
      <alignment horizontal="center" readingOrder="0" shrinkToFit="0" vertical="center" wrapText="1"/>
    </xf>
    <xf borderId="0" fillId="21" fontId="14" numFmtId="167" xfId="0" applyFont="1" applyNumberFormat="1"/>
    <xf borderId="145" fillId="22" fontId="12" numFmtId="0" xfId="0" applyAlignment="1" applyBorder="1" applyFont="1">
      <alignment horizontal="left" readingOrder="0" shrinkToFit="0" vertical="center" wrapText="0"/>
    </xf>
    <xf borderId="45" fillId="22" fontId="12" numFmtId="0" xfId="0" applyAlignment="1" applyBorder="1" applyFont="1">
      <alignment horizontal="center" readingOrder="0" shrinkToFit="0" vertical="center" wrapText="1"/>
    </xf>
    <xf borderId="33" fillId="22" fontId="12" numFmtId="167" xfId="0" applyAlignment="1" applyBorder="1" applyFont="1" applyNumberFormat="1">
      <alignment horizontal="center" readingOrder="0" shrinkToFit="0" vertical="center" wrapText="1"/>
    </xf>
    <xf borderId="70" fillId="22" fontId="12" numFmtId="167" xfId="0" applyAlignment="1" applyBorder="1" applyFont="1" applyNumberFormat="1">
      <alignment horizontal="center" readingOrder="0" shrinkToFit="0" vertical="center" wrapText="1"/>
    </xf>
    <xf borderId="146" fillId="22" fontId="12" numFmtId="167" xfId="0" applyAlignment="1" applyBorder="1" applyFont="1" applyNumberFormat="1">
      <alignment horizontal="center" readingOrder="0" shrinkToFit="0" vertical="center" wrapText="1"/>
    </xf>
    <xf borderId="35" fillId="22" fontId="12" numFmtId="167" xfId="0" applyAlignment="1" applyBorder="1" applyFont="1" applyNumberFormat="1">
      <alignment horizontal="center" readingOrder="0" shrinkToFit="0" vertical="center" wrapText="1"/>
    </xf>
    <xf borderId="143" fillId="22" fontId="12" numFmtId="167" xfId="0" applyAlignment="1" applyBorder="1" applyFont="1" applyNumberFormat="1">
      <alignment horizontal="center" readingOrder="0" shrinkToFit="0" vertical="center" wrapText="1"/>
    </xf>
    <xf borderId="0" fillId="22" fontId="12" numFmtId="167" xfId="0" applyAlignment="1" applyFont="1" applyNumberFormat="1">
      <alignment horizontal="center" readingOrder="0" shrinkToFit="0" vertical="center" wrapText="1"/>
    </xf>
    <xf borderId="49" fillId="22" fontId="12" numFmtId="167" xfId="0" applyAlignment="1" applyBorder="1" applyFont="1" applyNumberFormat="1">
      <alignment horizontal="center" readingOrder="0" shrinkToFit="0" vertical="center" wrapText="1"/>
    </xf>
    <xf borderId="0" fillId="22" fontId="14" numFmtId="167" xfId="0" applyFont="1" applyNumberFormat="1"/>
    <xf borderId="145" fillId="10" fontId="12" numFmtId="0" xfId="0" applyAlignment="1" applyBorder="1" applyFont="1">
      <alignment horizontal="left" readingOrder="0" shrinkToFit="0" vertical="center" wrapText="0"/>
    </xf>
    <xf borderId="63" fillId="10" fontId="12" numFmtId="0" xfId="0" applyAlignment="1" applyBorder="1" applyFont="1">
      <alignment horizontal="center" readingOrder="0" shrinkToFit="0" vertical="center" wrapText="1"/>
    </xf>
    <xf borderId="45" fillId="10" fontId="12" numFmtId="0" xfId="0" applyAlignment="1" applyBorder="1" applyFont="1">
      <alignment horizontal="center" readingOrder="0" shrinkToFit="0" vertical="center" wrapText="1"/>
    </xf>
    <xf borderId="33" fillId="10" fontId="12" numFmtId="167" xfId="0" applyAlignment="1" applyBorder="1" applyFont="1" applyNumberFormat="1">
      <alignment horizontal="center" readingOrder="0" shrinkToFit="0" vertical="center" wrapText="1"/>
    </xf>
    <xf borderId="70" fillId="10" fontId="12" numFmtId="167" xfId="0" applyAlignment="1" applyBorder="1" applyFont="1" applyNumberFormat="1">
      <alignment horizontal="center" readingOrder="0" shrinkToFit="0" vertical="center" wrapText="1"/>
    </xf>
    <xf borderId="146" fillId="10" fontId="12" numFmtId="167" xfId="0" applyAlignment="1" applyBorder="1" applyFont="1" applyNumberFormat="1">
      <alignment horizontal="center" readingOrder="0" shrinkToFit="0" vertical="center" wrapText="1"/>
    </xf>
    <xf borderId="49" fillId="10" fontId="12" numFmtId="167" xfId="0" applyAlignment="1" applyBorder="1" applyFont="1" applyNumberFormat="1">
      <alignment horizontal="center" readingOrder="0" shrinkToFit="0" vertical="center" wrapText="1"/>
    </xf>
    <xf borderId="0" fillId="10" fontId="14" numFmtId="167" xfId="0" applyFont="1" applyNumberFormat="1"/>
    <xf borderId="145" fillId="23" fontId="12" numFmtId="0" xfId="0" applyAlignment="1" applyBorder="1" applyFont="1">
      <alignment horizontal="left" readingOrder="0" shrinkToFit="0" vertical="center" wrapText="0"/>
    </xf>
    <xf borderId="45" fillId="23" fontId="12" numFmtId="0" xfId="0" applyAlignment="1" applyBorder="1" applyFont="1">
      <alignment horizontal="center" readingOrder="0" shrinkToFit="0" vertical="center" wrapText="1"/>
    </xf>
    <xf borderId="62" fillId="23" fontId="12" numFmtId="0" xfId="0" applyAlignment="1" applyBorder="1" applyFont="1">
      <alignment horizontal="center" readingOrder="0" shrinkToFit="0" vertical="center" wrapText="1"/>
    </xf>
    <xf borderId="33" fillId="23" fontId="12" numFmtId="167" xfId="0" applyAlignment="1" applyBorder="1" applyFont="1" applyNumberFormat="1">
      <alignment horizontal="center" readingOrder="0" shrinkToFit="0" vertical="center" wrapText="1"/>
    </xf>
    <xf borderId="70" fillId="23" fontId="12" numFmtId="167" xfId="0" applyAlignment="1" applyBorder="1" applyFont="1" applyNumberFormat="1">
      <alignment horizontal="center" readingOrder="0" shrinkToFit="0" vertical="center" wrapText="1"/>
    </xf>
    <xf borderId="146" fillId="23" fontId="12" numFmtId="167" xfId="0" applyAlignment="1" applyBorder="1" applyFont="1" applyNumberFormat="1">
      <alignment horizontal="center" readingOrder="0" shrinkToFit="0" vertical="center" wrapText="1"/>
    </xf>
    <xf borderId="35" fillId="23" fontId="12" numFmtId="167" xfId="0" applyAlignment="1" applyBorder="1" applyFont="1" applyNumberFormat="1">
      <alignment horizontal="center" readingOrder="0" shrinkToFit="0" vertical="center" wrapText="1"/>
    </xf>
    <xf borderId="143" fillId="23" fontId="12" numFmtId="167" xfId="0" applyAlignment="1" applyBorder="1" applyFont="1" applyNumberFormat="1">
      <alignment horizontal="center" readingOrder="0" shrinkToFit="0" vertical="center" wrapText="1"/>
    </xf>
    <xf borderId="0" fillId="23" fontId="12" numFmtId="167" xfId="0" applyAlignment="1" applyFont="1" applyNumberFormat="1">
      <alignment horizontal="center" readingOrder="0" shrinkToFit="0" vertical="center" wrapText="1"/>
    </xf>
    <xf borderId="49" fillId="23" fontId="12" numFmtId="167" xfId="0" applyAlignment="1" applyBorder="1" applyFont="1" applyNumberFormat="1">
      <alignment horizontal="center" readingOrder="0" shrinkToFit="0" vertical="center" wrapText="1"/>
    </xf>
    <xf borderId="0" fillId="23" fontId="14" numFmtId="167" xfId="0" applyFont="1" applyNumberFormat="1"/>
    <xf borderId="70" fillId="0" fontId="13" numFmtId="164" xfId="0" applyAlignment="1" applyBorder="1" applyFont="1" applyNumberFormat="1">
      <alignment horizontal="center" shrinkToFit="0" vertical="center" wrapText="1"/>
    </xf>
    <xf borderId="0" fillId="0" fontId="15" numFmtId="0" xfId="0" applyAlignment="1" applyFont="1">
      <alignment horizontal="center" readingOrder="0" shrinkToFit="0" wrapText="1"/>
    </xf>
    <xf borderId="0" fillId="3" fontId="14" numFmtId="0" xfId="0" applyAlignment="1" applyFont="1">
      <alignment horizontal="center" shrinkToFit="0" wrapText="1"/>
    </xf>
    <xf borderId="139" fillId="28" fontId="14" numFmtId="9" xfId="0" applyAlignment="1" applyBorder="1" applyFont="1" applyNumberFormat="1">
      <alignment horizontal="center" readingOrder="0" shrinkToFit="0" wrapText="1"/>
    </xf>
    <xf borderId="139" fillId="0" fontId="12" numFmtId="0" xfId="0" applyAlignment="1" applyBorder="1" applyFont="1">
      <alignment horizontal="center" vertical="center"/>
    </xf>
    <xf borderId="56" fillId="0" fontId="12" numFmtId="0" xfId="0" applyAlignment="1" applyBorder="1" applyFont="1">
      <alignment horizontal="center" readingOrder="0" shrinkToFit="0" vertical="center" wrapText="1"/>
    </xf>
    <xf borderId="142" fillId="0" fontId="12" numFmtId="9" xfId="0" applyAlignment="1" applyBorder="1" applyFont="1" applyNumberFormat="1">
      <alignment horizontal="center" readingOrder="0" vertical="center"/>
    </xf>
    <xf borderId="157" fillId="0" fontId="13" numFmtId="9" xfId="0" applyAlignment="1" applyBorder="1" applyFont="1" applyNumberFormat="1">
      <alignment horizontal="center" readingOrder="0" shrinkToFit="0" vertical="center" wrapText="1"/>
    </xf>
    <xf borderId="157" fillId="0" fontId="13" numFmtId="0" xfId="0" applyAlignment="1" applyBorder="1" applyFont="1">
      <alignment horizontal="center" readingOrder="0" shrinkToFit="0" vertical="center" wrapText="1"/>
    </xf>
    <xf borderId="139" fillId="0" fontId="12" numFmtId="0" xfId="0" applyAlignment="1" applyBorder="1" applyFont="1">
      <alignment horizontal="center" readingOrder="0" vertical="center"/>
    </xf>
    <xf borderId="33" fillId="0" fontId="12" numFmtId="169" xfId="0" applyAlignment="1" applyBorder="1" applyFont="1" applyNumberFormat="1">
      <alignment horizontal="center" readingOrder="0" shrinkToFit="0" vertical="center" wrapText="1"/>
    </xf>
    <xf borderId="150" fillId="0" fontId="12" numFmtId="165" xfId="0" applyAlignment="1" applyBorder="1" applyFont="1" applyNumberFormat="1">
      <alignment horizontal="center" readingOrder="0" shrinkToFit="0" vertical="center" wrapText="1"/>
    </xf>
    <xf borderId="124" fillId="0" fontId="4" numFmtId="0" xfId="0" applyAlignment="1" applyBorder="1" applyFont="1">
      <alignment horizontal="center" readingOrder="0" shrinkToFit="0" vertical="center" wrapText="1"/>
    </xf>
    <xf borderId="128" fillId="2" fontId="11" numFmtId="0" xfId="0" applyAlignment="1" applyBorder="1" applyFont="1">
      <alignment horizontal="center" readingOrder="0" shrinkToFit="0" vertical="center" wrapText="1"/>
    </xf>
    <xf borderId="128" fillId="4" fontId="11"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39" fillId="12" fontId="12" numFmtId="0" xfId="0" applyAlignment="1" applyBorder="1" applyFont="1">
      <alignment horizontal="center" readingOrder="0" shrinkToFit="0" vertical="center" wrapText="1"/>
    </xf>
    <xf borderId="157" fillId="12" fontId="12" numFmtId="0" xfId="0" applyAlignment="1" applyBorder="1" applyFont="1">
      <alignment horizontal="center" readingOrder="0" shrinkToFit="0" vertical="center" wrapText="1"/>
    </xf>
    <xf borderId="159" fillId="0" fontId="12" numFmtId="0" xfId="0" applyAlignment="1" applyBorder="1" applyFont="1">
      <alignment horizontal="center" readingOrder="0" shrinkToFit="0" vertical="center" wrapText="1"/>
    </xf>
    <xf borderId="139" fillId="0" fontId="13" numFmtId="9" xfId="0" applyAlignment="1" applyBorder="1" applyFont="1" applyNumberFormat="1">
      <alignment horizontal="center" readingOrder="0" shrinkToFit="0" vertical="center" wrapText="1"/>
    </xf>
    <xf borderId="157" fillId="15" fontId="12" numFmtId="167" xfId="0" applyAlignment="1" applyBorder="1" applyFont="1" applyNumberFormat="1">
      <alignment horizontal="center" readingOrder="0" shrinkToFit="0" vertical="center" wrapText="1"/>
    </xf>
    <xf borderId="0" fillId="0" fontId="12" numFmtId="167" xfId="0" applyAlignment="1" applyFont="1" applyNumberFormat="1">
      <alignment horizontal="center" readingOrder="0" vertical="center"/>
    </xf>
    <xf borderId="157" fillId="15" fontId="12" numFmtId="0" xfId="0" applyAlignment="1" applyBorder="1" applyFont="1">
      <alignment horizontal="center" readingOrder="0" shrinkToFit="0" vertical="center" wrapText="1"/>
    </xf>
    <xf borderId="157" fillId="14" fontId="12" numFmtId="167" xfId="0" applyAlignment="1" applyBorder="1" applyFont="1" applyNumberFormat="1">
      <alignment horizontal="center" readingOrder="0" shrinkToFit="0" vertical="center" wrapText="1"/>
    </xf>
    <xf borderId="142" fillId="16" fontId="12" numFmtId="0" xfId="0" applyAlignment="1" applyBorder="1" applyFont="1">
      <alignment horizontal="center" readingOrder="0" shrinkToFit="0" vertical="center" wrapText="1"/>
    </xf>
    <xf borderId="32" fillId="16" fontId="12" numFmtId="0" xfId="0" applyAlignment="1" applyBorder="1" applyFont="1">
      <alignment horizontal="center" readingOrder="0" shrinkToFit="0" vertical="center" wrapText="1"/>
    </xf>
    <xf borderId="139" fillId="16" fontId="12" numFmtId="167" xfId="0" applyAlignment="1" applyBorder="1" applyFont="1" applyNumberFormat="1">
      <alignment horizontal="center" readingOrder="0" shrinkToFit="0" vertical="center" wrapText="1"/>
    </xf>
    <xf borderId="139" fillId="0" fontId="17" numFmtId="0" xfId="0" applyAlignment="1" applyBorder="1" applyFont="1">
      <alignment horizontal="center" readingOrder="0" shrinkToFit="0" vertical="center" wrapText="1"/>
    </xf>
    <xf borderId="60" fillId="3" fontId="12" numFmtId="0" xfId="0" applyAlignment="1" applyBorder="1" applyFont="1">
      <alignment horizontal="center" readingOrder="0" shrinkToFit="0" vertical="center" wrapText="1"/>
    </xf>
    <xf borderId="0" fillId="28" fontId="12" numFmtId="9" xfId="0" applyAlignment="1" applyFont="1" applyNumberFormat="1">
      <alignment horizontal="center" readingOrder="0" shrinkToFit="0" vertical="center" wrapText="1"/>
    </xf>
    <xf borderId="45" fillId="13" fontId="12" numFmtId="0" xfId="0" applyAlignment="1" applyBorder="1" applyFont="1">
      <alignment horizontal="center" readingOrder="0" shrinkToFit="0" vertical="center" wrapText="1"/>
    </xf>
    <xf borderId="60" fillId="0" fontId="17" numFmtId="0" xfId="0" applyAlignment="1" applyBorder="1" applyFont="1">
      <alignment horizontal="center" readingOrder="0" shrinkToFit="0" vertical="center" wrapText="1"/>
    </xf>
    <xf borderId="0" fillId="0" fontId="12" numFmtId="167" xfId="0" applyAlignment="1" applyFont="1" applyNumberFormat="1">
      <alignment horizontal="center" readingOrder="0" shrinkToFit="0" vertical="center" wrapText="1"/>
    </xf>
    <xf borderId="157" fillId="28" fontId="12" numFmtId="9" xfId="0" applyAlignment="1" applyBorder="1" applyFont="1" applyNumberFormat="1">
      <alignment horizontal="center" readingOrder="0" shrinkToFit="0" vertical="center" wrapText="1"/>
    </xf>
    <xf borderId="157" fillId="29" fontId="12" numFmtId="9" xfId="0" applyAlignment="1" applyBorder="1" applyFill="1" applyFont="1" applyNumberFormat="1">
      <alignment horizontal="center" readingOrder="0" shrinkToFit="0" vertical="center" wrapText="1"/>
    </xf>
    <xf borderId="60" fillId="0" fontId="15" numFmtId="0" xfId="0" applyAlignment="1" applyBorder="1" applyFont="1">
      <alignment horizontal="center" shrinkToFit="0" wrapText="1"/>
    </xf>
    <xf borderId="60" fillId="3" fontId="12" numFmtId="165" xfId="0" applyAlignment="1" applyBorder="1" applyFont="1" applyNumberFormat="1">
      <alignment horizontal="center" readingOrder="0" shrinkToFit="0" vertical="center" wrapText="1"/>
    </xf>
    <xf borderId="68" fillId="0" fontId="12" numFmtId="166" xfId="0" applyAlignment="1" applyBorder="1" applyFont="1" applyNumberFormat="1">
      <alignment horizontal="center" vertical="center"/>
    </xf>
    <xf borderId="60" fillId="0" fontId="13" numFmtId="9" xfId="0" applyAlignment="1" applyBorder="1" applyFont="1" applyNumberFormat="1">
      <alignment horizontal="center" readingOrder="0" shrinkToFit="0" vertical="center" wrapText="1"/>
    </xf>
    <xf borderId="150" fillId="0" fontId="12" numFmtId="164" xfId="0" applyAlignment="1" applyBorder="1" applyFont="1" applyNumberFormat="1">
      <alignment horizontal="center" readingOrder="0" shrinkToFit="0" vertical="center" wrapText="1"/>
    </xf>
    <xf borderId="121" fillId="0" fontId="6" numFmtId="0" xfId="0" applyBorder="1" applyFont="1"/>
    <xf borderId="157" fillId="14" fontId="12" numFmtId="167" xfId="0" applyAlignment="1" applyBorder="1" applyFont="1" applyNumberFormat="1">
      <alignment horizontal="center" readingOrder="0" vertical="center"/>
    </xf>
    <xf borderId="60" fillId="0" fontId="12" numFmtId="167" xfId="0" applyAlignment="1" applyBorder="1" applyFont="1" applyNumberFormat="1">
      <alignment horizontal="center" readingOrder="0" vertical="center"/>
    </xf>
    <xf borderId="60" fillId="0" fontId="12" numFmtId="167" xfId="0" applyAlignment="1" applyBorder="1" applyFont="1" applyNumberFormat="1">
      <alignment horizontal="center" readingOrder="0" shrinkToFit="0" vertical="center" wrapText="1"/>
    </xf>
    <xf borderId="33" fillId="3" fontId="14" numFmtId="0" xfId="0" applyBorder="1" applyFont="1"/>
    <xf borderId="139" fillId="0" fontId="6" numFmtId="0" xfId="0" applyAlignment="1" applyBorder="1" applyFont="1">
      <alignment horizontal="center" readingOrder="0"/>
    </xf>
    <xf borderId="32" fillId="0" fontId="13" numFmtId="0" xfId="0" applyAlignment="1" applyBorder="1" applyFont="1">
      <alignment horizontal="center" readingOrder="0" shrinkToFit="0" vertical="center" wrapText="1"/>
    </xf>
    <xf borderId="33" fillId="0" fontId="6" numFmtId="0" xfId="0" applyAlignment="1" applyBorder="1" applyFont="1">
      <alignment horizontal="center" readingOrder="0"/>
    </xf>
    <xf borderId="45" fillId="0" fontId="12" numFmtId="164" xfId="0" applyAlignment="1" applyBorder="1" applyFont="1" applyNumberFormat="1">
      <alignment horizontal="center" shrinkToFit="0" wrapText="1"/>
    </xf>
    <xf borderId="49" fillId="0" fontId="12" numFmtId="0" xfId="0" applyAlignment="1" applyBorder="1" applyFont="1">
      <alignment horizontal="center" readingOrder="0" shrinkToFit="0" vertical="center" wrapText="1"/>
    </xf>
    <xf borderId="32" fillId="0" fontId="12" numFmtId="165" xfId="0" applyAlignment="1" applyBorder="1" applyFont="1" applyNumberFormat="1">
      <alignment horizontal="center" readingOrder="0" shrinkToFit="0" vertical="center" wrapText="1"/>
    </xf>
    <xf borderId="33" fillId="3" fontId="14" numFmtId="0" xfId="0" applyAlignment="1" applyBorder="1" applyFont="1">
      <alignment readingOrder="0"/>
    </xf>
    <xf borderId="33" fillId="3" fontId="14" numFmtId="0" xfId="0" applyAlignment="1" applyBorder="1" applyFont="1">
      <alignment horizontal="center" readingOrder="0"/>
    </xf>
    <xf borderId="33" fillId="3" fontId="14" numFmtId="0" xfId="0" applyAlignment="1" applyBorder="1" applyFont="1">
      <alignment horizontal="center" shrinkToFit="0" wrapText="1"/>
    </xf>
    <xf borderId="145" fillId="10" fontId="12" numFmtId="0" xfId="0" applyAlignment="1" applyBorder="1" applyFont="1">
      <alignment horizontal="center" readingOrder="0" shrinkToFit="0" vertical="center" wrapText="0"/>
    </xf>
    <xf borderId="53" fillId="0" fontId="12" numFmtId="0" xfId="0" applyAlignment="1" applyBorder="1" applyFont="1">
      <alignment horizontal="center" readingOrder="0" shrinkToFit="0" vertical="center" wrapText="1"/>
    </xf>
    <xf borderId="32" fillId="3" fontId="14" numFmtId="0" xfId="0" applyAlignment="1" applyBorder="1" applyFont="1">
      <alignment horizontal="center" shrinkToFit="0" wrapText="1"/>
    </xf>
    <xf borderId="32" fillId="0" fontId="14" numFmtId="164" xfId="0" applyAlignment="1" applyBorder="1" applyFont="1" applyNumberFormat="1">
      <alignment horizontal="center" shrinkToFit="0" wrapText="1"/>
    </xf>
    <xf borderId="49" fillId="0" fontId="12" numFmtId="9" xfId="0" applyAlignment="1" applyBorder="1" applyFont="1" applyNumberFormat="1">
      <alignment horizontal="center" readingOrder="0" shrinkToFit="0" vertical="center" wrapText="1"/>
    </xf>
    <xf borderId="0" fillId="3" fontId="14" numFmtId="0" xfId="0" applyAlignment="1" applyFont="1">
      <alignment horizontal="center" readingOrder="0"/>
    </xf>
    <xf borderId="0" fillId="17" fontId="12" numFmtId="0" xfId="0" applyAlignment="1" applyFont="1">
      <alignment horizontal="center" readingOrder="0" shrinkToFit="0" vertical="center" wrapText="1"/>
    </xf>
    <xf borderId="60" fillId="0" fontId="12" numFmtId="167" xfId="0" applyAlignment="1" applyBorder="1" applyFont="1" applyNumberFormat="1">
      <alignment horizontal="center" readingOrder="0" shrinkToFit="0" vertical="center" wrapText="1"/>
    </xf>
    <xf borderId="0" fillId="16" fontId="12" numFmtId="0" xfId="0" applyAlignment="1" applyFont="1">
      <alignment horizontal="center" readingOrder="0" shrinkToFit="0" vertical="center" wrapText="1"/>
    </xf>
    <xf borderId="157" fillId="19" fontId="12" numFmtId="167" xfId="0" applyAlignment="1" applyBorder="1" applyFont="1" applyNumberFormat="1">
      <alignment horizontal="center" readingOrder="0" shrinkToFit="0" vertical="center" wrapText="1"/>
    </xf>
    <xf borderId="139" fillId="22" fontId="12" numFmtId="167" xfId="0" applyAlignment="1" applyBorder="1" applyFont="1" applyNumberFormat="1">
      <alignment horizontal="center" readingOrder="0" shrinkToFit="0" vertical="center" wrapText="1"/>
    </xf>
    <xf borderId="157" fillId="22" fontId="12" numFmtId="167" xfId="0" applyAlignment="1" applyBorder="1" applyFont="1" applyNumberFormat="1">
      <alignment horizontal="center" readingOrder="0" shrinkToFit="0" vertical="center" wrapText="1"/>
    </xf>
    <xf borderId="157" fillId="21" fontId="12" numFmtId="167" xfId="0" applyAlignment="1" applyBorder="1" applyFont="1" applyNumberFormat="1">
      <alignment horizontal="center" readingOrder="0" shrinkToFit="0" vertical="center" wrapText="1"/>
    </xf>
    <xf borderId="157" fillId="20" fontId="12" numFmtId="167" xfId="0" applyAlignment="1" applyBorder="1" applyFont="1" applyNumberFormat="1">
      <alignment horizontal="center" readingOrder="0" shrinkToFit="0" vertical="center" wrapText="1"/>
    </xf>
    <xf borderId="157" fillId="17" fontId="12" numFmtId="167" xfId="0" applyAlignment="1" applyBorder="1" applyFont="1" applyNumberFormat="1">
      <alignment horizontal="center" readingOrder="0" shrinkToFit="0" vertical="center" wrapText="1"/>
    </xf>
    <xf borderId="139" fillId="23" fontId="12" numFmtId="167" xfId="0" applyAlignment="1" applyBorder="1" applyFont="1" applyNumberFormat="1">
      <alignment horizontal="center" readingOrder="0" shrinkToFit="0" vertical="center" wrapText="1"/>
    </xf>
    <xf borderId="157" fillId="23" fontId="12" numFmtId="167" xfId="0" applyAlignment="1" applyBorder="1" applyFont="1" applyNumberFormat="1">
      <alignment horizontal="center" readingOrder="0" shrinkToFit="0" vertical="center" wrapText="1"/>
    </xf>
    <xf borderId="60" fillId="0" fontId="12" numFmtId="166" xfId="0" applyAlignment="1" applyBorder="1" applyFont="1" applyNumberFormat="1">
      <alignment horizontal="center" vertical="center"/>
    </xf>
    <xf borderId="33" fillId="0" fontId="13" numFmtId="0" xfId="0" applyAlignment="1" applyBorder="1" applyFont="1">
      <alignment horizontal="center" readingOrder="0" shrinkToFit="0" vertical="center" wrapText="1"/>
    </xf>
    <xf borderId="160" fillId="0" fontId="3" numFmtId="0" xfId="0" applyBorder="1" applyFont="1"/>
    <xf borderId="0" fillId="0" fontId="14" numFmtId="0" xfId="0" applyFont="1"/>
    <xf borderId="122" fillId="0" fontId="7" numFmtId="0" xfId="0" applyAlignment="1" applyBorder="1" applyFont="1">
      <alignment horizontal="center" readingOrder="0" shrinkToFit="0" vertical="center" wrapText="1"/>
    </xf>
    <xf borderId="161" fillId="3" fontId="4" numFmtId="0" xfId="0" applyAlignment="1" applyBorder="1" applyFont="1">
      <alignment horizontal="center" readingOrder="0" shrinkToFit="0" vertical="center" wrapText="1"/>
    </xf>
    <xf borderId="162" fillId="0" fontId="3" numFmtId="0" xfId="0" applyBorder="1" applyFont="1"/>
    <xf borderId="163" fillId="0" fontId="3" numFmtId="0" xfId="0" applyBorder="1" applyFont="1"/>
    <xf borderId="0" fillId="3" fontId="14" numFmtId="0" xfId="0" applyFont="1"/>
    <xf borderId="11" fillId="2" fontId="14" numFmtId="0" xfId="0" applyBorder="1" applyFont="1"/>
    <xf borderId="126" fillId="4" fontId="10" numFmtId="0" xfId="0" applyAlignment="1" applyBorder="1" applyFont="1">
      <alignment horizontal="center" readingOrder="0" shrinkToFit="0" wrapText="1"/>
    </xf>
    <xf borderId="126" fillId="5" fontId="10" numFmtId="0" xfId="0" applyAlignment="1" applyBorder="1" applyFont="1">
      <alignment horizontal="center" readingOrder="0" shrinkToFit="0" wrapText="1"/>
    </xf>
    <xf borderId="127" fillId="4" fontId="10" numFmtId="0" xfId="0" applyAlignment="1" applyBorder="1" applyFont="1">
      <alignment horizontal="center" shrinkToFit="0" wrapText="1"/>
    </xf>
    <xf borderId="2" fillId="4" fontId="10" numFmtId="0" xfId="0" applyAlignment="1" applyBorder="1" applyFont="1">
      <alignment horizontal="center" shrinkToFit="0" wrapText="1"/>
    </xf>
    <xf borderId="128" fillId="0" fontId="10" numFmtId="0" xfId="0" applyAlignment="1" applyBorder="1" applyFont="1">
      <alignment horizontal="center" shrinkToFit="0" wrapText="1"/>
    </xf>
    <xf borderId="2" fillId="0" fontId="10" numFmtId="0" xfId="0" applyAlignment="1" applyBorder="1" applyFont="1">
      <alignment horizontal="center" shrinkToFit="0" wrapText="1"/>
    </xf>
    <xf borderId="129" fillId="4" fontId="10" numFmtId="0" xfId="0" applyAlignment="1" applyBorder="1" applyFont="1">
      <alignment horizontal="center" readingOrder="0" shrinkToFit="0" wrapText="1"/>
    </xf>
    <xf borderId="130" fillId="4" fontId="10" numFmtId="0" xfId="0" applyAlignment="1" applyBorder="1" applyFont="1">
      <alignment horizontal="center" shrinkToFit="0" wrapText="1"/>
    </xf>
    <xf borderId="128" fillId="4" fontId="10" numFmtId="0" xfId="0" applyAlignment="1" applyBorder="1" applyFont="1">
      <alignment horizontal="center" shrinkToFit="0" wrapText="1"/>
    </xf>
    <xf borderId="29" fillId="6" fontId="10" numFmtId="0" xfId="0" applyAlignment="1" applyBorder="1" applyFont="1">
      <alignment horizontal="center" shrinkToFit="0" wrapText="1"/>
    </xf>
    <xf borderId="131" fillId="8" fontId="10" numFmtId="0" xfId="0" applyAlignment="1" applyBorder="1" applyFont="1">
      <alignment horizontal="center" shrinkToFit="0" wrapText="1"/>
    </xf>
    <xf borderId="132" fillId="8" fontId="10" numFmtId="0" xfId="0" applyAlignment="1" applyBorder="1" applyFont="1">
      <alignment horizontal="center" shrinkToFit="0" wrapText="1"/>
    </xf>
    <xf borderId="133" fillId="8" fontId="10" numFmtId="0" xfId="0" applyAlignment="1" applyBorder="1" applyFont="1">
      <alignment horizontal="center" shrinkToFit="0" wrapText="1"/>
    </xf>
    <xf borderId="131" fillId="9" fontId="10" numFmtId="0" xfId="0" applyAlignment="1" applyBorder="1" applyFont="1">
      <alignment horizontal="center" shrinkToFit="0" wrapText="1"/>
    </xf>
    <xf borderId="132" fillId="9" fontId="10" numFmtId="0" xfId="0" applyAlignment="1" applyBorder="1" applyFont="1">
      <alignment horizontal="center" shrinkToFit="0" wrapText="1"/>
    </xf>
    <xf borderId="164" fillId="9" fontId="10" numFmtId="0" xfId="0" applyAlignment="1" applyBorder="1" applyFont="1">
      <alignment horizontal="center" shrinkToFit="0" wrapText="1"/>
    </xf>
    <xf borderId="0" fillId="2" fontId="10" numFmtId="0" xfId="0" applyAlignment="1" applyFont="1">
      <alignment horizontal="center" shrinkToFit="0" wrapText="1"/>
    </xf>
    <xf borderId="148" fillId="2" fontId="10" numFmtId="0" xfId="0" applyAlignment="1" applyBorder="1" applyFont="1">
      <alignment horizontal="center" shrinkToFit="0" wrapText="1"/>
    </xf>
    <xf borderId="0" fillId="4" fontId="10" numFmtId="0" xfId="0" applyAlignment="1" applyFont="1">
      <alignment horizontal="center" shrinkToFit="0" wrapText="1"/>
    </xf>
    <xf borderId="57" fillId="4" fontId="10" numFmtId="0" xfId="0" applyAlignment="1" applyBorder="1" applyFont="1">
      <alignment horizontal="center" shrinkToFit="0" wrapText="1"/>
    </xf>
    <xf borderId="0" fillId="10" fontId="10" numFmtId="0" xfId="0" applyAlignment="1" applyFont="1">
      <alignment horizontal="center" shrinkToFit="0" wrapText="1"/>
    </xf>
    <xf borderId="57" fillId="10" fontId="10" numFmtId="0" xfId="0" applyAlignment="1" applyBorder="1" applyFont="1">
      <alignment horizontal="center" shrinkToFit="0" wrapText="1"/>
    </xf>
    <xf borderId="0" fillId="10" fontId="18" numFmtId="0" xfId="0" applyAlignment="1" applyFont="1">
      <alignment horizontal="center" shrinkToFit="0" wrapText="1"/>
    </xf>
    <xf borderId="57" fillId="10" fontId="18" numFmtId="0" xfId="0" applyAlignment="1" applyBorder="1" applyFont="1">
      <alignment horizontal="center" shrinkToFit="0" wrapText="1"/>
    </xf>
    <xf borderId="0" fillId="10" fontId="18" numFmtId="0" xfId="0" applyAlignment="1" applyFont="1">
      <alignment horizontal="center" readingOrder="0" shrinkToFit="0" wrapText="1"/>
    </xf>
    <xf borderId="57" fillId="10" fontId="18" numFmtId="0" xfId="0" applyAlignment="1" applyBorder="1" applyFont="1">
      <alignment horizontal="center" readingOrder="0" shrinkToFit="0" wrapText="1"/>
    </xf>
    <xf borderId="0" fillId="10" fontId="19" numFmtId="0" xfId="0" applyAlignment="1" applyFont="1">
      <alignment horizontal="center" readingOrder="0" shrinkToFit="0" wrapText="1"/>
    </xf>
    <xf borderId="57" fillId="10" fontId="19" numFmtId="0" xfId="0" applyAlignment="1" applyBorder="1" applyFont="1">
      <alignment horizontal="center" readingOrder="0" shrinkToFit="0" wrapText="1"/>
    </xf>
    <xf borderId="0" fillId="10" fontId="20" numFmtId="0" xfId="0" applyAlignment="1" applyFont="1">
      <alignment horizontal="center" readingOrder="0" shrinkToFit="0" wrapText="1"/>
    </xf>
    <xf borderId="57" fillId="10" fontId="20" numFmtId="0" xfId="0" applyAlignment="1" applyBorder="1" applyFont="1">
      <alignment horizontal="center" readingOrder="0" shrinkToFit="0" wrapText="1"/>
    </xf>
    <xf borderId="0" fillId="10" fontId="20" numFmtId="0" xfId="0" applyAlignment="1" applyFont="1">
      <alignment horizontal="center" readingOrder="0" shrinkToFit="0" vertical="bottom" wrapText="1"/>
    </xf>
    <xf borderId="57" fillId="10" fontId="20" numFmtId="0" xfId="0" applyAlignment="1" applyBorder="1" applyFont="1">
      <alignment horizontal="center" readingOrder="0" shrinkToFit="0" vertical="bottom" wrapText="1"/>
    </xf>
    <xf borderId="27" fillId="0" fontId="14" numFmtId="0" xfId="0" applyAlignment="1" applyBorder="1" applyFont="1">
      <alignment shrinkToFit="0" wrapText="1"/>
    </xf>
    <xf borderId="134" fillId="12" fontId="14" numFmtId="0" xfId="0" applyBorder="1" applyFont="1"/>
    <xf borderId="135" fillId="12" fontId="14" numFmtId="0" xfId="0" applyBorder="1" applyFont="1"/>
    <xf borderId="136" fillId="12" fontId="14" numFmtId="0" xfId="0" applyBorder="1" applyFont="1"/>
    <xf borderId="2" fillId="12" fontId="14" numFmtId="0" xfId="0" applyBorder="1" applyFont="1"/>
    <xf borderId="138" fillId="12" fontId="14" numFmtId="0" xfId="0" applyBorder="1" applyFont="1"/>
    <xf borderId="32" fillId="12" fontId="14" numFmtId="0" xfId="0" applyBorder="1" applyFont="1"/>
    <xf borderId="140" fillId="12" fontId="14" numFmtId="0" xfId="0" applyBorder="1" applyFont="1"/>
    <xf borderId="165" fillId="12" fontId="14" numFmtId="0" xfId="0" applyBorder="1" applyFont="1"/>
    <xf borderId="166" fillId="12" fontId="14" numFmtId="0" xfId="0" applyBorder="1" applyFont="1"/>
    <xf borderId="28" fillId="12" fontId="14" numFmtId="0" xfId="0" applyBorder="1" applyFont="1"/>
    <xf borderId="3" fillId="12" fontId="14" numFmtId="0" xfId="0" applyBorder="1" applyFont="1"/>
    <xf borderId="0" fillId="12" fontId="14" numFmtId="0" xfId="0" applyAlignment="1" applyFont="1">
      <alignment vertical="bottom"/>
    </xf>
    <xf borderId="139" fillId="12" fontId="14" numFmtId="0" xfId="0" applyAlignment="1" applyBorder="1" applyFont="1">
      <alignment vertical="bottom"/>
    </xf>
    <xf borderId="33" fillId="12" fontId="14" numFmtId="0" xfId="0" applyAlignment="1" applyBorder="1" applyFont="1">
      <alignment vertical="bottom"/>
    </xf>
    <xf borderId="167" fillId="12" fontId="14" numFmtId="0" xfId="0" applyAlignment="1" applyBorder="1" applyFont="1">
      <alignment vertical="bottom"/>
    </xf>
    <xf borderId="141" fillId="0" fontId="14" numFmtId="0" xfId="0" applyAlignment="1" applyBorder="1" applyFont="1">
      <alignment horizontal="center" readingOrder="0"/>
    </xf>
    <xf borderId="141" fillId="0" fontId="14" numFmtId="0" xfId="0" applyAlignment="1" applyBorder="1" applyFont="1">
      <alignment horizontal="center"/>
    </xf>
    <xf borderId="33" fillId="0" fontId="14" numFmtId="0" xfId="0" applyAlignment="1" applyBorder="1" applyFont="1">
      <alignment horizontal="center"/>
    </xf>
    <xf borderId="32" fillId="0" fontId="14" numFmtId="0" xfId="0" applyAlignment="1" applyBorder="1" applyFont="1">
      <alignment horizontal="center" shrinkToFit="0" wrapText="1"/>
    </xf>
    <xf borderId="33" fillId="0" fontId="14" numFmtId="166" xfId="0" applyAlignment="1" applyBorder="1" applyFont="1" applyNumberFormat="1">
      <alignment horizontal="center"/>
    </xf>
    <xf borderId="70" fillId="0" fontId="14" numFmtId="166" xfId="0" applyAlignment="1" applyBorder="1" applyFont="1" applyNumberFormat="1">
      <alignment horizontal="center"/>
    </xf>
    <xf borderId="60" fillId="0" fontId="14" numFmtId="0" xfId="0" applyAlignment="1" applyBorder="1" applyFont="1">
      <alignment horizontal="center" shrinkToFit="0" wrapText="1"/>
    </xf>
    <xf borderId="142" fillId="0" fontId="14" numFmtId="164" xfId="0" applyAlignment="1" applyBorder="1" applyFont="1" applyNumberFormat="1">
      <alignment horizontal="center" shrinkToFit="0" vertical="bottom" wrapText="1"/>
    </xf>
    <xf borderId="139" fillId="0" fontId="6" numFmtId="0" xfId="0" applyBorder="1" applyFont="1"/>
    <xf borderId="45" fillId="0" fontId="14" numFmtId="0" xfId="0" applyBorder="1" applyFont="1"/>
    <xf borderId="168" fillId="0" fontId="14" numFmtId="0" xfId="0" applyAlignment="1" applyBorder="1" applyFont="1">
      <alignment horizontal="center" shrinkToFit="0" wrapText="1"/>
    </xf>
    <xf borderId="167" fillId="0" fontId="14" numFmtId="0" xfId="0" applyAlignment="1" applyBorder="1" applyFont="1">
      <alignment horizontal="center" shrinkToFit="0" wrapText="1"/>
    </xf>
    <xf borderId="139" fillId="0" fontId="14" numFmtId="0" xfId="0" applyAlignment="1" applyBorder="1" applyFont="1">
      <alignment horizontal="center" shrinkToFit="0" vertical="bottom" wrapText="1"/>
    </xf>
    <xf borderId="33" fillId="0" fontId="14" numFmtId="0" xfId="0" applyAlignment="1" applyBorder="1" applyFont="1">
      <alignment horizontal="center" shrinkToFit="0" vertical="bottom" wrapText="1"/>
    </xf>
    <xf borderId="167" fillId="0" fontId="14" numFmtId="0" xfId="0" applyAlignment="1" applyBorder="1" applyFont="1">
      <alignment horizontal="center" shrinkToFit="0" vertical="bottom" wrapText="1"/>
    </xf>
    <xf borderId="0" fillId="0" fontId="14" numFmtId="0" xfId="0" applyAlignment="1" applyFont="1">
      <alignment horizontal="center" shrinkToFit="0" vertical="bottom" wrapText="1"/>
    </xf>
    <xf borderId="32" fillId="0" fontId="14" numFmtId="0" xfId="0" applyAlignment="1" applyBorder="1" applyFont="1">
      <alignment horizontal="center"/>
    </xf>
    <xf borderId="70" fillId="0" fontId="14" numFmtId="0" xfId="0" applyAlignment="1" applyBorder="1" applyFont="1">
      <alignment horizontal="center"/>
    </xf>
    <xf borderId="32" fillId="0" fontId="14" numFmtId="167" xfId="0" applyAlignment="1" applyBorder="1" applyFont="1" applyNumberFormat="1">
      <alignment horizontal="center" shrinkToFit="0" wrapText="1"/>
    </xf>
    <xf borderId="33" fillId="0" fontId="14" numFmtId="167" xfId="0" applyAlignment="1" applyBorder="1" applyFont="1" applyNumberFormat="1">
      <alignment horizontal="center"/>
    </xf>
    <xf borderId="70" fillId="0" fontId="14" numFmtId="167" xfId="0" applyAlignment="1" applyBorder="1" applyFont="1" applyNumberFormat="1">
      <alignment horizontal="center" shrinkToFit="0" wrapText="1"/>
    </xf>
    <xf borderId="139" fillId="0" fontId="14" numFmtId="167" xfId="0" applyAlignment="1" applyBorder="1" applyFont="1" applyNumberFormat="1">
      <alignment horizontal="center" shrinkToFit="0" wrapText="1"/>
    </xf>
    <xf borderId="33" fillId="0" fontId="14" numFmtId="167" xfId="0" applyAlignment="1" applyBorder="1" applyFont="1" applyNumberFormat="1">
      <alignment horizontal="center" shrinkToFit="0" wrapText="1"/>
    </xf>
    <xf borderId="142" fillId="0" fontId="14" numFmtId="167" xfId="0" applyAlignment="1" applyBorder="1" applyFont="1" applyNumberFormat="1">
      <alignment horizontal="center" shrinkToFit="0" wrapText="1"/>
    </xf>
    <xf borderId="167" fillId="0" fontId="14" numFmtId="167" xfId="0" applyAlignment="1" applyBorder="1" applyFont="1" applyNumberFormat="1">
      <alignment horizontal="center" shrinkToFit="0" wrapText="1"/>
    </xf>
    <xf borderId="32" fillId="0" fontId="14" numFmtId="0" xfId="0" applyAlignment="1" applyBorder="1" applyFont="1">
      <alignment horizontal="center" shrinkToFit="0" vertical="bottom" wrapText="1"/>
    </xf>
    <xf borderId="70" fillId="0" fontId="14" numFmtId="165" xfId="0" applyAlignment="1" applyBorder="1" applyFont="1" applyNumberFormat="1">
      <alignment horizontal="center" shrinkToFit="0" wrapText="1"/>
    </xf>
    <xf borderId="139" fillId="0" fontId="6" numFmtId="165" xfId="0" applyBorder="1" applyFont="1" applyNumberFormat="1"/>
    <xf borderId="70" fillId="0" fontId="14" numFmtId="9" xfId="0" applyAlignment="1" applyBorder="1" applyFont="1" applyNumberFormat="1">
      <alignment horizontal="center" shrinkToFit="0" wrapText="1"/>
    </xf>
    <xf borderId="142" fillId="0" fontId="14" numFmtId="0" xfId="0" applyAlignment="1" applyBorder="1" applyFont="1">
      <alignment horizontal="center" shrinkToFit="0" wrapText="1"/>
    </xf>
    <xf borderId="32" fillId="0" fontId="14" numFmtId="166" xfId="0" applyAlignment="1" applyBorder="1" applyFont="1" applyNumberFormat="1">
      <alignment horizontal="center"/>
    </xf>
    <xf borderId="70" fillId="0" fontId="14" numFmtId="164" xfId="0" applyAlignment="1" applyBorder="1" applyFont="1" applyNumberFormat="1">
      <alignment horizontal="center" shrinkToFit="0" wrapText="1"/>
    </xf>
    <xf borderId="139" fillId="0" fontId="6" numFmtId="164" xfId="0" applyBorder="1" applyFont="1" applyNumberFormat="1"/>
    <xf borderId="32" fillId="0" fontId="14" numFmtId="9" xfId="0" applyAlignment="1" applyBorder="1" applyFont="1" applyNumberFormat="1">
      <alignment horizontal="center" shrinkToFit="0" wrapText="1"/>
    </xf>
    <xf borderId="167" fillId="0" fontId="14" numFmtId="9" xfId="0" applyAlignment="1" applyBorder="1" applyFont="1" applyNumberFormat="1">
      <alignment horizontal="center" shrinkToFit="0" wrapText="1"/>
    </xf>
    <xf borderId="70" fillId="0" fontId="14" numFmtId="166" xfId="0" applyBorder="1" applyFont="1" applyNumberFormat="1"/>
    <xf borderId="139" fillId="0" fontId="14" numFmtId="164" xfId="0" applyAlignment="1" applyBorder="1" applyFont="1" applyNumberFormat="1">
      <alignment horizontal="center" shrinkToFit="0" wrapText="1"/>
    </xf>
    <xf borderId="60" fillId="0" fontId="14" numFmtId="0" xfId="0" applyBorder="1" applyFont="1"/>
    <xf borderId="168" fillId="0" fontId="14" numFmtId="167" xfId="0" applyAlignment="1" applyBorder="1" applyFont="1" applyNumberFormat="1">
      <alignment horizontal="center" shrinkToFit="0" wrapText="1"/>
    </xf>
    <xf borderId="33" fillId="0" fontId="14" numFmtId="0" xfId="0" applyBorder="1" applyFont="1"/>
    <xf borderId="32" fillId="29" fontId="14" numFmtId="0" xfId="0" applyAlignment="1" applyBorder="1" applyFont="1">
      <alignment horizontal="center" readingOrder="0" shrinkToFit="0" wrapText="1"/>
    </xf>
    <xf borderId="32" fillId="0" fontId="14" numFmtId="164" xfId="0" applyAlignment="1" applyBorder="1" applyFont="1" applyNumberFormat="1">
      <alignment horizontal="center" readingOrder="0" shrinkToFit="0" wrapText="1"/>
    </xf>
    <xf borderId="33" fillId="0" fontId="14" numFmtId="0" xfId="0" applyAlignment="1" applyBorder="1" applyFont="1">
      <alignment horizontal="center" readingOrder="0" shrinkToFit="0" wrapText="1"/>
    </xf>
    <xf borderId="33" fillId="0" fontId="14" numFmtId="0" xfId="0" applyAlignment="1" applyBorder="1" applyFont="1">
      <alignment horizontal="center" readingOrder="0"/>
    </xf>
    <xf borderId="60" fillId="3" fontId="14" numFmtId="0" xfId="0" applyAlignment="1" applyBorder="1" applyFont="1">
      <alignment horizontal="center" shrinkToFit="0" wrapText="1"/>
    </xf>
    <xf borderId="60" fillId="0" fontId="14" numFmtId="0" xfId="0" applyAlignment="1" applyBorder="1" applyFont="1">
      <alignment horizontal="center" readingOrder="0" shrinkToFit="0" wrapText="1"/>
    </xf>
    <xf borderId="60" fillId="0" fontId="14" numFmtId="164" xfId="0" applyAlignment="1" applyBorder="1" applyFont="1" applyNumberFormat="1">
      <alignment horizontal="center" readingOrder="0" shrinkToFit="0" wrapText="1"/>
    </xf>
    <xf borderId="32" fillId="0" fontId="14" numFmtId="0" xfId="0" applyAlignment="1" applyBorder="1" applyFont="1">
      <alignment horizontal="center" readingOrder="0" shrinkToFit="0" wrapText="1"/>
    </xf>
    <xf borderId="32" fillId="0" fontId="12" numFmtId="9" xfId="0" applyAlignment="1" applyBorder="1" applyFont="1" applyNumberFormat="1">
      <alignment horizontal="center" readingOrder="0" shrinkToFit="0" vertical="center" wrapText="1"/>
    </xf>
    <xf borderId="33" fillId="5" fontId="14" numFmtId="0" xfId="0" applyAlignment="1" applyBorder="1" applyFont="1">
      <alignment horizontal="center" shrinkToFit="0" wrapText="1"/>
    </xf>
    <xf borderId="32" fillId="0" fontId="15" numFmtId="0" xfId="0" applyAlignment="1" applyBorder="1" applyFont="1">
      <alignment horizontal="center" shrinkToFit="0" wrapText="1"/>
    </xf>
    <xf borderId="139" fillId="0" fontId="15" numFmtId="0" xfId="0" applyAlignment="1" applyBorder="1" applyFont="1">
      <alignment horizontal="center" shrinkToFit="0" vertical="bottom" wrapText="1"/>
    </xf>
    <xf borderId="33" fillId="5" fontId="14" numFmtId="0" xfId="0" applyAlignment="1" applyBorder="1" applyFont="1">
      <alignment horizontal="center" shrinkToFit="0" vertical="bottom" wrapText="1"/>
    </xf>
    <xf borderId="32" fillId="0" fontId="15" numFmtId="0" xfId="0" applyAlignment="1" applyBorder="1" applyFont="1">
      <alignment horizontal="center" shrinkToFit="0" vertical="bottom" wrapText="1"/>
    </xf>
    <xf borderId="139" fillId="0" fontId="15" numFmtId="0" xfId="0" applyAlignment="1" applyBorder="1" applyFont="1">
      <alignment horizontal="center" readingOrder="0" shrinkToFit="0" vertical="bottom" wrapText="1"/>
    </xf>
    <xf borderId="32" fillId="0" fontId="15" numFmtId="0" xfId="0" applyAlignment="1" applyBorder="1" applyFont="1">
      <alignment horizontal="center" readingOrder="0" shrinkToFit="0" vertical="bottom" wrapText="1"/>
    </xf>
    <xf borderId="33" fillId="0" fontId="14" numFmtId="0" xfId="0" applyAlignment="1" applyBorder="1" applyFont="1">
      <alignment vertical="bottom"/>
    </xf>
    <xf borderId="32" fillId="0" fontId="15" numFmtId="0" xfId="0" applyAlignment="1" applyBorder="1" applyFont="1">
      <alignment horizontal="center" readingOrder="0" shrinkToFit="0" wrapText="1"/>
    </xf>
    <xf borderId="145" fillId="14" fontId="14" numFmtId="0" xfId="0" applyBorder="1" applyFont="1"/>
    <xf borderId="60" fillId="14" fontId="14" numFmtId="0" xfId="0" applyBorder="1" applyFont="1"/>
    <xf borderId="60" fillId="14" fontId="14" numFmtId="166" xfId="0" applyBorder="1" applyFont="1" applyNumberFormat="1"/>
    <xf borderId="70" fillId="14" fontId="14" numFmtId="166" xfId="0" applyBorder="1" applyFont="1" applyNumberFormat="1"/>
    <xf borderId="63" fillId="14" fontId="14" numFmtId="0" xfId="0" applyBorder="1" applyFont="1"/>
    <xf borderId="45" fillId="14" fontId="14" numFmtId="164" xfId="0" applyBorder="1" applyFont="1" applyNumberFormat="1"/>
    <xf borderId="45" fillId="14" fontId="14" numFmtId="0" xfId="0" applyBorder="1" applyFont="1"/>
    <xf borderId="32" fillId="14" fontId="14" numFmtId="167" xfId="0" applyBorder="1" applyFont="1" applyNumberFormat="1"/>
    <xf borderId="33" fillId="14" fontId="14" numFmtId="167" xfId="0" applyBorder="1" applyFont="1" applyNumberFormat="1"/>
    <xf borderId="70" fillId="14" fontId="14" numFmtId="167" xfId="0" applyBorder="1" applyFont="1" applyNumberFormat="1"/>
    <xf borderId="139" fillId="14" fontId="14" numFmtId="167" xfId="0" applyBorder="1" applyFont="1" applyNumberFormat="1"/>
    <xf borderId="169" fillId="14" fontId="14" numFmtId="167" xfId="0" applyBorder="1" applyFont="1" applyNumberFormat="1"/>
    <xf borderId="148" fillId="14" fontId="14" numFmtId="167" xfId="0" applyBorder="1" applyFont="1" applyNumberFormat="1"/>
    <xf borderId="57" fillId="14" fontId="14" numFmtId="167" xfId="0" applyBorder="1" applyFont="1" applyNumberFormat="1"/>
    <xf borderId="0" fillId="14" fontId="14" numFmtId="167" xfId="0" applyAlignment="1" applyFont="1" applyNumberFormat="1">
      <alignment vertical="bottom"/>
    </xf>
    <xf borderId="32" fillId="0" fontId="14" numFmtId="0" xfId="0" applyAlignment="1" applyBorder="1" applyFont="1">
      <alignment horizontal="center" readingOrder="0"/>
    </xf>
    <xf borderId="70" fillId="0" fontId="14" numFmtId="0" xfId="0" applyAlignment="1" applyBorder="1" applyFont="1">
      <alignment horizontal="center" readingOrder="0"/>
    </xf>
    <xf borderId="139" fillId="3" fontId="14" numFmtId="0" xfId="0" applyAlignment="1" applyBorder="1" applyFont="1">
      <alignment horizontal="center" shrinkToFit="0" wrapText="1"/>
    </xf>
    <xf borderId="45" fillId="29" fontId="14" numFmtId="0" xfId="0" applyAlignment="1" applyBorder="1" applyFont="1">
      <alignment horizontal="center" readingOrder="0" shrinkToFit="0" wrapText="1"/>
    </xf>
    <xf borderId="142" fillId="0" fontId="14" numFmtId="9" xfId="0" applyAlignment="1" applyBorder="1" applyFont="1" applyNumberFormat="1">
      <alignment horizontal="center" shrinkToFit="0" wrapText="1"/>
    </xf>
    <xf borderId="33" fillId="3" fontId="14" numFmtId="0" xfId="0" applyAlignment="1" applyBorder="1" applyFont="1">
      <alignment horizontal="center" readingOrder="0" vertical="bottom"/>
    </xf>
    <xf borderId="139" fillId="28" fontId="14" numFmtId="9" xfId="0" applyAlignment="1" applyBorder="1" applyFont="1" applyNumberFormat="1">
      <alignment horizontal="center" readingOrder="0" shrinkToFit="0" vertical="bottom" wrapText="1"/>
    </xf>
    <xf borderId="167" fillId="28" fontId="14" numFmtId="9" xfId="0" applyAlignment="1" applyBorder="1" applyFont="1" applyNumberFormat="1">
      <alignment horizontal="center" readingOrder="0" shrinkToFit="0" vertical="bottom" wrapText="1"/>
    </xf>
    <xf borderId="167" fillId="28" fontId="14" numFmtId="9" xfId="0" applyAlignment="1" applyBorder="1" applyFont="1" applyNumberFormat="1">
      <alignment horizontal="center" shrinkToFit="0" vertical="bottom" wrapText="1"/>
    </xf>
    <xf borderId="139" fillId="0" fontId="14" numFmtId="9" xfId="0" applyAlignment="1" applyBorder="1" applyFont="1" applyNumberFormat="1">
      <alignment horizontal="center" shrinkToFit="0" vertical="bottom" wrapText="1"/>
    </xf>
    <xf borderId="145" fillId="15" fontId="14" numFmtId="0" xfId="0" applyBorder="1" applyFont="1"/>
    <xf borderId="60" fillId="15" fontId="14" numFmtId="0" xfId="0" applyBorder="1" applyFont="1"/>
    <xf borderId="60" fillId="15" fontId="14" numFmtId="166" xfId="0" applyBorder="1" applyFont="1" applyNumberFormat="1"/>
    <xf borderId="70" fillId="15" fontId="14" numFmtId="166" xfId="0" applyBorder="1" applyFont="1" applyNumberFormat="1"/>
    <xf borderId="63" fillId="15" fontId="14" numFmtId="0" xfId="0" applyBorder="1" applyFont="1"/>
    <xf borderId="45" fillId="15" fontId="14" numFmtId="164" xfId="0" applyBorder="1" applyFont="1" applyNumberFormat="1"/>
    <xf borderId="45" fillId="15" fontId="14" numFmtId="0" xfId="0" applyBorder="1" applyFont="1"/>
    <xf borderId="32" fillId="15" fontId="14" numFmtId="167" xfId="0" applyBorder="1" applyFont="1" applyNumberFormat="1"/>
    <xf borderId="33" fillId="15" fontId="14" numFmtId="167" xfId="0" applyBorder="1" applyFont="1" applyNumberFormat="1"/>
    <xf borderId="70" fillId="15" fontId="14" numFmtId="167" xfId="0" applyBorder="1" applyFont="1" applyNumberFormat="1"/>
    <xf borderId="139" fillId="15" fontId="14" numFmtId="167" xfId="0" applyBorder="1" applyFont="1" applyNumberFormat="1"/>
    <xf borderId="169" fillId="15" fontId="14" numFmtId="167" xfId="0" applyBorder="1" applyFont="1" applyNumberFormat="1"/>
    <xf borderId="148" fillId="15" fontId="14" numFmtId="167" xfId="0" applyBorder="1" applyFont="1" applyNumberFormat="1"/>
    <xf borderId="57" fillId="15" fontId="14" numFmtId="167" xfId="0" applyBorder="1" applyFont="1" applyNumberFormat="1"/>
    <xf borderId="0" fillId="15" fontId="14" numFmtId="167" xfId="0" applyAlignment="1" applyFont="1" applyNumberFormat="1">
      <alignment vertical="bottom"/>
    </xf>
    <xf borderId="70" fillId="15" fontId="14" numFmtId="0" xfId="0" applyBorder="1" applyFont="1"/>
    <xf borderId="60" fillId="15" fontId="14" numFmtId="165" xfId="0" applyBorder="1" applyFont="1" applyNumberFormat="1"/>
    <xf borderId="33" fillId="0" fontId="6" numFmtId="165" xfId="0" applyBorder="1" applyFont="1" applyNumberFormat="1"/>
    <xf borderId="141" fillId="10" fontId="14" numFmtId="0" xfId="0" applyAlignment="1" applyBorder="1" applyFont="1">
      <alignment horizontal="center" readingOrder="0"/>
    </xf>
    <xf borderId="141" fillId="10" fontId="14" numFmtId="0" xfId="0" applyAlignment="1" applyBorder="1" applyFont="1">
      <alignment horizontal="center"/>
    </xf>
    <xf borderId="70" fillId="0" fontId="14" numFmtId="0" xfId="0" applyBorder="1" applyFont="1"/>
    <xf borderId="32" fillId="3" fontId="14" numFmtId="0" xfId="0" applyAlignment="1" applyBorder="1" applyFont="1">
      <alignment horizontal="center" readingOrder="0" shrinkToFit="0" wrapText="1"/>
    </xf>
    <xf borderId="70" fillId="0" fontId="14" numFmtId="164" xfId="0" applyAlignment="1" applyBorder="1" applyFont="1" applyNumberFormat="1">
      <alignment horizontal="center" readingOrder="0" shrinkToFit="0" wrapText="1"/>
    </xf>
    <xf borderId="167" fillId="27" fontId="14" numFmtId="9" xfId="0" applyAlignment="1" applyBorder="1" applyFont="1" applyNumberFormat="1">
      <alignment horizontal="center" shrinkToFit="0" wrapText="1"/>
    </xf>
    <xf borderId="167" fillId="28" fontId="14" numFmtId="9" xfId="0" applyAlignment="1" applyBorder="1" applyFont="1" applyNumberFormat="1">
      <alignment horizontal="center" readingOrder="0" shrinkToFit="0" wrapText="1"/>
    </xf>
    <xf borderId="139" fillId="0" fontId="16" numFmtId="0" xfId="0" applyAlignment="1" applyBorder="1" applyFont="1">
      <alignment horizontal="center" readingOrder="0" shrinkToFit="0" wrapText="1"/>
    </xf>
    <xf borderId="167" fillId="0" fontId="12" numFmtId="9" xfId="0" applyAlignment="1" applyBorder="1" applyFont="1" applyNumberFormat="1">
      <alignment horizontal="center" readingOrder="0" shrinkToFit="0" vertical="center" wrapText="1"/>
    </xf>
    <xf borderId="167" fillId="0" fontId="15" numFmtId="0" xfId="0" applyAlignment="1" applyBorder="1" applyFont="1">
      <alignment horizontal="center" readingOrder="0" shrinkToFit="0" wrapText="1"/>
    </xf>
    <xf borderId="167" fillId="28" fontId="14" numFmtId="9" xfId="0" applyAlignment="1" applyBorder="1" applyFont="1" applyNumberFormat="1">
      <alignment horizontal="center" shrinkToFit="0" wrapText="1"/>
    </xf>
    <xf borderId="33" fillId="5" fontId="14" numFmtId="9" xfId="0" applyAlignment="1" applyBorder="1" applyFont="1" applyNumberFormat="1">
      <alignment horizontal="center" shrinkToFit="0" vertical="bottom" wrapText="1"/>
    </xf>
    <xf borderId="33" fillId="5" fontId="14" numFmtId="0" xfId="0" applyAlignment="1" applyBorder="1" applyFont="1">
      <alignment horizontal="center" readingOrder="0" shrinkToFit="0" vertical="bottom" wrapText="1"/>
    </xf>
    <xf borderId="139" fillId="28" fontId="14" numFmtId="9" xfId="0" applyAlignment="1" applyBorder="1" applyFont="1" applyNumberFormat="1">
      <alignment horizontal="center" shrinkToFit="0" vertical="bottom" wrapText="1"/>
    </xf>
    <xf borderId="60" fillId="15" fontId="14" numFmtId="164" xfId="0" applyBorder="1" applyFont="1" applyNumberFormat="1"/>
    <xf borderId="33" fillId="0" fontId="6" numFmtId="164" xfId="0" applyBorder="1" applyFont="1" applyNumberFormat="1"/>
    <xf borderId="27" fillId="0" fontId="14" numFmtId="0" xfId="0" applyAlignment="1" applyBorder="1" applyFont="1">
      <alignment readingOrder="0" shrinkToFit="0" wrapText="1"/>
    </xf>
    <xf borderId="70" fillId="0" fontId="14" numFmtId="166" xfId="0" applyAlignment="1" applyBorder="1" applyFont="1" applyNumberFormat="1">
      <alignment horizontal="center" readingOrder="0"/>
    </xf>
    <xf borderId="33" fillId="0" fontId="14" numFmtId="164" xfId="0" applyAlignment="1" applyBorder="1" applyFont="1" applyNumberFormat="1">
      <alignment horizontal="center" shrinkToFit="0" vertical="bottom" wrapText="1"/>
    </xf>
    <xf borderId="167" fillId="0" fontId="14" numFmtId="0" xfId="0" applyAlignment="1" applyBorder="1" applyFont="1">
      <alignment horizontal="center" readingOrder="0" shrinkToFit="0" wrapText="1"/>
    </xf>
    <xf borderId="167" fillId="0" fontId="13" numFmtId="0" xfId="0" applyAlignment="1" applyBorder="1" applyFont="1">
      <alignment horizontal="center" readingOrder="0" shrinkToFit="0" vertical="center" wrapText="1"/>
    </xf>
    <xf borderId="33" fillId="3" fontId="14" numFmtId="9" xfId="0" applyAlignment="1" applyBorder="1" applyFont="1" applyNumberFormat="1">
      <alignment vertical="bottom"/>
    </xf>
    <xf borderId="45" fillId="13" fontId="14" numFmtId="0" xfId="0" applyAlignment="1" applyBorder="1" applyFont="1">
      <alignment horizontal="center" shrinkToFit="0" wrapText="1"/>
    </xf>
    <xf borderId="33" fillId="3" fontId="14" numFmtId="167" xfId="0" applyAlignment="1" applyBorder="1" applyFont="1" applyNumberFormat="1">
      <alignment horizontal="center" shrinkToFit="0" wrapText="1"/>
    </xf>
    <xf borderId="70" fillId="28" fontId="14" numFmtId="9" xfId="0" applyAlignment="1" applyBorder="1" applyFont="1" applyNumberFormat="1">
      <alignment horizontal="center" shrinkToFit="0" wrapText="1"/>
    </xf>
    <xf borderId="33" fillId="5" fontId="14" numFmtId="167" xfId="0" applyAlignment="1" applyBorder="1" applyFont="1" applyNumberFormat="1">
      <alignment horizontal="center" shrinkToFit="0" wrapText="1"/>
    </xf>
    <xf borderId="142" fillId="28" fontId="14" numFmtId="9" xfId="0" applyAlignment="1" applyBorder="1" applyFont="1" applyNumberFormat="1">
      <alignment horizontal="center" shrinkToFit="0" wrapText="1"/>
    </xf>
    <xf borderId="139" fillId="0" fontId="15" numFmtId="167" xfId="0" applyAlignment="1" applyBorder="1" applyFont="1" applyNumberFormat="1">
      <alignment horizontal="center" shrinkToFit="0" wrapText="1"/>
    </xf>
    <xf borderId="167" fillId="0" fontId="15" numFmtId="167" xfId="0" applyAlignment="1" applyBorder="1" applyFont="1" applyNumberFormat="1">
      <alignment horizontal="center" shrinkToFit="0" wrapText="1"/>
    </xf>
    <xf borderId="32" fillId="29" fontId="14" numFmtId="9" xfId="0" applyAlignment="1" applyBorder="1" applyFont="1" applyNumberFormat="1">
      <alignment horizontal="center" shrinkToFit="0" wrapText="1"/>
    </xf>
    <xf borderId="167" fillId="0" fontId="15" numFmtId="0" xfId="0" applyAlignment="1" applyBorder="1" applyFont="1">
      <alignment horizontal="center" shrinkToFit="0" wrapText="1"/>
    </xf>
    <xf borderId="32" fillId="0" fontId="14" numFmtId="9" xfId="0" applyAlignment="1" applyBorder="1" applyFont="1" applyNumberFormat="1">
      <alignment horizontal="center" shrinkToFit="0" vertical="bottom" wrapText="1"/>
    </xf>
    <xf borderId="33" fillId="0" fontId="14" numFmtId="165" xfId="0" applyAlignment="1" applyBorder="1" applyFont="1" applyNumberFormat="1">
      <alignment horizontal="center" shrinkToFit="0" vertical="bottom" wrapText="1"/>
    </xf>
    <xf borderId="32" fillId="28" fontId="14" numFmtId="9" xfId="0" applyAlignment="1" applyBorder="1" applyFont="1" applyNumberFormat="1">
      <alignment horizontal="center" shrinkToFit="0" wrapText="1"/>
    </xf>
    <xf borderId="70" fillId="14" fontId="14" numFmtId="0" xfId="0" applyBorder="1" applyFont="1"/>
    <xf borderId="60" fillId="14" fontId="14" numFmtId="164" xfId="0" applyBorder="1" applyFont="1" applyNumberFormat="1"/>
    <xf borderId="32" fillId="0" fontId="14" numFmtId="165" xfId="0" applyAlignment="1" applyBorder="1" applyFont="1" applyNumberFormat="1">
      <alignment horizontal="center" shrinkToFit="0" wrapText="1"/>
    </xf>
    <xf borderId="32" fillId="28" fontId="14" numFmtId="9" xfId="0" applyAlignment="1" applyBorder="1" applyFont="1" applyNumberFormat="1">
      <alignment horizontal="center" shrinkToFit="0" vertical="bottom" wrapText="1"/>
    </xf>
    <xf borderId="0" fillId="0" fontId="14" numFmtId="9" xfId="0" applyAlignment="1" applyFont="1" applyNumberFormat="1">
      <alignment horizontal="center" shrinkToFit="0" vertical="bottom" wrapText="1"/>
    </xf>
    <xf borderId="0" fillId="5" fontId="14" numFmtId="9" xfId="0" applyAlignment="1" applyFont="1" applyNumberFormat="1">
      <alignment horizontal="center" shrinkToFit="0" vertical="bottom" wrapText="1"/>
    </xf>
    <xf borderId="0" fillId="28" fontId="14" numFmtId="9" xfId="0" applyAlignment="1" applyFont="1" applyNumberFormat="1">
      <alignment horizontal="center" shrinkToFit="0" vertical="bottom" wrapText="1"/>
    </xf>
    <xf borderId="32" fillId="29" fontId="14" numFmtId="0" xfId="0" applyAlignment="1" applyBorder="1" applyFont="1">
      <alignment horizontal="center" shrinkToFit="0" wrapText="1"/>
    </xf>
    <xf borderId="45" fillId="30" fontId="14" numFmtId="0" xfId="0" applyAlignment="1" applyBorder="1" applyFill="1" applyFont="1">
      <alignment horizontal="center" shrinkToFit="0" wrapText="1"/>
    </xf>
    <xf borderId="70" fillId="27" fontId="14" numFmtId="9" xfId="0" applyAlignment="1" applyBorder="1" applyFont="1" applyNumberFormat="1">
      <alignment horizontal="center" shrinkToFit="0" wrapText="1"/>
    </xf>
    <xf borderId="142" fillId="0" fontId="15" numFmtId="9" xfId="0" applyAlignment="1" applyBorder="1" applyFont="1" applyNumberFormat="1">
      <alignment horizontal="center" shrinkToFit="0" wrapText="1"/>
    </xf>
    <xf borderId="167" fillId="0" fontId="15" numFmtId="9" xfId="0" applyAlignment="1" applyBorder="1" applyFont="1" applyNumberFormat="1">
      <alignment horizontal="center" shrinkToFit="0" wrapText="1"/>
    </xf>
    <xf borderId="45" fillId="31" fontId="14" numFmtId="0" xfId="0" applyAlignment="1" applyBorder="1" applyFill="1" applyFont="1">
      <alignment horizontal="center" shrinkToFit="0" wrapText="1"/>
    </xf>
    <xf borderId="70" fillId="29" fontId="14" numFmtId="9" xfId="0" applyAlignment="1" applyBorder="1" applyFont="1" applyNumberFormat="1">
      <alignment horizontal="center" shrinkToFit="0" wrapText="1"/>
    </xf>
    <xf borderId="33" fillId="3" fontId="14" numFmtId="9" xfId="0" applyAlignment="1" applyBorder="1" applyFont="1" applyNumberFormat="1">
      <alignment horizontal="center" shrinkToFit="0" vertical="bottom" wrapText="1"/>
    </xf>
    <xf borderId="70" fillId="28" fontId="14" numFmtId="9" xfId="0" applyAlignment="1" applyBorder="1" applyFont="1" applyNumberFormat="1">
      <alignment horizontal="center" shrinkToFit="0" vertical="bottom" wrapText="1"/>
    </xf>
    <xf borderId="0" fillId="3" fontId="14" numFmtId="9" xfId="0" applyAlignment="1" applyFont="1" applyNumberFormat="1">
      <alignment horizontal="center" shrinkToFit="0" vertical="bottom" wrapText="1"/>
    </xf>
    <xf borderId="145" fillId="16" fontId="14" numFmtId="0" xfId="0" applyBorder="1" applyFont="1"/>
    <xf borderId="60" fillId="16" fontId="14" numFmtId="0" xfId="0" applyBorder="1" applyFont="1"/>
    <xf borderId="70" fillId="16" fontId="14" numFmtId="0" xfId="0" applyBorder="1" applyFont="1"/>
    <xf borderId="63" fillId="16" fontId="14" numFmtId="0" xfId="0" applyBorder="1" applyFont="1"/>
    <xf borderId="45" fillId="16" fontId="14" numFmtId="164" xfId="0" applyBorder="1" applyFont="1" applyNumberFormat="1"/>
    <xf borderId="60" fillId="16" fontId="14" numFmtId="165" xfId="0" applyBorder="1" applyFont="1" applyNumberFormat="1"/>
    <xf borderId="45" fillId="16" fontId="14" numFmtId="0" xfId="0" applyBorder="1" applyFont="1"/>
    <xf borderId="32" fillId="16" fontId="14" numFmtId="167" xfId="0" applyBorder="1" applyFont="1" applyNumberFormat="1"/>
    <xf borderId="33" fillId="16" fontId="14" numFmtId="167" xfId="0" applyBorder="1" applyFont="1" applyNumberFormat="1"/>
    <xf borderId="70" fillId="16" fontId="14" numFmtId="167" xfId="0" applyBorder="1" applyFont="1" applyNumberFormat="1"/>
    <xf borderId="139" fillId="16" fontId="14" numFmtId="167" xfId="0" applyBorder="1" applyFont="1" applyNumberFormat="1"/>
    <xf borderId="169" fillId="16" fontId="14" numFmtId="167" xfId="0" applyBorder="1" applyFont="1" applyNumberFormat="1"/>
    <xf borderId="148" fillId="16" fontId="14" numFmtId="167" xfId="0" applyBorder="1" applyFont="1" applyNumberFormat="1"/>
    <xf borderId="57" fillId="16" fontId="14" numFmtId="167" xfId="0" applyBorder="1" applyFont="1" applyNumberFormat="1"/>
    <xf borderId="0" fillId="16" fontId="14" numFmtId="167" xfId="0" applyAlignment="1" applyFont="1" applyNumberFormat="1">
      <alignment vertical="bottom"/>
    </xf>
    <xf borderId="70" fillId="5" fontId="14" numFmtId="0" xfId="0" applyAlignment="1" applyBorder="1" applyFont="1">
      <alignment horizontal="center" shrinkToFit="0" wrapText="1"/>
    </xf>
    <xf borderId="145" fillId="17" fontId="14" numFmtId="0" xfId="0" applyBorder="1" applyFont="1"/>
    <xf borderId="60" fillId="17" fontId="14" numFmtId="0" xfId="0" applyBorder="1" applyFont="1"/>
    <xf borderId="70" fillId="17" fontId="14" numFmtId="0" xfId="0" applyBorder="1" applyFont="1"/>
    <xf borderId="63" fillId="17" fontId="14" numFmtId="0" xfId="0" applyBorder="1" applyFont="1"/>
    <xf borderId="45" fillId="17" fontId="14" numFmtId="164" xfId="0" applyBorder="1" applyFont="1" applyNumberFormat="1"/>
    <xf borderId="60" fillId="17" fontId="14" numFmtId="165" xfId="0" applyBorder="1" applyFont="1" applyNumberFormat="1"/>
    <xf borderId="45" fillId="17" fontId="14" numFmtId="0" xfId="0" applyBorder="1" applyFont="1"/>
    <xf borderId="32" fillId="17" fontId="14" numFmtId="167" xfId="0" applyBorder="1" applyFont="1" applyNumberFormat="1"/>
    <xf borderId="33" fillId="17" fontId="14" numFmtId="167" xfId="0" applyBorder="1" applyFont="1" applyNumberFormat="1"/>
    <xf borderId="70" fillId="17" fontId="14" numFmtId="167" xfId="0" applyBorder="1" applyFont="1" applyNumberFormat="1"/>
    <xf borderId="139" fillId="17" fontId="14" numFmtId="167" xfId="0" applyBorder="1" applyFont="1" applyNumberFormat="1"/>
    <xf borderId="169" fillId="17" fontId="14" numFmtId="167" xfId="0" applyBorder="1" applyFont="1" applyNumberFormat="1"/>
    <xf borderId="148" fillId="17" fontId="14" numFmtId="167" xfId="0" applyBorder="1" applyFont="1" applyNumberFormat="1"/>
    <xf borderId="57" fillId="17" fontId="14" numFmtId="167" xfId="0" applyBorder="1" applyFont="1" applyNumberFormat="1"/>
    <xf borderId="0" fillId="17" fontId="14" numFmtId="167" xfId="0" applyAlignment="1" applyFont="1" applyNumberFormat="1">
      <alignment vertical="bottom"/>
    </xf>
    <xf borderId="45" fillId="0" fontId="14" numFmtId="0" xfId="0" applyAlignment="1" applyBorder="1" applyFont="1">
      <alignment horizontal="center" shrinkToFit="0" wrapText="1"/>
    </xf>
    <xf borderId="70" fillId="5" fontId="14" numFmtId="167" xfId="0" applyAlignment="1" applyBorder="1" applyFont="1" applyNumberFormat="1">
      <alignment horizontal="center" shrinkToFit="0" wrapText="1"/>
    </xf>
    <xf borderId="139" fillId="17" fontId="14" numFmtId="167" xfId="0" applyAlignment="1" applyBorder="1" applyFont="1" applyNumberFormat="1">
      <alignment vertical="bottom"/>
    </xf>
    <xf borderId="145" fillId="18" fontId="14" numFmtId="0" xfId="0" applyBorder="1" applyFont="1"/>
    <xf borderId="60" fillId="18" fontId="14" numFmtId="0" xfId="0" applyBorder="1" applyFont="1"/>
    <xf borderId="70" fillId="18" fontId="14" numFmtId="0" xfId="0" applyBorder="1" applyFont="1"/>
    <xf borderId="63" fillId="18" fontId="14" numFmtId="0" xfId="0" applyBorder="1" applyFont="1"/>
    <xf borderId="45" fillId="18" fontId="14" numFmtId="164" xfId="0" applyBorder="1" applyFont="1" applyNumberFormat="1"/>
    <xf borderId="60" fillId="18" fontId="14" numFmtId="165" xfId="0" applyBorder="1" applyFont="1" applyNumberFormat="1"/>
    <xf borderId="45" fillId="18" fontId="14" numFmtId="0" xfId="0" applyBorder="1" applyFont="1"/>
    <xf borderId="60" fillId="18" fontId="14" numFmtId="9" xfId="0" applyBorder="1" applyFont="1" applyNumberFormat="1"/>
    <xf borderId="169" fillId="18" fontId="14" numFmtId="0" xfId="0" applyBorder="1" applyFont="1"/>
    <xf borderId="148" fillId="18" fontId="14" numFmtId="9" xfId="0" applyBorder="1" applyFont="1" applyNumberFormat="1"/>
    <xf borderId="57" fillId="18" fontId="14" numFmtId="9" xfId="0" applyBorder="1" applyFont="1" applyNumberFormat="1"/>
    <xf borderId="0" fillId="18" fontId="14" numFmtId="9" xfId="0" applyFont="1" applyNumberFormat="1"/>
    <xf borderId="0" fillId="18" fontId="14" numFmtId="0" xfId="0" applyAlignment="1" applyFont="1">
      <alignment vertical="bottom"/>
    </xf>
    <xf borderId="145" fillId="19" fontId="14" numFmtId="0" xfId="0" applyBorder="1" applyFont="1"/>
    <xf borderId="60" fillId="19" fontId="14" numFmtId="0" xfId="0" applyBorder="1" applyFont="1"/>
    <xf borderId="70" fillId="19" fontId="14" numFmtId="0" xfId="0" applyBorder="1" applyFont="1"/>
    <xf borderId="63" fillId="19" fontId="14" numFmtId="0" xfId="0" applyBorder="1" applyFont="1"/>
    <xf borderId="45" fillId="19" fontId="14" numFmtId="164" xfId="0" applyBorder="1" applyFont="1" applyNumberFormat="1"/>
    <xf borderId="60" fillId="19" fontId="14" numFmtId="164" xfId="0" applyBorder="1" applyFont="1" applyNumberFormat="1"/>
    <xf borderId="45" fillId="19" fontId="14" numFmtId="0" xfId="0" applyBorder="1" applyFont="1"/>
    <xf borderId="32" fillId="19" fontId="14" numFmtId="167" xfId="0" applyBorder="1" applyFont="1" applyNumberFormat="1"/>
    <xf borderId="33" fillId="19" fontId="14" numFmtId="167" xfId="0" applyBorder="1" applyFont="1" applyNumberFormat="1"/>
    <xf borderId="70" fillId="19" fontId="14" numFmtId="167" xfId="0" applyBorder="1" applyFont="1" applyNumberFormat="1"/>
    <xf borderId="139" fillId="19" fontId="14" numFmtId="167" xfId="0" applyBorder="1" applyFont="1" applyNumberFormat="1"/>
    <xf borderId="169" fillId="19" fontId="14" numFmtId="167" xfId="0" applyBorder="1" applyFont="1" applyNumberFormat="1"/>
    <xf borderId="148" fillId="19" fontId="14" numFmtId="167" xfId="0" applyBorder="1" applyFont="1" applyNumberFormat="1"/>
    <xf borderId="57" fillId="19" fontId="14" numFmtId="167" xfId="0" applyBorder="1" applyFont="1" applyNumberFormat="1"/>
    <xf borderId="0" fillId="19" fontId="14" numFmtId="167" xfId="0" applyAlignment="1" applyFont="1" applyNumberFormat="1">
      <alignment vertical="bottom"/>
    </xf>
    <xf borderId="168" fillId="0" fontId="15" numFmtId="0" xfId="0" applyAlignment="1" applyBorder="1" applyFont="1">
      <alignment horizontal="center" shrinkToFit="0" wrapText="1"/>
    </xf>
    <xf borderId="0" fillId="5" fontId="14" numFmtId="0" xfId="0" applyAlignment="1" applyFont="1">
      <alignment horizontal="center" shrinkToFit="0" wrapText="1"/>
    </xf>
    <xf borderId="145" fillId="20" fontId="14" numFmtId="0" xfId="0" applyBorder="1" applyFont="1"/>
    <xf borderId="60" fillId="20" fontId="14" numFmtId="0" xfId="0" applyBorder="1" applyFont="1"/>
    <xf borderId="70" fillId="20" fontId="14" numFmtId="166" xfId="0" applyBorder="1" applyFont="1" applyNumberFormat="1"/>
    <xf borderId="63" fillId="20" fontId="14" numFmtId="0" xfId="0" applyBorder="1" applyFont="1"/>
    <xf borderId="45" fillId="20" fontId="14" numFmtId="164" xfId="0" applyBorder="1" applyFont="1" applyNumberFormat="1"/>
    <xf borderId="45" fillId="20" fontId="14" numFmtId="0" xfId="0" applyBorder="1" applyFont="1"/>
    <xf borderId="32" fillId="20" fontId="14" numFmtId="167" xfId="0" applyBorder="1" applyFont="1" applyNumberFormat="1"/>
    <xf borderId="33" fillId="20" fontId="14" numFmtId="167" xfId="0" applyBorder="1" applyFont="1" applyNumberFormat="1"/>
    <xf borderId="70" fillId="20" fontId="14" numFmtId="167" xfId="0" applyBorder="1" applyFont="1" applyNumberFormat="1"/>
    <xf borderId="139" fillId="20" fontId="14" numFmtId="167" xfId="0" applyBorder="1" applyFont="1" applyNumberFormat="1"/>
    <xf borderId="169" fillId="20" fontId="14" numFmtId="167" xfId="0" applyBorder="1" applyFont="1" applyNumberFormat="1"/>
    <xf borderId="148" fillId="20" fontId="14" numFmtId="167" xfId="0" applyBorder="1" applyFont="1" applyNumberFormat="1"/>
    <xf borderId="57" fillId="20" fontId="14" numFmtId="167" xfId="0" applyBorder="1" applyFont="1" applyNumberFormat="1"/>
    <xf borderId="0" fillId="20" fontId="14" numFmtId="167" xfId="0" applyAlignment="1" applyFont="1" applyNumberFormat="1">
      <alignment vertical="bottom"/>
    </xf>
    <xf borderId="139" fillId="20" fontId="14" numFmtId="167" xfId="0" applyAlignment="1" applyBorder="1" applyFont="1" applyNumberFormat="1">
      <alignment vertical="bottom"/>
    </xf>
    <xf borderId="45" fillId="29" fontId="14" numFmtId="0" xfId="0" applyAlignment="1" applyBorder="1" applyFont="1">
      <alignment horizontal="center" shrinkToFit="0" wrapText="1"/>
    </xf>
    <xf borderId="70" fillId="29" fontId="15" numFmtId="9" xfId="0" applyAlignment="1" applyBorder="1" applyFont="1" applyNumberFormat="1">
      <alignment horizontal="center" shrinkToFit="0" wrapText="1"/>
    </xf>
    <xf borderId="32" fillId="10" fontId="14" numFmtId="0" xfId="0" applyAlignment="1" applyBorder="1" applyFont="1">
      <alignment horizontal="center"/>
    </xf>
    <xf borderId="167" fillId="0" fontId="15" numFmtId="0" xfId="0" applyAlignment="1" applyBorder="1" applyFont="1">
      <alignment horizontal="center" shrinkToFit="0" vertical="bottom" wrapText="1"/>
    </xf>
    <xf borderId="145" fillId="21" fontId="14" numFmtId="0" xfId="0" applyBorder="1" applyFont="1"/>
    <xf borderId="60" fillId="21" fontId="14" numFmtId="0" xfId="0" applyBorder="1" applyFont="1"/>
    <xf borderId="70" fillId="21" fontId="14" numFmtId="0" xfId="0" applyBorder="1" applyFont="1"/>
    <xf borderId="63" fillId="21" fontId="14" numFmtId="0" xfId="0" applyBorder="1" applyFont="1"/>
    <xf borderId="45" fillId="21" fontId="14" numFmtId="164" xfId="0" applyBorder="1" applyFont="1" applyNumberFormat="1"/>
    <xf borderId="60" fillId="21" fontId="14" numFmtId="165" xfId="0" applyBorder="1" applyFont="1" applyNumberFormat="1"/>
    <xf borderId="45" fillId="21" fontId="14" numFmtId="0" xfId="0" applyBorder="1" applyFont="1"/>
    <xf borderId="32" fillId="21" fontId="14" numFmtId="167" xfId="0" applyBorder="1" applyFont="1" applyNumberFormat="1"/>
    <xf borderId="33" fillId="21" fontId="14" numFmtId="167" xfId="0" applyBorder="1" applyFont="1" applyNumberFormat="1"/>
    <xf borderId="70" fillId="21" fontId="14" numFmtId="167" xfId="0" applyBorder="1" applyFont="1" applyNumberFormat="1"/>
    <xf borderId="139" fillId="21" fontId="14" numFmtId="167" xfId="0" applyBorder="1" applyFont="1" applyNumberFormat="1"/>
    <xf borderId="169" fillId="21" fontId="14" numFmtId="167" xfId="0" applyBorder="1" applyFont="1" applyNumberFormat="1"/>
    <xf borderId="148" fillId="21" fontId="14" numFmtId="167" xfId="0" applyBorder="1" applyFont="1" applyNumberFormat="1"/>
    <xf borderId="57" fillId="21" fontId="14" numFmtId="167" xfId="0" applyBorder="1" applyFont="1" applyNumberFormat="1"/>
    <xf borderId="0" fillId="21" fontId="14" numFmtId="167" xfId="0" applyAlignment="1" applyFont="1" applyNumberFormat="1">
      <alignment vertical="bottom"/>
    </xf>
    <xf borderId="33" fillId="0" fontId="14" numFmtId="165" xfId="0" applyAlignment="1" applyBorder="1" applyFont="1" applyNumberFormat="1">
      <alignment horizontal="center" vertical="bottom"/>
    </xf>
    <xf borderId="145" fillId="22" fontId="14" numFmtId="0" xfId="0" applyBorder="1" applyFont="1"/>
    <xf borderId="60" fillId="22" fontId="14" numFmtId="0" xfId="0" applyBorder="1" applyFont="1"/>
    <xf borderId="70" fillId="22" fontId="14" numFmtId="0" xfId="0" applyBorder="1" applyFont="1"/>
    <xf borderId="63" fillId="22" fontId="14" numFmtId="0" xfId="0" applyBorder="1" applyFont="1"/>
    <xf borderId="45" fillId="22" fontId="14" numFmtId="164" xfId="0" applyBorder="1" applyFont="1" applyNumberFormat="1"/>
    <xf borderId="60" fillId="22" fontId="14" numFmtId="165" xfId="0" applyBorder="1" applyFont="1" applyNumberFormat="1"/>
    <xf borderId="45" fillId="22" fontId="14" numFmtId="0" xfId="0" applyBorder="1" applyFont="1"/>
    <xf borderId="32" fillId="22" fontId="14" numFmtId="167" xfId="0" applyBorder="1" applyFont="1" applyNumberFormat="1"/>
    <xf borderId="33" fillId="22" fontId="14" numFmtId="167" xfId="0" applyBorder="1" applyFont="1" applyNumberFormat="1"/>
    <xf borderId="70" fillId="22" fontId="14" numFmtId="167" xfId="0" applyBorder="1" applyFont="1" applyNumberFormat="1"/>
    <xf borderId="139" fillId="22" fontId="14" numFmtId="167" xfId="0" applyBorder="1" applyFont="1" applyNumberFormat="1"/>
    <xf borderId="169" fillId="22" fontId="14" numFmtId="167" xfId="0" applyBorder="1" applyFont="1" applyNumberFormat="1"/>
    <xf borderId="148" fillId="22" fontId="14" numFmtId="167" xfId="0" applyBorder="1" applyFont="1" applyNumberFormat="1"/>
    <xf borderId="57" fillId="22" fontId="14" numFmtId="167" xfId="0" applyBorder="1" applyFont="1" applyNumberFormat="1"/>
    <xf borderId="0" fillId="22" fontId="14" numFmtId="167" xfId="0" applyAlignment="1" applyFont="1" applyNumberFormat="1">
      <alignment vertical="bottom"/>
    </xf>
    <xf borderId="145" fillId="10" fontId="14" numFmtId="0" xfId="0" applyBorder="1" applyFont="1"/>
    <xf borderId="60" fillId="10" fontId="14" numFmtId="0" xfId="0" applyBorder="1" applyFont="1"/>
    <xf borderId="70" fillId="10" fontId="14" numFmtId="0" xfId="0" applyBorder="1" applyFont="1"/>
    <xf borderId="63" fillId="10" fontId="14" numFmtId="0" xfId="0" applyBorder="1" applyFont="1"/>
    <xf borderId="45" fillId="10" fontId="14" numFmtId="164" xfId="0" applyBorder="1" applyFont="1" applyNumberFormat="1"/>
    <xf borderId="60" fillId="10" fontId="14" numFmtId="164" xfId="0" applyBorder="1" applyFont="1" applyNumberFormat="1"/>
    <xf borderId="45" fillId="10" fontId="14" numFmtId="0" xfId="0" applyBorder="1" applyFont="1"/>
    <xf borderId="32" fillId="10" fontId="14" numFmtId="167" xfId="0" applyBorder="1" applyFont="1" applyNumberFormat="1"/>
    <xf borderId="33" fillId="10" fontId="14" numFmtId="167" xfId="0" applyBorder="1" applyFont="1" applyNumberFormat="1"/>
    <xf borderId="70" fillId="10" fontId="14" numFmtId="167" xfId="0" applyBorder="1" applyFont="1" applyNumberFormat="1"/>
    <xf borderId="139" fillId="10" fontId="14" numFmtId="167" xfId="0" applyBorder="1" applyFont="1" applyNumberFormat="1"/>
    <xf borderId="169" fillId="10" fontId="14" numFmtId="167" xfId="0" applyBorder="1" applyFont="1" applyNumberFormat="1"/>
    <xf borderId="0" fillId="10" fontId="14" numFmtId="167" xfId="0" applyFont="1" applyNumberFormat="1"/>
    <xf borderId="148" fillId="10" fontId="14" numFmtId="167" xfId="0" applyBorder="1" applyFont="1" applyNumberFormat="1"/>
    <xf borderId="57" fillId="10" fontId="14" numFmtId="167" xfId="0" applyBorder="1" applyFont="1" applyNumberFormat="1"/>
    <xf borderId="0" fillId="10" fontId="14" numFmtId="167" xfId="0" applyAlignment="1" applyFont="1" applyNumberFormat="1">
      <alignment vertical="bottom"/>
    </xf>
    <xf borderId="33" fillId="0" fontId="14" numFmtId="164" xfId="0" applyAlignment="1" applyBorder="1" applyFont="1" applyNumberFormat="1">
      <alignment horizontal="center" vertical="bottom"/>
    </xf>
    <xf borderId="149" fillId="5" fontId="14" numFmtId="0" xfId="0" applyAlignment="1" applyBorder="1" applyFont="1">
      <alignment horizontal="center" shrinkToFit="0" wrapText="1"/>
    </xf>
    <xf borderId="139" fillId="0" fontId="16" numFmtId="0" xfId="0" applyAlignment="1" applyBorder="1" applyFont="1">
      <alignment horizontal="center" shrinkToFit="0" wrapText="1"/>
    </xf>
    <xf borderId="45" fillId="31" fontId="15" numFmtId="0" xfId="0" applyAlignment="1" applyBorder="1" applyFont="1">
      <alignment horizontal="center" shrinkToFit="0" wrapText="1"/>
    </xf>
    <xf borderId="63" fillId="0" fontId="14" numFmtId="0" xfId="0" applyAlignment="1" applyBorder="1" applyFont="1">
      <alignment horizontal="center" shrinkToFit="0" wrapText="1"/>
    </xf>
    <xf borderId="60" fillId="28" fontId="14" numFmtId="9" xfId="0" applyAlignment="1" applyBorder="1" applyFont="1" applyNumberFormat="1">
      <alignment horizontal="center" shrinkToFit="0" wrapText="1"/>
    </xf>
    <xf borderId="63" fillId="0" fontId="15" numFmtId="0" xfId="0" applyAlignment="1" applyBorder="1" applyFont="1">
      <alignment horizontal="center" shrinkToFit="0" wrapText="1"/>
    </xf>
    <xf borderId="45" fillId="0" fontId="15" numFmtId="9" xfId="0" applyAlignment="1" applyBorder="1" applyFont="1" applyNumberFormat="1">
      <alignment horizontal="center" shrinkToFit="0" wrapText="1"/>
    </xf>
    <xf borderId="170" fillId="28" fontId="14" numFmtId="9" xfId="0" applyAlignment="1" applyBorder="1" applyFont="1" applyNumberFormat="1">
      <alignment horizontal="center" shrinkToFit="0" wrapText="1"/>
    </xf>
    <xf borderId="170" fillId="28" fontId="14" numFmtId="9" xfId="0" applyAlignment="1" applyBorder="1" applyFont="1" applyNumberFormat="1">
      <alignment horizontal="center" shrinkToFit="0" vertical="bottom" wrapText="1"/>
    </xf>
    <xf borderId="139" fillId="0" fontId="14" numFmtId="165" xfId="0" applyAlignment="1" applyBorder="1" applyFont="1" applyNumberFormat="1">
      <alignment horizontal="center" vertical="bottom"/>
    </xf>
    <xf borderId="167" fillId="29" fontId="14" numFmtId="9" xfId="0" applyAlignment="1" applyBorder="1" applyFont="1" applyNumberFormat="1">
      <alignment horizontal="center" shrinkToFit="0" wrapText="1"/>
    </xf>
    <xf borderId="145" fillId="23" fontId="14" numFmtId="0" xfId="0" applyBorder="1" applyFont="1"/>
    <xf borderId="60" fillId="23" fontId="14" numFmtId="0" xfId="0" applyBorder="1" applyFont="1"/>
    <xf borderId="70" fillId="23" fontId="14" numFmtId="0" xfId="0" applyBorder="1" applyFont="1"/>
    <xf borderId="63" fillId="23" fontId="14" numFmtId="0" xfId="0" applyBorder="1" applyFont="1"/>
    <xf borderId="45" fillId="23" fontId="14" numFmtId="0" xfId="0" applyBorder="1" applyFont="1"/>
    <xf borderId="32" fillId="23" fontId="14" numFmtId="167" xfId="0" applyBorder="1" applyFont="1" applyNumberFormat="1"/>
    <xf borderId="33" fillId="23" fontId="14" numFmtId="167" xfId="0" applyBorder="1" applyFont="1" applyNumberFormat="1"/>
    <xf borderId="70" fillId="23" fontId="14" numFmtId="167" xfId="0" applyBorder="1" applyFont="1" applyNumberFormat="1"/>
    <xf borderId="139" fillId="23" fontId="14" numFmtId="167" xfId="0" applyBorder="1" applyFont="1" applyNumberFormat="1"/>
    <xf borderId="169" fillId="23" fontId="14" numFmtId="167" xfId="0" applyBorder="1" applyFont="1" applyNumberFormat="1"/>
    <xf borderId="148" fillId="23" fontId="14" numFmtId="167" xfId="0" applyBorder="1" applyFont="1" applyNumberFormat="1"/>
    <xf borderId="57" fillId="23" fontId="14" numFmtId="167" xfId="0" applyBorder="1" applyFont="1" applyNumberFormat="1"/>
    <xf borderId="0" fillId="23" fontId="14" numFmtId="167" xfId="0" applyAlignment="1" applyFont="1" applyNumberFormat="1">
      <alignment vertical="bottom"/>
    </xf>
    <xf borderId="33" fillId="3" fontId="14" numFmtId="169" xfId="0" applyAlignment="1" applyBorder="1" applyFont="1" applyNumberFormat="1">
      <alignment horizontal="center" shrinkToFit="0" wrapText="1"/>
    </xf>
    <xf borderId="139" fillId="0" fontId="14" numFmtId="164" xfId="0" applyAlignment="1" applyBorder="1" applyFont="1" applyNumberFormat="1">
      <alignment horizontal="center" vertical="bottom"/>
    </xf>
    <xf borderId="32" fillId="0" fontId="15" numFmtId="9" xfId="0" applyAlignment="1" applyBorder="1" applyFont="1" applyNumberFormat="1">
      <alignment horizontal="center" shrinkToFit="0" wrapText="1"/>
    </xf>
    <xf borderId="33" fillId="28" fontId="14" numFmtId="169" xfId="0" applyAlignment="1" applyBorder="1" applyFont="1" applyNumberFormat="1">
      <alignment horizontal="center" shrinkToFit="0" wrapText="1"/>
    </xf>
    <xf borderId="32" fillId="28" fontId="15" numFmtId="9" xfId="0" applyAlignment="1" applyBorder="1" applyFont="1" applyNumberFormat="1">
      <alignment horizontal="center" shrinkToFit="0" wrapText="1"/>
    </xf>
    <xf borderId="32" fillId="28" fontId="15" numFmtId="9" xfId="0" applyAlignment="1" applyBorder="1" applyFont="1" applyNumberFormat="1">
      <alignment horizontal="center" shrinkToFit="0" vertical="bottom" wrapText="1"/>
    </xf>
    <xf borderId="0" fillId="28" fontId="15" numFmtId="9" xfId="0" applyAlignment="1" applyFont="1" applyNumberFormat="1">
      <alignment horizontal="center" shrinkToFit="0" vertical="bottom" wrapText="1"/>
    </xf>
    <xf borderId="139" fillId="28" fontId="15" numFmtId="9" xfId="0" applyAlignment="1" applyBorder="1" applyFont="1" applyNumberFormat="1">
      <alignment horizontal="center" shrinkToFit="0" vertical="bottom" wrapText="1"/>
    </xf>
    <xf borderId="32" fillId="29" fontId="15" numFmtId="0" xfId="0" applyAlignment="1" applyBorder="1" applyFont="1">
      <alignment horizontal="center" shrinkToFit="0" wrapText="1"/>
    </xf>
    <xf borderId="70" fillId="0" fontId="15" numFmtId="165" xfId="0" applyAlignment="1" applyBorder="1" applyFont="1" applyNumberFormat="1">
      <alignment horizontal="center" shrinkToFit="0" wrapText="1"/>
    </xf>
    <xf borderId="70" fillId="28" fontId="15" numFmtId="9" xfId="0" applyAlignment="1" applyBorder="1" applyFont="1" applyNumberFormat="1">
      <alignment horizontal="center" shrinkToFit="0" wrapText="1"/>
    </xf>
    <xf borderId="142" fillId="28" fontId="15" numFmtId="9" xfId="0" applyAlignment="1" applyBorder="1" applyFont="1" applyNumberFormat="1">
      <alignment horizontal="center" shrinkToFit="0" wrapText="1"/>
    </xf>
    <xf borderId="167" fillId="28" fontId="15" numFmtId="9" xfId="0" applyAlignment="1" applyBorder="1" applyFont="1" applyNumberFormat="1">
      <alignment horizontal="center" shrinkToFit="0" wrapText="1"/>
    </xf>
    <xf borderId="167" fillId="28" fontId="15" numFmtId="9" xfId="0" applyAlignment="1" applyBorder="1" applyFont="1" applyNumberFormat="1">
      <alignment horizontal="center" shrinkToFit="0" vertical="bottom" wrapText="1"/>
    </xf>
    <xf borderId="60" fillId="0" fontId="14" numFmtId="164" xfId="0" applyAlignment="1" applyBorder="1" applyFont="1" applyNumberFormat="1">
      <alignment horizontal="center" shrinkToFit="0" vertical="bottom" wrapText="1"/>
    </xf>
    <xf borderId="62" fillId="31" fontId="14" numFmtId="0" xfId="0" applyAlignment="1" applyBorder="1" applyFont="1">
      <alignment horizontal="center" shrinkToFit="0" wrapText="1"/>
    </xf>
    <xf borderId="32" fillId="27" fontId="14" numFmtId="9" xfId="0" applyAlignment="1" applyBorder="1" applyFont="1" applyNumberFormat="1">
      <alignment horizontal="center" shrinkToFit="0" wrapText="1"/>
    </xf>
    <xf borderId="62" fillId="30" fontId="14" numFmtId="0" xfId="0" applyAlignment="1" applyBorder="1" applyFont="1">
      <alignment horizontal="center" shrinkToFit="0" wrapText="1"/>
    </xf>
    <xf borderId="32" fillId="0" fontId="15" numFmtId="167" xfId="0" applyAlignment="1" applyBorder="1" applyFont="1" applyNumberFormat="1">
      <alignment horizontal="center" shrinkToFit="0" wrapText="1"/>
    </xf>
    <xf borderId="0" fillId="29" fontId="14" numFmtId="0" xfId="0" applyAlignment="1" applyFont="1">
      <alignment horizontal="center" shrinkToFit="0" wrapText="1"/>
    </xf>
    <xf borderId="0" fillId="0" fontId="14" numFmtId="165" xfId="0" applyAlignment="1" applyFont="1" applyNumberFormat="1">
      <alignment horizontal="center" shrinkToFit="0" wrapText="1"/>
    </xf>
    <xf borderId="63" fillId="3" fontId="14" numFmtId="0" xfId="0" applyAlignment="1" applyBorder="1" applyFont="1">
      <alignment horizontal="center" shrinkToFit="0" wrapText="1"/>
    </xf>
    <xf borderId="0" fillId="0" fontId="14" numFmtId="164" xfId="0" applyAlignment="1" applyFont="1" applyNumberFormat="1">
      <alignment horizontal="center" shrinkToFit="0" vertical="bottom" wrapText="1"/>
    </xf>
    <xf borderId="60" fillId="30" fontId="14" numFmtId="0" xfId="0" applyAlignment="1" applyBorder="1" applyFont="1">
      <alignment horizontal="center" shrinkToFit="0" wrapText="1"/>
    </xf>
    <xf borderId="168" fillId="0" fontId="15" numFmtId="167" xfId="0" applyAlignment="1" applyBorder="1" applyFont="1" applyNumberFormat="1">
      <alignment horizontal="center" shrinkToFit="0" wrapText="1"/>
    </xf>
    <xf borderId="82" fillId="0" fontId="14" numFmtId="0" xfId="0" applyAlignment="1" applyBorder="1" applyFont="1">
      <alignment horizontal="center"/>
    </xf>
    <xf borderId="63" fillId="3" fontId="14" numFmtId="0" xfId="0" applyAlignment="1" applyBorder="1" applyFont="1">
      <alignment horizontal="center" readingOrder="0" shrinkToFit="0" wrapText="1"/>
    </xf>
    <xf borderId="0" fillId="0" fontId="14" numFmtId="164" xfId="0" applyAlignment="1" applyFont="1" applyNumberFormat="1">
      <alignment horizontal="center" readingOrder="0" shrinkToFit="0" wrapText="1"/>
    </xf>
    <xf borderId="0" fillId="0" fontId="14" numFmtId="0" xfId="0" applyAlignment="1" applyFont="1">
      <alignment horizontal="center" readingOrder="0" shrinkToFit="0" vertical="bottom" wrapText="1"/>
    </xf>
    <xf borderId="60" fillId="13" fontId="14" numFmtId="0" xfId="0" applyAlignment="1" applyBorder="1" applyFont="1">
      <alignment horizontal="center" readingOrder="0" shrinkToFit="0" wrapText="1"/>
    </xf>
    <xf borderId="0" fillId="3" fontId="14" numFmtId="9" xfId="0" applyAlignment="1" applyFont="1" applyNumberFormat="1">
      <alignment vertical="bottom"/>
    </xf>
    <xf borderId="0" fillId="3" fontId="14" numFmtId="0" xfId="0" applyAlignment="1" applyFont="1">
      <alignment horizontal="center" readingOrder="0" vertical="bottom"/>
    </xf>
    <xf borderId="0" fillId="28" fontId="14" numFmtId="9" xfId="0" applyAlignment="1" applyFont="1" applyNumberFormat="1">
      <alignment horizontal="center" readingOrder="0" shrinkToFit="0" vertical="bottom" wrapText="1"/>
    </xf>
    <xf borderId="25" fillId="0" fontId="14" numFmtId="0" xfId="0" applyAlignment="1" applyBorder="1" applyFont="1">
      <alignment horizontal="center" readingOrder="0"/>
    </xf>
    <xf borderId="22" fillId="0" fontId="14" numFmtId="0" xfId="0" applyAlignment="1" applyBorder="1" applyFont="1">
      <alignment horizontal="center"/>
    </xf>
    <xf borderId="171" fillId="0" fontId="14" numFmtId="0" xfId="0" applyAlignment="1" applyBorder="1" applyFont="1">
      <alignment horizontal="center"/>
    </xf>
    <xf borderId="172" fillId="0" fontId="14" numFmtId="0" xfId="0" applyAlignment="1" applyBorder="1" applyFont="1">
      <alignment horizontal="center"/>
    </xf>
    <xf borderId="173" fillId="0" fontId="14" numFmtId="0" xfId="0" applyAlignment="1" applyBorder="1" applyFont="1">
      <alignment horizontal="center"/>
    </xf>
    <xf borderId="153" fillId="3" fontId="14" numFmtId="0" xfId="0" applyAlignment="1" applyBorder="1" applyFont="1">
      <alignment horizontal="center" shrinkToFit="0" wrapText="1"/>
    </xf>
    <xf borderId="174" fillId="3" fontId="14" numFmtId="0" xfId="0" applyAlignment="1" applyBorder="1" applyFont="1">
      <alignment horizontal="center" readingOrder="0" shrinkToFit="0" wrapText="1"/>
    </xf>
    <xf borderId="24" fillId="0" fontId="14" numFmtId="165" xfId="0" applyAlignment="1" applyBorder="1" applyFont="1" applyNumberFormat="1">
      <alignment horizontal="center" readingOrder="0" shrinkToFit="0" wrapText="1"/>
    </xf>
    <xf borderId="24" fillId="0" fontId="14" numFmtId="0" xfId="0" applyAlignment="1" applyBorder="1" applyFont="1">
      <alignment horizontal="center" readingOrder="0" shrinkToFit="0" vertical="bottom" wrapText="1"/>
    </xf>
    <xf borderId="175" fillId="31" fontId="14" numFmtId="0" xfId="0" applyAlignment="1" applyBorder="1" applyFont="1">
      <alignment horizontal="center" shrinkToFit="0" wrapText="1"/>
    </xf>
    <xf borderId="172" fillId="0" fontId="14" numFmtId="167" xfId="0" applyAlignment="1" applyBorder="1" applyFont="1" applyNumberFormat="1">
      <alignment horizontal="center" shrinkToFit="0" wrapText="1"/>
    </xf>
    <xf borderId="171" fillId="3" fontId="14" numFmtId="167" xfId="0" applyAlignment="1" applyBorder="1" applyFont="1" applyNumberFormat="1">
      <alignment horizontal="center" shrinkToFit="0" wrapText="1"/>
    </xf>
    <xf borderId="173" fillId="27" fontId="14" numFmtId="9" xfId="0" applyAlignment="1" applyBorder="1" applyFont="1" applyNumberFormat="1">
      <alignment horizontal="center" shrinkToFit="0" wrapText="1"/>
    </xf>
    <xf borderId="176" fillId="0" fontId="15" numFmtId="167" xfId="0" applyAlignment="1" applyBorder="1" applyFont="1" applyNumberFormat="1">
      <alignment horizontal="center" shrinkToFit="0" wrapText="1"/>
    </xf>
    <xf borderId="171" fillId="5" fontId="14" numFmtId="167" xfId="0" applyAlignment="1" applyBorder="1" applyFont="1" applyNumberFormat="1">
      <alignment horizontal="center" shrinkToFit="0" wrapText="1"/>
    </xf>
    <xf borderId="173" fillId="0" fontId="15" numFmtId="167" xfId="0" applyAlignment="1" applyBorder="1" applyFont="1" applyNumberFormat="1">
      <alignment horizontal="center" shrinkToFit="0" wrapText="1"/>
    </xf>
    <xf borderId="177" fillId="0" fontId="15" numFmtId="167" xfId="0" applyAlignment="1" applyBorder="1" applyFont="1" applyNumberFormat="1">
      <alignment horizontal="center" shrinkToFit="0" wrapText="1"/>
    </xf>
    <xf borderId="178" fillId="0" fontId="15" numFmtId="167" xfId="0" applyAlignment="1" applyBorder="1" applyFont="1" applyNumberFormat="1">
      <alignment horizontal="center" shrinkToFit="0" wrapText="1"/>
    </xf>
    <xf borderId="179" fillId="0" fontId="15" numFmtId="167" xfId="0" applyAlignment="1" applyBorder="1" applyFont="1" applyNumberFormat="1">
      <alignment horizontal="center" shrinkToFit="0" wrapText="1"/>
    </xf>
    <xf borderId="176" fillId="0" fontId="15" numFmtId="0" xfId="0" applyAlignment="1" applyBorder="1" applyFont="1">
      <alignment horizontal="center" shrinkToFit="0" wrapText="1"/>
    </xf>
    <xf borderId="171" fillId="5" fontId="14" numFmtId="0" xfId="0" applyAlignment="1" applyBorder="1" applyFont="1">
      <alignment horizontal="center" shrinkToFit="0" wrapText="1"/>
    </xf>
    <xf borderId="179" fillId="0" fontId="15" numFmtId="0" xfId="0" applyAlignment="1" applyBorder="1" applyFont="1">
      <alignment horizontal="center" shrinkToFit="0" wrapText="1"/>
    </xf>
    <xf borderId="176" fillId="0" fontId="15" numFmtId="0" xfId="0" applyAlignment="1" applyBorder="1" applyFont="1">
      <alignment horizontal="center" readingOrder="0" shrinkToFit="0" wrapText="1"/>
    </xf>
    <xf borderId="179" fillId="28" fontId="14" numFmtId="9" xfId="0" applyAlignment="1" applyBorder="1" applyFont="1" applyNumberFormat="1">
      <alignment horizontal="center" shrinkToFit="0" wrapText="1"/>
    </xf>
    <xf borderId="176" fillId="0" fontId="14" numFmtId="0" xfId="0" applyAlignment="1" applyBorder="1" applyFont="1">
      <alignment horizontal="center" shrinkToFit="0" wrapText="1"/>
    </xf>
    <xf borderId="176" fillId="0" fontId="14" numFmtId="9" xfId="0" applyAlignment="1" applyBorder="1" applyFont="1" applyNumberFormat="1">
      <alignment horizontal="center" shrinkToFit="0" vertical="bottom" wrapText="1"/>
    </xf>
    <xf borderId="171" fillId="5" fontId="14" numFmtId="9" xfId="0" applyAlignment="1" applyBorder="1" applyFont="1" applyNumberFormat="1">
      <alignment vertical="bottom"/>
    </xf>
    <xf borderId="179" fillId="28" fontId="14" numFmtId="9" xfId="0" applyAlignment="1" applyBorder="1" applyFont="1" applyNumberFormat="1">
      <alignment horizontal="center" shrinkToFit="0" vertical="bottom" wrapText="1"/>
    </xf>
    <xf borderId="0" fillId="5" fontId="14" numFmtId="9" xfId="0" applyAlignment="1" applyFont="1" applyNumberFormat="1">
      <alignment vertical="bottom"/>
    </xf>
    <xf borderId="180" fillId="32" fontId="19" numFmtId="0" xfId="0" applyAlignment="1" applyBorder="1" applyFill="1" applyFont="1">
      <alignment horizontal="left" readingOrder="0" shrinkToFit="0" wrapText="0"/>
    </xf>
    <xf borderId="180" fillId="24" fontId="19" numFmtId="0" xfId="0" applyAlignment="1" applyBorder="1" applyFont="1">
      <alignment horizontal="left" readingOrder="0" shrinkToFit="0" wrapText="0"/>
    </xf>
    <xf borderId="180" fillId="0" fontId="21" numFmtId="0" xfId="0" applyAlignment="1" applyBorder="1" applyFont="1">
      <alignment horizontal="left" readingOrder="0" shrinkToFit="0" vertical="top" wrapText="0"/>
    </xf>
    <xf borderId="180" fillId="0" fontId="16" numFmtId="0" xfId="0" applyAlignment="1" applyBorder="1" applyFont="1">
      <alignment horizontal="left" readingOrder="0" shrinkToFit="0" vertical="top" wrapText="0"/>
    </xf>
    <xf borderId="180" fillId="0" fontId="16" numFmtId="0" xfId="0" applyAlignment="1" applyBorder="1" applyFont="1">
      <alignment horizontal="left" shrinkToFit="0" vertical="top" wrapText="0"/>
    </xf>
    <xf borderId="180" fillId="0" fontId="16" numFmtId="170" xfId="0" applyAlignment="1" applyBorder="1" applyFont="1" applyNumberFormat="1">
      <alignment horizontal="left" readingOrder="0" shrinkToFit="0" vertical="top" wrapText="0"/>
    </xf>
    <xf borderId="180" fillId="0" fontId="16" numFmtId="0" xfId="0" applyAlignment="1" applyBorder="1" applyFont="1">
      <alignment horizontal="left" shrinkToFit="0" vertical="top" wrapText="0"/>
    </xf>
    <xf borderId="180" fillId="0" fontId="22" numFmtId="0" xfId="0" applyAlignment="1" applyBorder="1" applyFont="1">
      <alignment horizontal="left" readingOrder="0" shrinkToFit="0" vertical="top" wrapText="0"/>
    </xf>
    <xf borderId="1" fillId="4" fontId="9" numFmtId="0" xfId="0" applyAlignment="1" applyBorder="1" applyFont="1">
      <alignment horizontal="center" readingOrder="0" shrinkToFit="0" vertical="center" wrapText="1"/>
    </xf>
    <xf borderId="2" fillId="19" fontId="9" numFmtId="0" xfId="0" applyAlignment="1" applyBorder="1" applyFont="1">
      <alignment horizontal="center" readingOrder="0" shrinkToFit="0" vertical="center" wrapText="1"/>
    </xf>
    <xf borderId="3" fillId="4" fontId="9" numFmtId="0" xfId="0" applyAlignment="1" applyBorder="1" applyFont="1">
      <alignment horizontal="center" readingOrder="0" shrinkToFit="0" vertical="center" wrapText="1"/>
    </xf>
    <xf borderId="15" fillId="0" fontId="3" numFmtId="0" xfId="0" applyBorder="1" applyFont="1"/>
    <xf borderId="181" fillId="0" fontId="3" numFmtId="0" xfId="0" applyBorder="1" applyFont="1"/>
    <xf borderId="2" fillId="12" fontId="6" numFmtId="0" xfId="0" applyBorder="1" applyFont="1"/>
    <xf borderId="3" fillId="12" fontId="6" numFmtId="0" xfId="0" applyBorder="1" applyFont="1"/>
    <xf borderId="0" fillId="0" fontId="6" numFmtId="0" xfId="0" applyAlignment="1" applyFont="1">
      <alignment readingOrder="0" shrinkToFit="0" wrapText="1"/>
    </xf>
    <xf borderId="182" fillId="0" fontId="12" numFmtId="0" xfId="0" applyAlignment="1" applyBorder="1" applyFont="1">
      <alignment horizontal="center" readingOrder="0" shrinkToFit="0" vertical="center" wrapText="0"/>
    </xf>
    <xf borderId="0" fillId="0" fontId="6" numFmtId="0" xfId="0" applyAlignment="1" applyFont="1">
      <alignment horizontal="center" vertical="center"/>
    </xf>
    <xf borderId="57" fillId="0" fontId="6" numFmtId="0" xfId="0" applyAlignment="1" applyBorder="1" applyFont="1">
      <alignment horizontal="center"/>
    </xf>
    <xf borderId="0" fillId="0" fontId="6" numFmtId="0" xfId="0" applyAlignment="1" applyFont="1">
      <alignment readingOrder="0"/>
    </xf>
    <xf borderId="0" fillId="0" fontId="6" numFmtId="0" xfId="0" applyFont="1"/>
    <xf borderId="183" fillId="0" fontId="12" numFmtId="0" xfId="0" applyAlignment="1" applyBorder="1" applyFont="1">
      <alignment horizontal="center" readingOrder="0" shrinkToFit="0" vertical="center" wrapText="0"/>
    </xf>
    <xf borderId="57" fillId="14" fontId="6" numFmtId="0" xfId="0" applyBorder="1" applyFont="1"/>
    <xf borderId="57" fillId="15" fontId="6" numFmtId="0" xfId="0" applyBorder="1" applyFont="1"/>
    <xf borderId="57" fillId="16" fontId="6" numFmtId="0" xfId="0" applyBorder="1" applyFont="1"/>
    <xf borderId="57" fillId="17" fontId="6" numFmtId="0" xfId="0" applyBorder="1" applyFont="1"/>
    <xf borderId="57" fillId="18" fontId="6" numFmtId="0" xfId="0" applyBorder="1" applyFont="1"/>
    <xf borderId="57" fillId="19" fontId="6" numFmtId="0" xfId="0" applyBorder="1" applyFont="1"/>
    <xf borderId="57" fillId="20" fontId="6" numFmtId="0" xfId="0" applyBorder="1" applyFont="1"/>
    <xf borderId="57" fillId="21" fontId="6" numFmtId="0" xfId="0" applyBorder="1" applyFont="1"/>
    <xf borderId="57" fillId="22" fontId="6" numFmtId="0" xfId="0" applyBorder="1" applyFont="1"/>
    <xf borderId="57" fillId="10" fontId="6" numFmtId="0" xfId="0" applyBorder="1" applyFont="1"/>
    <xf borderId="57" fillId="23" fontId="6" numFmtId="0" xfId="0" applyBorder="1" applyFont="1"/>
    <xf borderId="57" fillId="0" fontId="6" numFmtId="9" xfId="0" applyAlignment="1" applyBorder="1" applyFont="1" applyNumberFormat="1">
      <alignment horizontal="center"/>
    </xf>
    <xf borderId="25" fillId="0" fontId="12" numFmtId="0" xfId="0" applyAlignment="1" applyBorder="1" applyFont="1">
      <alignment horizontal="center" readingOrder="0" shrinkToFit="0" vertical="center" wrapText="0"/>
    </xf>
    <xf borderId="24" fillId="19" fontId="12" numFmtId="0" xfId="0" applyAlignment="1" applyBorder="1" applyFont="1">
      <alignment horizontal="center" readingOrder="0" shrinkToFit="0" vertical="center" wrapText="0"/>
    </xf>
    <xf borderId="107" fillId="0" fontId="6" numFmtId="9" xfId="0" applyAlignment="1" applyBorder="1" applyFont="1" applyNumberFormat="1">
      <alignment horizontal="center"/>
    </xf>
    <xf borderId="128" fillId="10" fontId="11" numFmtId="0" xfId="0" applyAlignment="1" applyBorder="1" applyFont="1">
      <alignment horizontal="center" readingOrder="0" shrinkToFit="0" vertical="center" wrapText="1"/>
    </xf>
    <xf borderId="154" fillId="3" fontId="15" numFmtId="0" xfId="0" applyAlignment="1" applyBorder="1" applyFont="1">
      <alignment horizontal="center" readingOrder="0" shrinkToFit="0" vertical="center" wrapText="1"/>
    </xf>
    <xf borderId="128" fillId="3" fontId="11" numFmtId="0" xfId="0" applyAlignment="1" applyBorder="1" applyFont="1">
      <alignment horizontal="center" readingOrder="0" shrinkToFit="0" vertical="center" wrapText="1"/>
    </xf>
    <xf borderId="154" fillId="5" fontId="15" numFmtId="0" xfId="0" applyAlignment="1" applyBorder="1" applyFont="1">
      <alignment horizontal="center" readingOrder="0" shrinkToFit="0" vertical="center" wrapText="1"/>
    </xf>
    <xf borderId="164" fillId="9" fontId="11" numFmtId="0" xfId="0" applyAlignment="1" applyBorder="1" applyFont="1">
      <alignment horizontal="center" readingOrder="0" shrinkToFit="0" vertical="center" wrapText="1"/>
    </xf>
    <xf borderId="0" fillId="2" fontId="11" numFmtId="0" xfId="0" applyAlignment="1" applyFont="1">
      <alignment horizontal="center" readingOrder="0" shrinkToFit="0" vertical="center" wrapText="1"/>
    </xf>
    <xf borderId="148" fillId="2" fontId="11" numFmtId="0" xfId="0" applyAlignment="1" applyBorder="1" applyFont="1">
      <alignment horizontal="center" readingOrder="0" shrinkToFit="0" vertical="center" wrapText="1"/>
    </xf>
    <xf borderId="57" fillId="4" fontId="9" numFmtId="0" xfId="0" applyAlignment="1" applyBorder="1" applyFont="1">
      <alignment horizontal="center" readingOrder="0" shrinkToFit="0" vertical="center" wrapText="1"/>
    </xf>
    <xf borderId="0" fillId="10" fontId="9" numFmtId="0" xfId="0" applyAlignment="1" applyFont="1">
      <alignment horizontal="center" readingOrder="0" shrinkToFit="0" vertical="center" wrapText="1"/>
    </xf>
    <xf borderId="57" fillId="10" fontId="9" numFmtId="0" xfId="0" applyAlignment="1" applyBorder="1" applyFont="1">
      <alignment horizontal="center" readingOrder="0" shrinkToFit="0" vertical="center" wrapText="1"/>
    </xf>
    <xf borderId="165" fillId="12" fontId="12" numFmtId="0" xfId="0" applyAlignment="1" applyBorder="1" applyFont="1">
      <alignment horizontal="center" readingOrder="0" shrinkToFit="0" vertical="center" wrapText="1"/>
    </xf>
    <xf borderId="166" fillId="12" fontId="12" numFmtId="0" xfId="0" applyAlignment="1" applyBorder="1" applyFont="1">
      <alignment horizontal="center" readingOrder="0" shrinkToFit="0" vertical="center" wrapText="1"/>
    </xf>
    <xf borderId="32" fillId="15" fontId="12" numFmtId="167" xfId="0" applyAlignment="1" applyBorder="1" applyFont="1" applyNumberFormat="1">
      <alignment horizontal="center" vertical="center"/>
    </xf>
    <xf borderId="33" fillId="15" fontId="12" numFmtId="167" xfId="0" applyAlignment="1" applyBorder="1" applyFont="1" applyNumberFormat="1">
      <alignment horizontal="center" vertical="center"/>
    </xf>
    <xf borderId="70" fillId="15" fontId="12" numFmtId="167" xfId="0" applyAlignment="1" applyBorder="1" applyFont="1" applyNumberFormat="1">
      <alignment horizontal="center" vertical="center"/>
    </xf>
    <xf borderId="139" fillId="15" fontId="12" numFmtId="167" xfId="0" applyAlignment="1" applyBorder="1" applyFont="1" applyNumberFormat="1">
      <alignment horizontal="center" vertical="center"/>
    </xf>
    <xf borderId="168" fillId="15" fontId="12" numFmtId="167" xfId="0" applyAlignment="1" applyBorder="1" applyFont="1" applyNumberFormat="1">
      <alignment horizontal="center" vertical="center"/>
    </xf>
    <xf borderId="142" fillId="15" fontId="12" numFmtId="167" xfId="0" applyAlignment="1" applyBorder="1" applyFont="1" applyNumberFormat="1">
      <alignment horizontal="center" vertical="center"/>
    </xf>
    <xf borderId="167" fillId="15" fontId="12" numFmtId="167" xfId="0" applyAlignment="1" applyBorder="1" applyFont="1" applyNumberFormat="1">
      <alignment horizontal="center" vertical="center"/>
    </xf>
    <xf borderId="184" fillId="14" fontId="12" numFmtId="0" xfId="0" applyAlignment="1" applyBorder="1" applyFont="1">
      <alignment horizontal="center" readingOrder="0" vertical="center"/>
    </xf>
    <xf borderId="142" fillId="14" fontId="12" numFmtId="167" xfId="0" applyAlignment="1" applyBorder="1" applyFont="1" applyNumberFormat="1">
      <alignment horizontal="center" readingOrder="0" vertical="center"/>
    </xf>
    <xf borderId="32" fillId="14" fontId="12" numFmtId="167" xfId="0" applyAlignment="1" applyBorder="1" applyFont="1" applyNumberFormat="1">
      <alignment horizontal="center" vertical="center"/>
    </xf>
    <xf borderId="33" fillId="14" fontId="12" numFmtId="167" xfId="0" applyAlignment="1" applyBorder="1" applyFont="1" applyNumberFormat="1">
      <alignment horizontal="center" vertical="center"/>
    </xf>
    <xf borderId="70" fillId="14" fontId="12" numFmtId="167" xfId="0" applyAlignment="1" applyBorder="1" applyFont="1" applyNumberFormat="1">
      <alignment horizontal="center" vertical="center"/>
    </xf>
    <xf borderId="139" fillId="14" fontId="12" numFmtId="167" xfId="0" applyAlignment="1" applyBorder="1" applyFont="1" applyNumberFormat="1">
      <alignment horizontal="center" vertical="center"/>
    </xf>
    <xf borderId="168" fillId="14" fontId="12" numFmtId="167" xfId="0" applyAlignment="1" applyBorder="1" applyFont="1" applyNumberFormat="1">
      <alignment horizontal="center" vertical="center"/>
    </xf>
    <xf borderId="142" fillId="14" fontId="12" numFmtId="167" xfId="0" applyAlignment="1" applyBorder="1" applyFont="1" applyNumberFormat="1">
      <alignment horizontal="center" vertical="center"/>
    </xf>
    <xf borderId="167" fillId="14" fontId="12" numFmtId="167" xfId="0" applyAlignment="1" applyBorder="1" applyFont="1" applyNumberFormat="1">
      <alignment horizontal="center" vertical="center"/>
    </xf>
    <xf borderId="33" fillId="0" fontId="12" numFmtId="0" xfId="0" applyAlignment="1" applyBorder="1" applyFont="1">
      <alignment horizontal="center" shrinkToFit="0" vertical="center" wrapText="1"/>
    </xf>
    <xf borderId="142" fillId="0" fontId="12" numFmtId="0" xfId="0" applyAlignment="1" applyBorder="1" applyFont="1">
      <alignment horizontal="center" readingOrder="0" shrinkToFit="0" vertical="center" wrapText="0"/>
    </xf>
    <xf borderId="167" fillId="0" fontId="12" numFmtId="0" xfId="0" applyAlignment="1" applyBorder="1" applyFont="1">
      <alignment horizontal="center" readingOrder="0" shrinkToFit="0" vertical="center" wrapText="1"/>
    </xf>
    <xf borderId="142" fillId="10" fontId="12" numFmtId="167" xfId="0" applyAlignment="1" applyBorder="1" applyFont="1" applyNumberFormat="1">
      <alignment horizontal="center" readingOrder="0" shrinkToFit="0" vertical="center" wrapText="1"/>
    </xf>
    <xf borderId="157" fillId="10" fontId="12" numFmtId="167" xfId="0" applyAlignment="1" applyBorder="1" applyFont="1" applyNumberFormat="1">
      <alignment horizontal="center" readingOrder="0" shrinkToFit="0" vertical="center" wrapText="1"/>
    </xf>
    <xf borderId="32" fillId="10" fontId="12" numFmtId="167" xfId="0" applyAlignment="1" applyBorder="1" applyFont="1" applyNumberFormat="1">
      <alignment horizontal="center" vertical="center"/>
    </xf>
    <xf borderId="33" fillId="10" fontId="12" numFmtId="167" xfId="0" applyAlignment="1" applyBorder="1" applyFont="1" applyNumberFormat="1">
      <alignment horizontal="center" vertical="center"/>
    </xf>
    <xf borderId="70" fillId="10" fontId="12" numFmtId="167" xfId="0" applyAlignment="1" applyBorder="1" applyFont="1" applyNumberFormat="1">
      <alignment horizontal="center" vertical="center"/>
    </xf>
    <xf borderId="139" fillId="10" fontId="12" numFmtId="167" xfId="0" applyAlignment="1" applyBorder="1" applyFont="1" applyNumberFormat="1">
      <alignment horizontal="center" vertical="center"/>
    </xf>
    <xf borderId="142" fillId="10" fontId="12" numFmtId="167" xfId="0" applyAlignment="1" applyBorder="1" applyFont="1" applyNumberFormat="1">
      <alignment horizontal="center" vertical="center"/>
    </xf>
    <xf borderId="167" fillId="10" fontId="12" numFmtId="167" xfId="0" applyAlignment="1" applyBorder="1" applyFont="1" applyNumberFormat="1">
      <alignment horizontal="center" vertical="center"/>
    </xf>
    <xf borderId="32" fillId="0" fontId="12" numFmtId="0" xfId="0" applyAlignment="1" applyBorder="1" applyFont="1">
      <alignment horizontal="center" shrinkToFit="0" vertical="center" wrapText="1"/>
    </xf>
    <xf borderId="139" fillId="0" fontId="12" numFmtId="0" xfId="0" applyAlignment="1" applyBorder="1" applyFont="1">
      <alignment horizontal="center" shrinkToFit="0" vertical="center" wrapText="1"/>
    </xf>
    <xf borderId="168" fillId="0" fontId="12" numFmtId="0" xfId="0" applyAlignment="1" applyBorder="1" applyFont="1">
      <alignment horizontal="center" shrinkToFit="0" vertical="center" wrapText="1"/>
    </xf>
    <xf borderId="142" fillId="0" fontId="12" numFmtId="0" xfId="0" applyAlignment="1" applyBorder="1" applyFont="1">
      <alignment horizontal="center" readingOrder="0" vertical="center"/>
    </xf>
    <xf borderId="167" fillId="0" fontId="12" numFmtId="0" xfId="0" applyAlignment="1" applyBorder="1" applyFont="1">
      <alignment horizontal="center" readingOrder="0" vertical="center"/>
    </xf>
    <xf borderId="168" fillId="0" fontId="13" numFmtId="0" xfId="0" applyAlignment="1" applyBorder="1" applyFont="1">
      <alignment horizontal="center" readingOrder="0" shrinkToFit="0" vertical="center" wrapText="1"/>
    </xf>
    <xf borderId="168" fillId="0" fontId="12" numFmtId="0" xfId="0" applyAlignment="1" applyBorder="1" applyFont="1">
      <alignment horizontal="center" readingOrder="0" shrinkToFit="0" vertical="center" wrapText="1"/>
    </xf>
    <xf borderId="152" fillId="0" fontId="12" numFmtId="0" xfId="0" applyAlignment="1" applyBorder="1" applyFont="1">
      <alignment horizontal="center" readingOrder="0" shrinkToFit="0" vertical="center" wrapText="1"/>
    </xf>
    <xf borderId="141" fillId="6" fontId="12" numFmtId="0" xfId="0" applyAlignment="1" applyBorder="1" applyFont="1">
      <alignment horizontal="center" readingOrder="0" shrinkToFit="0" vertical="center" wrapText="0"/>
    </xf>
    <xf borderId="60" fillId="0" fontId="12" numFmtId="0" xfId="0" applyAlignment="1" applyBorder="1" applyFont="1">
      <alignment horizontal="center" shrinkToFit="0" vertical="center" wrapText="1"/>
    </xf>
    <xf borderId="45" fillId="0" fontId="12" numFmtId="0" xfId="0" applyAlignment="1" applyBorder="1" applyFont="1">
      <alignment horizontal="center" readingOrder="0" shrinkToFit="0" vertical="center" wrapText="0"/>
    </xf>
    <xf borderId="169" fillId="0" fontId="12" numFmtId="0" xfId="0" applyAlignment="1" applyBorder="1" applyFont="1">
      <alignment horizontal="center" shrinkToFit="0" vertical="center" wrapText="1"/>
    </xf>
    <xf borderId="148" fillId="0" fontId="12" numFmtId="0" xfId="0" applyAlignment="1" applyBorder="1" applyFont="1">
      <alignment horizontal="center" readingOrder="0" vertical="center"/>
    </xf>
    <xf borderId="0" fillId="0" fontId="12" numFmtId="0" xfId="0" applyAlignment="1" applyFont="1">
      <alignment horizontal="center" shrinkToFit="0" vertical="center" wrapText="1"/>
    </xf>
    <xf borderId="57" fillId="0" fontId="12" numFmtId="0" xfId="0" applyAlignment="1" applyBorder="1" applyFont="1">
      <alignment horizontal="center" readingOrder="0" vertical="center"/>
    </xf>
    <xf borderId="70" fillId="15" fontId="12" numFmtId="9" xfId="0" applyAlignment="1" applyBorder="1" applyFont="1" applyNumberFormat="1">
      <alignment horizontal="center" readingOrder="0" shrinkToFit="0" vertical="center" wrapText="1"/>
    </xf>
    <xf borderId="151" fillId="0" fontId="12" numFmtId="0" xfId="0" applyAlignment="1" applyBorder="1" applyFont="1">
      <alignment horizontal="center" readingOrder="0" shrinkToFit="0" vertical="center" wrapText="1"/>
    </xf>
    <xf borderId="158" fillId="0" fontId="12" numFmtId="0" xfId="0" applyAlignment="1" applyBorder="1" applyFont="1">
      <alignment horizontal="center" readingOrder="0" shrinkToFit="0" vertical="center" wrapText="1"/>
    </xf>
    <xf borderId="68" fillId="0" fontId="12" numFmtId="0" xfId="0" applyAlignment="1" applyBorder="1" applyFont="1">
      <alignment horizontal="center" readingOrder="0" shrinkToFit="0" vertical="center" wrapText="1"/>
    </xf>
    <xf borderId="169" fillId="0" fontId="12" numFmtId="0" xfId="0" applyAlignment="1" applyBorder="1" applyFont="1">
      <alignment horizontal="center" readingOrder="0" shrinkToFit="0" vertical="center" wrapText="1"/>
    </xf>
    <xf borderId="57" fillId="0" fontId="12" numFmtId="9" xfId="0" applyAlignment="1" applyBorder="1" applyFont="1" applyNumberFormat="1">
      <alignment horizontal="center" readingOrder="0" shrinkToFit="0" vertical="center" wrapText="1"/>
    </xf>
    <xf borderId="70" fillId="0" fontId="13" numFmtId="165" xfId="0" applyAlignment="1" applyBorder="1" applyFont="1" applyNumberFormat="1">
      <alignment horizontal="center" readingOrder="0" shrinkToFit="0" vertical="center" wrapText="1"/>
    </xf>
    <xf borderId="142" fillId="0" fontId="13" numFmtId="9" xfId="0" applyAlignment="1" applyBorder="1" applyFont="1" applyNumberFormat="1">
      <alignment horizontal="center" readingOrder="0" shrinkToFit="0" vertical="center" wrapText="1"/>
    </xf>
    <xf borderId="167" fillId="0" fontId="13" numFmtId="9" xfId="0" applyAlignment="1" applyBorder="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70" fillId="0" fontId="13" numFmtId="164" xfId="0" applyAlignment="1" applyBorder="1" applyFont="1" applyNumberFormat="1">
      <alignment horizontal="center" readingOrder="0" shrinkToFit="0" vertical="center" wrapText="1"/>
    </xf>
    <xf borderId="169" fillId="0" fontId="13" numFmtId="0" xfId="0" applyAlignment="1" applyBorder="1" applyFont="1">
      <alignment horizontal="center" readingOrder="0" shrinkToFit="0" vertical="center" wrapText="1"/>
    </xf>
    <xf borderId="57" fillId="0" fontId="12" numFmtId="0" xfId="0" applyAlignment="1" applyBorder="1" applyFont="1">
      <alignment horizontal="center" readingOrder="0" shrinkToFit="0" vertical="center" wrapText="1"/>
    </xf>
    <xf borderId="57" fillId="33" fontId="12" numFmtId="9" xfId="0" applyAlignment="1" applyBorder="1" applyFill="1" applyFont="1" applyNumberFormat="1">
      <alignment horizontal="center" readingOrder="0" shrinkToFit="0" vertical="center" wrapText="1"/>
    </xf>
    <xf borderId="33" fillId="0" fontId="12" numFmtId="164" xfId="0" applyAlignment="1" applyBorder="1" applyFont="1" applyNumberFormat="1">
      <alignment horizontal="center" shrinkToFit="0" vertical="center" wrapText="1"/>
    </xf>
    <xf borderId="60" fillId="27" fontId="12" numFmtId="9" xfId="0" applyAlignment="1" applyBorder="1" applyFont="1" applyNumberFormat="1">
      <alignment horizontal="center" readingOrder="0" shrinkToFit="0" vertical="center" wrapText="1"/>
    </xf>
    <xf borderId="63" fillId="0" fontId="12" numFmtId="0" xfId="0" applyAlignment="1" applyBorder="1" applyFont="1">
      <alignment horizontal="center" shrinkToFit="0" vertical="center" wrapText="1"/>
    </xf>
    <xf borderId="152" fillId="0" fontId="12" numFmtId="9" xfId="0" applyAlignment="1" applyBorder="1" applyFont="1" applyNumberFormat="1">
      <alignment horizontal="center" readingOrder="0" shrinkToFit="0" vertical="center" wrapText="1"/>
    </xf>
    <xf borderId="70" fillId="0" fontId="12" numFmtId="9" xfId="0" applyAlignment="1" applyBorder="1" applyFont="1" applyNumberFormat="1">
      <alignment horizontal="center" readingOrder="0" vertical="center"/>
    </xf>
    <xf borderId="143" fillId="0" fontId="12" numFmtId="9" xfId="0" applyAlignment="1" applyBorder="1" applyFont="1" applyNumberFormat="1">
      <alignment horizontal="center" readingOrder="0" vertical="center"/>
    </xf>
    <xf borderId="32" fillId="0" fontId="17" numFmtId="0" xfId="0" applyAlignment="1" applyBorder="1" applyFont="1">
      <alignment horizontal="center" readingOrder="0" shrinkToFit="0" vertical="center" wrapText="1"/>
    </xf>
    <xf borderId="149" fillId="0" fontId="12" numFmtId="0" xfId="0" applyAlignment="1" applyBorder="1" applyFont="1">
      <alignment horizontal="center" readingOrder="0" vertical="center"/>
    </xf>
    <xf borderId="170" fillId="0" fontId="12" numFmtId="9" xfId="0" applyAlignment="1" applyBorder="1" applyFont="1" applyNumberFormat="1">
      <alignment horizontal="center" readingOrder="0" shrinkToFit="0" vertical="center" wrapText="1"/>
    </xf>
    <xf borderId="32" fillId="17" fontId="12" numFmtId="0" xfId="0" applyAlignment="1" applyBorder="1" applyFont="1">
      <alignment horizontal="center" readingOrder="0" shrinkToFit="0" vertical="center" wrapText="1"/>
    </xf>
    <xf borderId="32" fillId="17" fontId="12" numFmtId="167" xfId="0" applyAlignment="1" applyBorder="1" applyFont="1" applyNumberFormat="1">
      <alignment horizontal="center" readingOrder="0" shrinkToFit="0" vertical="center" wrapText="1"/>
    </xf>
    <xf borderId="167" fillId="17" fontId="12" numFmtId="167" xfId="0" applyAlignment="1" applyBorder="1" applyFont="1" applyNumberFormat="1">
      <alignment horizontal="center" readingOrder="0" shrinkToFit="0" vertical="center" wrapText="1"/>
    </xf>
    <xf borderId="149" fillId="16" fontId="12" numFmtId="167" xfId="0" applyAlignment="1" applyBorder="1" applyFont="1" applyNumberFormat="1">
      <alignment horizontal="center" readingOrder="0" shrinkToFit="0" vertical="center" wrapText="1"/>
    </xf>
    <xf borderId="32" fillId="16" fontId="12" numFmtId="167" xfId="0" applyAlignment="1" applyBorder="1" applyFont="1" applyNumberFormat="1">
      <alignment horizontal="center" readingOrder="0" shrinkToFit="0" vertical="center" wrapText="1"/>
    </xf>
    <xf borderId="169" fillId="16" fontId="12" numFmtId="167" xfId="0" applyAlignment="1" applyBorder="1" applyFont="1" applyNumberFormat="1">
      <alignment horizontal="center" readingOrder="0" shrinkToFit="0" vertical="center" wrapText="1"/>
    </xf>
    <xf borderId="57" fillId="16" fontId="12" numFmtId="167" xfId="0" applyAlignment="1" applyBorder="1" applyFont="1" applyNumberFormat="1">
      <alignment horizontal="center" readingOrder="0" shrinkToFit="0" vertical="center" wrapText="1"/>
    </xf>
    <xf borderId="32" fillId="15" fontId="12" numFmtId="167" xfId="0" applyAlignment="1" applyBorder="1" applyFont="1" applyNumberFormat="1">
      <alignment horizontal="center" readingOrder="0" shrinkToFit="0" vertical="center" wrapText="1"/>
    </xf>
    <xf borderId="131" fillId="15" fontId="12" numFmtId="167" xfId="0" applyAlignment="1" applyBorder="1" applyFont="1" applyNumberFormat="1">
      <alignment horizontal="center" readingOrder="0" shrinkToFit="0" vertical="center" wrapText="1"/>
    </xf>
    <xf borderId="148" fillId="15" fontId="12" numFmtId="167" xfId="0" applyAlignment="1" applyBorder="1" applyFont="1" applyNumberFormat="1">
      <alignment horizontal="center" readingOrder="0" shrinkToFit="0" vertical="center" wrapText="1"/>
    </xf>
    <xf borderId="168" fillId="15" fontId="12" numFmtId="167" xfId="0" applyAlignment="1" applyBorder="1" applyFont="1" applyNumberFormat="1">
      <alignment horizontal="center" readingOrder="0" shrinkToFit="0" vertical="center" wrapText="1"/>
    </xf>
    <xf borderId="167" fillId="15" fontId="12" numFmtId="167" xfId="0" applyAlignment="1" applyBorder="1" applyFont="1" applyNumberFormat="1">
      <alignment horizontal="center" readingOrder="0" shrinkToFit="0" vertical="center" wrapText="1"/>
    </xf>
    <xf borderId="141" fillId="18" fontId="12" numFmtId="0" xfId="0" applyAlignment="1" applyBorder="1" applyFont="1">
      <alignment horizontal="left" readingOrder="0" shrinkToFit="0" vertical="center" wrapText="0"/>
    </xf>
    <xf borderId="142" fillId="18" fontId="12" numFmtId="0" xfId="0" applyAlignment="1" applyBorder="1" applyFont="1">
      <alignment horizontal="center" readingOrder="0" shrinkToFit="0" vertical="center" wrapText="1"/>
    </xf>
    <xf borderId="32" fillId="18" fontId="12" numFmtId="0" xfId="0" applyAlignment="1" applyBorder="1" applyFont="1">
      <alignment horizontal="center" readingOrder="0" shrinkToFit="0" vertical="center" wrapText="1"/>
    </xf>
    <xf borderId="157" fillId="18" fontId="12" numFmtId="0" xfId="0" applyAlignment="1" applyBorder="1" applyFont="1">
      <alignment horizontal="center" readingOrder="0" shrinkToFit="0" vertical="center" wrapText="1"/>
    </xf>
    <xf borderId="168" fillId="18" fontId="12" numFmtId="0" xfId="0" applyAlignment="1" applyBorder="1" applyFont="1">
      <alignment horizontal="center" readingOrder="0" shrinkToFit="0" vertical="center" wrapText="1"/>
    </xf>
    <xf borderId="167" fillId="18" fontId="12" numFmtId="0" xfId="0" applyAlignment="1" applyBorder="1" applyFont="1">
      <alignment horizontal="center" readingOrder="0" shrinkToFit="0" vertical="center" wrapText="1"/>
    </xf>
    <xf borderId="152" fillId="19" fontId="12" numFmtId="167" xfId="0" applyAlignment="1" applyBorder="1" applyFont="1" applyNumberFormat="1">
      <alignment horizontal="center" readingOrder="0" shrinkToFit="0" vertical="center" wrapText="1"/>
    </xf>
    <xf borderId="168" fillId="19" fontId="12" numFmtId="167" xfId="0" applyAlignment="1" applyBorder="1" applyFont="1" applyNumberFormat="1">
      <alignment horizontal="center" readingOrder="0" shrinkToFit="0" vertical="center" wrapText="1"/>
    </xf>
    <xf borderId="142" fillId="19" fontId="12" numFmtId="167" xfId="0" applyAlignment="1" applyBorder="1" applyFont="1" applyNumberFormat="1">
      <alignment horizontal="center" readingOrder="0" shrinkToFit="0" vertical="center" wrapText="1"/>
    </xf>
    <xf borderId="167" fillId="19" fontId="12" numFmtId="167" xfId="0" applyAlignment="1" applyBorder="1" applyFont="1" applyNumberFormat="1">
      <alignment horizontal="center" readingOrder="0" shrinkToFit="0" vertical="center" wrapText="1"/>
    </xf>
    <xf borderId="142" fillId="22" fontId="12" numFmtId="167" xfId="0" applyAlignment="1" applyBorder="1" applyFont="1" applyNumberFormat="1">
      <alignment horizontal="center" readingOrder="0" shrinkToFit="0" vertical="center" wrapText="1"/>
    </xf>
    <xf borderId="32" fillId="22" fontId="12" numFmtId="167" xfId="0" applyAlignment="1" applyBorder="1" applyFont="1" applyNumberFormat="1">
      <alignment horizontal="center" vertical="center"/>
    </xf>
    <xf borderId="33" fillId="22" fontId="12" numFmtId="167" xfId="0" applyAlignment="1" applyBorder="1" applyFont="1" applyNumberFormat="1">
      <alignment horizontal="center" vertical="center"/>
    </xf>
    <xf borderId="70" fillId="22" fontId="12" numFmtId="167" xfId="0" applyAlignment="1" applyBorder="1" applyFont="1" applyNumberFormat="1">
      <alignment horizontal="center" vertical="center"/>
    </xf>
    <xf borderId="139" fillId="22" fontId="12" numFmtId="167" xfId="0" applyAlignment="1" applyBorder="1" applyFont="1" applyNumberFormat="1">
      <alignment horizontal="center" vertical="center"/>
    </xf>
    <xf borderId="168" fillId="22" fontId="12" numFmtId="167" xfId="0" applyAlignment="1" applyBorder="1" applyFont="1" applyNumberFormat="1">
      <alignment horizontal="center" vertical="center"/>
    </xf>
    <xf borderId="142" fillId="22" fontId="12" numFmtId="167" xfId="0" applyAlignment="1" applyBorder="1" applyFont="1" applyNumberFormat="1">
      <alignment horizontal="center" vertical="center"/>
    </xf>
    <xf borderId="167" fillId="22" fontId="12" numFmtId="167" xfId="0" applyAlignment="1" applyBorder="1" applyFont="1" applyNumberFormat="1">
      <alignment horizontal="center" vertical="center"/>
    </xf>
    <xf borderId="32" fillId="21" fontId="12" numFmtId="167" xfId="0" applyAlignment="1" applyBorder="1" applyFont="1" applyNumberFormat="1">
      <alignment horizontal="center" vertical="center"/>
    </xf>
    <xf borderId="33" fillId="21" fontId="12" numFmtId="167" xfId="0" applyAlignment="1" applyBorder="1" applyFont="1" applyNumberFormat="1">
      <alignment horizontal="center" vertical="center"/>
    </xf>
    <xf borderId="70" fillId="21" fontId="12" numFmtId="167" xfId="0" applyAlignment="1" applyBorder="1" applyFont="1" applyNumberFormat="1">
      <alignment horizontal="center" vertical="center"/>
    </xf>
    <xf borderId="139" fillId="21" fontId="12" numFmtId="167" xfId="0" applyAlignment="1" applyBorder="1" applyFont="1" applyNumberFormat="1">
      <alignment horizontal="center" vertical="center"/>
    </xf>
    <xf borderId="168" fillId="21" fontId="12" numFmtId="167" xfId="0" applyAlignment="1" applyBorder="1" applyFont="1" applyNumberFormat="1">
      <alignment horizontal="center" vertical="center"/>
    </xf>
    <xf borderId="142" fillId="21" fontId="12" numFmtId="167" xfId="0" applyAlignment="1" applyBorder="1" applyFont="1" applyNumberFormat="1">
      <alignment horizontal="center" vertical="center"/>
    </xf>
    <xf borderId="167" fillId="21" fontId="12" numFmtId="167" xfId="0" applyAlignment="1" applyBorder="1" applyFont="1" applyNumberFormat="1">
      <alignment horizontal="center" vertical="center"/>
    </xf>
    <xf borderId="32" fillId="20" fontId="12" numFmtId="167" xfId="0" applyAlignment="1" applyBorder="1" applyFont="1" applyNumberFormat="1">
      <alignment horizontal="center" readingOrder="0" shrinkToFit="0" vertical="center" wrapText="1"/>
    </xf>
    <xf borderId="168" fillId="20" fontId="12" numFmtId="167" xfId="0" applyAlignment="1" applyBorder="1" applyFont="1" applyNumberFormat="1">
      <alignment horizontal="center" readingOrder="0" shrinkToFit="0" vertical="center" wrapText="1"/>
    </xf>
    <xf borderId="167" fillId="20" fontId="12" numFmtId="167" xfId="0" applyAlignment="1" applyBorder="1" applyFont="1" applyNumberFormat="1">
      <alignment horizontal="center" readingOrder="0" shrinkToFit="0" vertical="center" wrapText="1"/>
    </xf>
    <xf borderId="68" fillId="15" fontId="12" numFmtId="0" xfId="0" applyAlignment="1" applyBorder="1" applyFont="1">
      <alignment horizontal="center" readingOrder="0" shrinkToFit="0" vertical="center" wrapText="1"/>
    </xf>
    <xf borderId="56" fillId="15" fontId="12" numFmtId="0" xfId="0" applyAlignment="1" applyBorder="1" applyFont="1">
      <alignment horizontal="center" readingOrder="0" shrinkToFit="0" vertical="center" wrapText="1"/>
    </xf>
    <xf borderId="150" fillId="17" fontId="12" numFmtId="0" xfId="0" applyAlignment="1" applyBorder="1" applyFont="1">
      <alignment horizontal="center" readingOrder="0" shrinkToFit="0" vertical="center" wrapText="1"/>
    </xf>
    <xf borderId="168" fillId="17" fontId="12" numFmtId="167" xfId="0" applyAlignment="1" applyBorder="1" applyFont="1" applyNumberFormat="1">
      <alignment horizontal="center" readingOrder="0" shrinkToFit="0" vertical="center" wrapText="1"/>
    </xf>
    <xf borderId="157" fillId="23" fontId="12" numFmtId="0" xfId="0" applyAlignment="1" applyBorder="1" applyFont="1">
      <alignment horizontal="center" readingOrder="0" shrinkToFit="0" vertical="center" wrapText="1"/>
    </xf>
    <xf borderId="32" fillId="23" fontId="12" numFmtId="0" xfId="0" applyAlignment="1" applyBorder="1" applyFont="1">
      <alignment horizontal="center" readingOrder="0" shrinkToFit="0" vertical="center" wrapText="1"/>
    </xf>
    <xf borderId="0" fillId="23" fontId="12" numFmtId="0" xfId="0" applyAlignment="1" applyFont="1">
      <alignment horizontal="center" readingOrder="0" shrinkToFit="0" vertical="center" wrapText="1"/>
    </xf>
    <xf borderId="142" fillId="23" fontId="12" numFmtId="167" xfId="0" applyAlignment="1" applyBorder="1" applyFont="1" applyNumberFormat="1">
      <alignment horizontal="center" readingOrder="0" shrinkToFit="0" vertical="center" wrapText="1"/>
    </xf>
    <xf borderId="32" fillId="23" fontId="12" numFmtId="167" xfId="0" applyAlignment="1" applyBorder="1" applyFont="1" applyNumberFormat="1">
      <alignment horizontal="center" readingOrder="0" shrinkToFit="0" vertical="center" wrapText="1"/>
    </xf>
    <xf borderId="168" fillId="23" fontId="12" numFmtId="167" xfId="0" applyAlignment="1" applyBorder="1" applyFont="1" applyNumberFormat="1">
      <alignment horizontal="center" readingOrder="0" shrinkToFit="0" vertical="center" wrapText="1"/>
    </xf>
    <xf borderId="167" fillId="23" fontId="12" numFmtId="167" xfId="0" applyAlignment="1" applyBorder="1" applyFont="1" applyNumberFormat="1">
      <alignment horizontal="center" readingOrder="0" shrinkToFit="0" vertical="center" wrapText="1"/>
    </xf>
    <xf borderId="157" fillId="14" fontId="12" numFmtId="0" xfId="0" applyAlignment="1" applyBorder="1" applyFont="1">
      <alignment horizontal="center" readingOrder="0" shrinkToFit="0" vertical="center" wrapText="1"/>
    </xf>
    <xf borderId="82" fillId="14" fontId="12" numFmtId="0" xfId="0" applyAlignment="1" applyBorder="1" applyFont="1">
      <alignment horizontal="center" readingOrder="0" shrinkToFit="0" vertical="center" wrapText="1"/>
    </xf>
    <xf borderId="0" fillId="14" fontId="12" numFmtId="0" xfId="0" applyAlignment="1" applyFont="1">
      <alignment horizontal="center" readingOrder="0" shrinkToFit="0" vertical="center" wrapText="1"/>
    </xf>
    <xf borderId="34" fillId="14" fontId="12" numFmtId="167" xfId="0" applyAlignment="1" applyBorder="1" applyFont="1" applyNumberFormat="1">
      <alignment horizontal="center" readingOrder="0" shrinkToFit="0" vertical="center" wrapText="1"/>
    </xf>
    <xf borderId="32" fillId="14" fontId="12" numFmtId="167" xfId="0" applyAlignment="1" applyBorder="1" applyFont="1" applyNumberFormat="1">
      <alignment horizontal="center" readingOrder="0" shrinkToFit="0" vertical="center" wrapText="1"/>
    </xf>
    <xf borderId="168" fillId="14" fontId="12" numFmtId="167" xfId="0" applyAlignment="1" applyBorder="1" applyFont="1" applyNumberFormat="1">
      <alignment horizontal="center" readingOrder="0" shrinkToFit="0" vertical="center" wrapText="1"/>
    </xf>
    <xf borderId="167" fillId="14" fontId="12" numFmtId="167" xfId="0" applyAlignment="1" applyBorder="1" applyFont="1" applyNumberFormat="1">
      <alignment horizontal="center" readingOrder="0" shrinkToFit="0" vertical="center" wrapText="1"/>
    </xf>
    <xf borderId="25" fillId="15" fontId="12" numFmtId="0" xfId="0" applyAlignment="1" applyBorder="1" applyFont="1">
      <alignment horizontal="left" readingOrder="0" shrinkToFit="0" vertical="center" wrapText="0"/>
    </xf>
    <xf borderId="171" fillId="15" fontId="12" numFmtId="0" xfId="0" applyAlignment="1" applyBorder="1" applyFont="1">
      <alignment horizontal="center" readingOrder="0" shrinkToFit="0" vertical="center" wrapText="1"/>
    </xf>
    <xf borderId="185" fillId="15" fontId="12" numFmtId="0" xfId="0" applyAlignment="1" applyBorder="1" applyFont="1">
      <alignment horizontal="center" readingOrder="0" shrinkToFit="0" vertical="center" wrapText="1"/>
    </xf>
    <xf borderId="172" fillId="15" fontId="12" numFmtId="0" xfId="0" applyAlignment="1" applyBorder="1" applyFont="1">
      <alignment horizontal="center" readingOrder="0" shrinkToFit="0" vertical="center" wrapText="1"/>
    </xf>
    <xf borderId="173" fillId="15" fontId="12" numFmtId="0" xfId="0" applyAlignment="1" applyBorder="1" applyFont="1">
      <alignment horizontal="center" readingOrder="0" shrinkToFit="0" vertical="center" wrapText="1"/>
    </xf>
    <xf borderId="176" fillId="15" fontId="12" numFmtId="0" xfId="0" applyAlignment="1" applyBorder="1" applyFont="1">
      <alignment horizontal="center" readingOrder="0" shrinkToFit="0" vertical="center" wrapText="1"/>
    </xf>
    <xf borderId="178" fillId="15" fontId="12" numFmtId="0" xfId="0" applyAlignment="1" applyBorder="1" applyFont="1">
      <alignment horizontal="center" readingOrder="0" shrinkToFit="0" vertical="center" wrapText="1"/>
    </xf>
    <xf borderId="174" fillId="15" fontId="12" numFmtId="0" xfId="0" applyAlignment="1" applyBorder="1" applyFont="1">
      <alignment horizontal="center" readingOrder="0" shrinkToFit="0" vertical="center" wrapText="1"/>
    </xf>
    <xf borderId="24" fillId="15" fontId="12" numFmtId="0" xfId="0" applyAlignment="1" applyBorder="1" applyFont="1">
      <alignment horizontal="center" readingOrder="0" shrinkToFit="0" vertical="center" wrapText="1"/>
    </xf>
    <xf borderId="175" fillId="15" fontId="12" numFmtId="0" xfId="0" applyAlignment="1" applyBorder="1" applyFont="1">
      <alignment horizontal="center" readingOrder="0" shrinkToFit="0" vertical="center" wrapText="1"/>
    </xf>
    <xf borderId="171" fillId="15" fontId="12" numFmtId="167" xfId="0" applyAlignment="1" applyBorder="1" applyFont="1" applyNumberFormat="1">
      <alignment horizontal="center" readingOrder="0" shrinkToFit="0" vertical="center" wrapText="1"/>
    </xf>
    <xf borderId="173" fillId="15" fontId="12" numFmtId="167" xfId="0" applyAlignment="1" applyBorder="1" applyFont="1" applyNumberFormat="1">
      <alignment horizontal="center" readingOrder="0" shrinkToFit="0" vertical="center" wrapText="1"/>
    </xf>
    <xf borderId="176" fillId="15" fontId="12" numFmtId="167" xfId="0" applyAlignment="1" applyBorder="1" applyFont="1" applyNumberFormat="1">
      <alignment horizontal="center" readingOrder="0" shrinkToFit="0" vertical="center" wrapText="1"/>
    </xf>
    <xf borderId="175" fillId="15" fontId="12" numFmtId="167" xfId="0" applyAlignment="1" applyBorder="1" applyFont="1" applyNumberFormat="1">
      <alignment horizontal="center" readingOrder="0" shrinkToFit="0" vertical="center" wrapText="1"/>
    </xf>
    <xf borderId="178" fillId="15" fontId="12" numFmtId="167" xfId="0" applyAlignment="1" applyBorder="1" applyFont="1" applyNumberFormat="1">
      <alignment horizontal="center" readingOrder="0" shrinkToFit="0" vertical="center" wrapText="1"/>
    </xf>
    <xf borderId="185" fillId="15" fontId="12" numFmtId="167" xfId="0" applyAlignment="1" applyBorder="1" applyFont="1" applyNumberFormat="1">
      <alignment horizontal="center" readingOrder="0" shrinkToFit="0" vertical="center" wrapText="1"/>
    </xf>
    <xf borderId="186" fillId="0" fontId="12" numFmtId="167" xfId="0" applyAlignment="1" applyBorder="1" applyFont="1" applyNumberFormat="1">
      <alignment horizontal="center" readingOrder="0" shrinkToFit="0" vertical="center" wrapText="1"/>
    </xf>
    <xf borderId="172" fillId="15" fontId="12" numFmtId="167" xfId="0" applyAlignment="1" applyBorder="1" applyFont="1" applyNumberFormat="1">
      <alignment horizontal="center" readingOrder="0" shrinkToFit="0" vertical="center" wrapText="1"/>
    </xf>
    <xf borderId="177" fillId="15" fontId="12" numFmtId="167" xfId="0" applyAlignment="1" applyBorder="1" applyFont="1" applyNumberFormat="1">
      <alignment horizontal="center" readingOrder="0" shrinkToFit="0" vertical="center" wrapText="1"/>
    </xf>
    <xf borderId="179" fillId="15" fontId="12" numFmtId="167" xfId="0" applyAlignment="1" applyBorder="1" applyFont="1" applyNumberFormat="1">
      <alignment horizontal="center" readingOrder="0" shrinkToFit="0" vertical="center" wrapText="1"/>
    </xf>
  </cellXfs>
  <cellStyles count="1">
    <cellStyle xfId="0" name="Normal" builtinId="0"/>
  </cellStyles>
  <dxfs count="21">
    <dxf>
      <font>
        <color rgb="FF000000"/>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CCCCC"/>
          <bgColor rgb="FFCCCCCC"/>
        </patternFill>
      </fill>
      <border/>
    </dxf>
    <dxf>
      <font/>
      <fill>
        <patternFill patternType="solid">
          <fgColor rgb="FFEFEFEF"/>
          <bgColor rgb="FFEFEFEF"/>
        </patternFill>
      </fill>
      <border/>
    </dxf>
    <dxf>
      <font/>
      <fill>
        <patternFill patternType="solid">
          <fgColor rgb="FFCFE2F3"/>
          <bgColor rgb="FFCFE2F3"/>
        </patternFill>
      </fill>
      <border/>
    </dxf>
    <dxf>
      <font/>
      <fill>
        <patternFill patternType="solid">
          <fgColor rgb="FFFCE5CD"/>
          <bgColor rgb="FFFCE5CD"/>
        </patternFill>
      </fill>
      <border/>
    </dxf>
    <dxf>
      <font/>
      <fill>
        <patternFill patternType="solid">
          <fgColor rgb="FFEAD1DC"/>
          <bgColor rgb="FFEAD1DC"/>
        </patternFill>
      </fill>
      <border/>
    </dxf>
    <dxf>
      <font/>
      <fill>
        <patternFill patternType="solid">
          <fgColor rgb="FFD9EAD3"/>
          <bgColor rgb="FFD9EAD3"/>
        </patternFill>
      </fill>
      <border/>
    </dxf>
    <dxf>
      <font/>
      <fill>
        <patternFill patternType="solid">
          <fgColor rgb="FFDFE3AB"/>
          <bgColor rgb="FFDFE3AB"/>
        </patternFill>
      </fill>
      <border/>
    </dxf>
    <dxf>
      <font/>
      <fill>
        <patternFill patternType="solid">
          <fgColor rgb="FFB7E1CD"/>
          <bgColor rgb="FFB7E1CD"/>
        </patternFill>
      </fill>
      <border/>
    </dxf>
    <dxf>
      <font/>
      <fill>
        <patternFill patternType="solid">
          <fgColor rgb="FFB4A7D6"/>
          <bgColor rgb="FFB4A7D6"/>
        </patternFill>
      </fill>
      <border/>
    </dxf>
    <dxf>
      <font/>
      <fill>
        <patternFill patternType="solid">
          <fgColor rgb="FFFFE599"/>
          <bgColor rgb="FFFFE599"/>
        </patternFill>
      </fill>
      <border/>
    </dxf>
    <dxf>
      <font/>
      <fill>
        <patternFill patternType="solid">
          <fgColor rgb="FFA4C2F4"/>
          <bgColor rgb="FFA4C2F4"/>
        </patternFill>
      </fill>
      <border/>
    </dxf>
    <dxf>
      <font/>
      <fill>
        <patternFill patternType="solid">
          <fgColor rgb="FFF9CB9C"/>
          <bgColor rgb="FFF9CB9C"/>
        </patternFill>
      </fill>
      <border/>
    </dxf>
    <dxf>
      <font/>
      <fill>
        <patternFill patternType="solid">
          <fgColor rgb="FFD9D2E9"/>
          <bgColor rgb="FFD9D2E9"/>
        </patternFill>
      </fill>
      <border/>
    </dxf>
    <dxf>
      <font/>
      <fill>
        <patternFill patternType="solid">
          <fgColor rgb="FFB7B7B7"/>
          <bgColor rgb="FFB7B7B7"/>
        </patternFill>
      </fill>
      <border/>
    </dxf>
    <dxf>
      <font/>
      <fill>
        <patternFill patternType="solid">
          <fgColor rgb="FFEEEEEE"/>
          <bgColor rgb="FFEEEEEE"/>
        </patternFill>
      </fill>
      <border/>
    </dxf>
    <dxf>
      <font/>
      <fill>
        <patternFill patternType="solid">
          <fgColor rgb="FFA6A6A6"/>
          <bgColor rgb="FFA6A6A6"/>
        </patternFill>
      </fill>
      <border/>
    </dxf>
    <dxf>
      <font/>
      <fill>
        <patternFill patternType="none"/>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image2.png"/><Relationship Id="rId8" Type="http://schemas.openxmlformats.org/officeDocument/2006/relationships/image" Target="../media/image1.jpg"/></Relationships>
</file>

<file path=xl/drawings/_rels/drawing3.xml.rels><?xml version="1.0" encoding="UTF-8" standalone="yes"?><Relationships xmlns="http://schemas.openxmlformats.org/package/2006/relationships"><Relationship Id="rId11" Type="http://schemas.openxmlformats.org/officeDocument/2006/relationships/image" Target="../media/Chart17.png"/><Relationship Id="rId10" Type="http://schemas.openxmlformats.org/officeDocument/2006/relationships/image" Target="../media/Chart16.png"/><Relationship Id="rId13" Type="http://schemas.openxmlformats.org/officeDocument/2006/relationships/image" Target="../media/Chart19.png"/><Relationship Id="rId12" Type="http://schemas.openxmlformats.org/officeDocument/2006/relationships/image" Target="../media/Chart18.png"/><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10.png"/><Relationship Id="rId9" Type="http://schemas.openxmlformats.org/officeDocument/2006/relationships/image" Target="../media/Chart15.png"/><Relationship Id="rId15" Type="http://schemas.openxmlformats.org/officeDocument/2006/relationships/image" Target="../media/image1.jpg"/><Relationship Id="rId14" Type="http://schemas.openxmlformats.org/officeDocument/2006/relationships/image" Target="../media/image2.png"/><Relationship Id="rId5" Type="http://schemas.openxmlformats.org/officeDocument/2006/relationships/image" Target="../media/Chart11.png"/><Relationship Id="rId6" Type="http://schemas.openxmlformats.org/officeDocument/2006/relationships/image" Target="../media/Chart12.png"/><Relationship Id="rId7" Type="http://schemas.openxmlformats.org/officeDocument/2006/relationships/image" Target="../media/Chart13.png"/><Relationship Id="rId8" Type="http://schemas.openxmlformats.org/officeDocument/2006/relationships/image" Target="../media/Chart14.png"/></Relationships>
</file>

<file path=xl/drawings/_rels/drawing4.xml.rels><?xml version="1.0" encoding="UTF-8" standalone="yes"?><Relationships xmlns="http://schemas.openxmlformats.org/package/2006/relationships"><Relationship Id="rId1" Type="http://schemas.openxmlformats.org/officeDocument/2006/relationships/image" Target="../media/Chart20.png"/><Relationship Id="rId2" Type="http://schemas.openxmlformats.org/officeDocument/2006/relationships/image" Target="../media/Chart21.png"/><Relationship Id="rId3" Type="http://schemas.openxmlformats.org/officeDocument/2006/relationships/image" Target="../media/Chart24.png"/><Relationship Id="rId4" Type="http://schemas.openxmlformats.org/officeDocument/2006/relationships/image" Target="../media/Chart25.png"/><Relationship Id="rId5" Type="http://schemas.openxmlformats.org/officeDocument/2006/relationships/image" Target="../media/image2.png"/><Relationship Id="rId6"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Chart24.png"/><Relationship Id="rId2" Type="http://schemas.openxmlformats.org/officeDocument/2006/relationships/image" Target="../media/image2.png"/><Relationship Id="rId3"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Chart24.png"/><Relationship Id="rId2" Type="http://schemas.openxmlformats.org/officeDocument/2006/relationships/image" Target="../media/Chart45.png"/><Relationship Id="rId3"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Chart24.png"/><Relationship Id="rId2" Type="http://schemas.openxmlformats.org/officeDocument/2006/relationships/image" Target="../media/Chart54.png"/><Relationship Id="rId3"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Chart61.png"/><Relationship Id="rId2" Type="http://schemas.openxmlformats.org/officeDocument/2006/relationships/image" Target="../media/Chart62.png"/><Relationship Id="rId3" Type="http://schemas.openxmlformats.org/officeDocument/2006/relationships/image" Target="../media/Chart63.png"/><Relationship Id="rId4" Type="http://schemas.openxmlformats.org/officeDocument/2006/relationships/image" Target="../media/image2.png"/><Relationship Id="rId5"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0" Type="http://schemas.openxmlformats.org/officeDocument/2006/relationships/image" Target="../media/image1.jpg"/><Relationship Id="rId11" Type="http://schemas.openxmlformats.org/officeDocument/2006/relationships/image" Target="../media/Chart76.png"/><Relationship Id="rId10" Type="http://schemas.openxmlformats.org/officeDocument/2006/relationships/image" Target="../media/Chart24.png"/><Relationship Id="rId13" Type="http://schemas.openxmlformats.org/officeDocument/2006/relationships/image" Target="../media/Chart25.png"/><Relationship Id="rId12" Type="http://schemas.openxmlformats.org/officeDocument/2006/relationships/image" Target="../media/Chart78.png"/><Relationship Id="rId1" Type="http://schemas.openxmlformats.org/officeDocument/2006/relationships/image" Target="../media/Chart64.png"/><Relationship Id="rId2" Type="http://schemas.openxmlformats.org/officeDocument/2006/relationships/image" Target="../media/Chart20.png"/><Relationship Id="rId3" Type="http://schemas.openxmlformats.org/officeDocument/2006/relationships/image" Target="../media/Chart66.png"/><Relationship Id="rId4" Type="http://schemas.openxmlformats.org/officeDocument/2006/relationships/image" Target="../media/Chart21.png"/><Relationship Id="rId9" Type="http://schemas.openxmlformats.org/officeDocument/2006/relationships/image" Target="../media/Chart74.png"/><Relationship Id="rId15" Type="http://schemas.openxmlformats.org/officeDocument/2006/relationships/image" Target="../media/Chart82.png"/><Relationship Id="rId14" Type="http://schemas.openxmlformats.org/officeDocument/2006/relationships/image" Target="../media/Chart81.png"/><Relationship Id="rId17" Type="http://schemas.openxmlformats.org/officeDocument/2006/relationships/image" Target="../media/Chart84.png"/><Relationship Id="rId16" Type="http://schemas.openxmlformats.org/officeDocument/2006/relationships/image" Target="../media/Chart83.png"/><Relationship Id="rId5" Type="http://schemas.openxmlformats.org/officeDocument/2006/relationships/image" Target="../media/Chart68.png"/><Relationship Id="rId19" Type="http://schemas.openxmlformats.org/officeDocument/2006/relationships/image" Target="../media/image2.png"/><Relationship Id="rId6" Type="http://schemas.openxmlformats.org/officeDocument/2006/relationships/image" Target="../media/Chart69.png"/><Relationship Id="rId18" Type="http://schemas.openxmlformats.org/officeDocument/2006/relationships/image" Target="../media/Chart85.png"/><Relationship Id="rId7" Type="http://schemas.openxmlformats.org/officeDocument/2006/relationships/image" Target="../media/Chart71.png"/><Relationship Id="rId8" Type="http://schemas.openxmlformats.org/officeDocument/2006/relationships/image" Target="../media/Chart7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195</xdr:col>
      <xdr:colOff>114300</xdr:colOff>
      <xdr:row>4</xdr:row>
      <xdr:rowOff>142875</xdr:rowOff>
    </xdr:from>
    <xdr:ext cx="5743575" cy="2143125"/>
    <xdr:pic>
      <xdr:nvPicPr>
        <xdr:cNvPr id="666741046"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195</xdr:col>
      <xdr:colOff>114300</xdr:colOff>
      <xdr:row>27</xdr:row>
      <xdr:rowOff>180975</xdr:rowOff>
    </xdr:from>
    <xdr:ext cx="5743575" cy="2143125"/>
    <xdr:pic>
      <xdr:nvPicPr>
        <xdr:cNvPr id="911353977"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195</xdr:col>
      <xdr:colOff>114300</xdr:colOff>
      <xdr:row>16</xdr:row>
      <xdr:rowOff>28575</xdr:rowOff>
    </xdr:from>
    <xdr:ext cx="5743575" cy="2143125"/>
    <xdr:pic>
      <xdr:nvPicPr>
        <xdr:cNvPr id="252759044"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195</xdr:col>
      <xdr:colOff>114300</xdr:colOff>
      <xdr:row>83</xdr:row>
      <xdr:rowOff>123825</xdr:rowOff>
    </xdr:from>
    <xdr:ext cx="5743575" cy="2143125"/>
    <xdr:pic>
      <xdr:nvPicPr>
        <xdr:cNvPr id="1518390046"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195</xdr:col>
      <xdr:colOff>114300</xdr:colOff>
      <xdr:row>46</xdr:row>
      <xdr:rowOff>114300</xdr:rowOff>
    </xdr:from>
    <xdr:ext cx="5743575" cy="2143125"/>
    <xdr:pic>
      <xdr:nvPicPr>
        <xdr:cNvPr id="578287438"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195</xdr:col>
      <xdr:colOff>114300</xdr:colOff>
      <xdr:row>66</xdr:row>
      <xdr:rowOff>19050</xdr:rowOff>
    </xdr:from>
    <xdr:ext cx="5743575" cy="2143125"/>
    <xdr:pic>
      <xdr:nvPicPr>
        <xdr:cNvPr id="1883315432"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0</xdr:row>
      <xdr:rowOff>0</xdr:rowOff>
    </xdr:from>
    <xdr:ext cx="3000375" cy="13811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169</xdr:col>
      <xdr:colOff>0</xdr:colOff>
      <xdr:row>0</xdr:row>
      <xdr:rowOff>0</xdr:rowOff>
    </xdr:from>
    <xdr:ext cx="1276350" cy="1276350"/>
    <xdr:pic>
      <xdr:nvPicPr>
        <xdr:cNvPr id="0" name="image1.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68</xdr:row>
      <xdr:rowOff>638175</xdr:rowOff>
    </xdr:from>
    <xdr:ext cx="4371975" cy="2124075"/>
    <xdr:pic>
      <xdr:nvPicPr>
        <xdr:cNvPr id="2104548771"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1323975</xdr:colOff>
      <xdr:row>68</xdr:row>
      <xdr:rowOff>638175</xdr:rowOff>
    </xdr:from>
    <xdr:ext cx="4638675" cy="2124075"/>
    <xdr:pic>
      <xdr:nvPicPr>
        <xdr:cNvPr id="1636201475" name="Chart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304800</xdr:colOff>
      <xdr:row>68</xdr:row>
      <xdr:rowOff>628650</xdr:rowOff>
    </xdr:from>
    <xdr:ext cx="4667250" cy="2143125"/>
    <xdr:pic>
      <xdr:nvPicPr>
        <xdr:cNvPr id="633271308" name="Chart9"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133</xdr:col>
      <xdr:colOff>66675</xdr:colOff>
      <xdr:row>68</xdr:row>
      <xdr:rowOff>800100</xdr:rowOff>
    </xdr:from>
    <xdr:ext cx="4667250" cy="2143125"/>
    <xdr:pic>
      <xdr:nvPicPr>
        <xdr:cNvPr id="1525526221" name="Chart10"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85</xdr:col>
      <xdr:colOff>657225</xdr:colOff>
      <xdr:row>68</xdr:row>
      <xdr:rowOff>1952625</xdr:rowOff>
    </xdr:from>
    <xdr:ext cx="4810125" cy="2143125"/>
    <xdr:pic>
      <xdr:nvPicPr>
        <xdr:cNvPr id="1906631933" name="Chart11"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87</xdr:col>
      <xdr:colOff>104775</xdr:colOff>
      <xdr:row>68</xdr:row>
      <xdr:rowOff>2200275</xdr:rowOff>
    </xdr:from>
    <xdr:ext cx="5695950" cy="2143125"/>
    <xdr:pic>
      <xdr:nvPicPr>
        <xdr:cNvPr id="330527845" name="Chart12"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609600</xdr:colOff>
      <xdr:row>68</xdr:row>
      <xdr:rowOff>628650</xdr:rowOff>
    </xdr:from>
    <xdr:ext cx="5743575" cy="2143125"/>
    <xdr:pic>
      <xdr:nvPicPr>
        <xdr:cNvPr id="703501191" name="Chart13"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152400</xdr:colOff>
      <xdr:row>68</xdr:row>
      <xdr:rowOff>3590925</xdr:rowOff>
    </xdr:from>
    <xdr:ext cx="5743575" cy="2143125"/>
    <xdr:pic>
      <xdr:nvPicPr>
        <xdr:cNvPr id="404589333" name="Chart14"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876300</xdr:colOff>
      <xdr:row>68</xdr:row>
      <xdr:rowOff>3590925</xdr:rowOff>
    </xdr:from>
    <xdr:ext cx="5743575" cy="2143125"/>
    <xdr:pic>
      <xdr:nvPicPr>
        <xdr:cNvPr id="1740514111" name="Chart15" title="Gráfico">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54</xdr:col>
      <xdr:colOff>600075</xdr:colOff>
      <xdr:row>68</xdr:row>
      <xdr:rowOff>3590925</xdr:rowOff>
    </xdr:from>
    <xdr:ext cx="5743575" cy="2143125"/>
    <xdr:pic>
      <xdr:nvPicPr>
        <xdr:cNvPr id="2076777920" name="Chart16"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133</xdr:col>
      <xdr:colOff>514350</xdr:colOff>
      <xdr:row>68</xdr:row>
      <xdr:rowOff>800100</xdr:rowOff>
    </xdr:from>
    <xdr:ext cx="5743575" cy="2143125"/>
    <xdr:pic>
      <xdr:nvPicPr>
        <xdr:cNvPr id="1273186226" name="Chart17" title="Gráfico">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133</xdr:col>
      <xdr:colOff>7162800</xdr:colOff>
      <xdr:row>68</xdr:row>
      <xdr:rowOff>552450</xdr:rowOff>
    </xdr:from>
    <xdr:ext cx="5743575" cy="2143125"/>
    <xdr:pic>
      <xdr:nvPicPr>
        <xdr:cNvPr id="411450263" name="Chart18" title="Gráfico">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133</xdr:col>
      <xdr:colOff>11087100</xdr:colOff>
      <xdr:row>68</xdr:row>
      <xdr:rowOff>323850</xdr:rowOff>
    </xdr:from>
    <xdr:ext cx="5743575" cy="2143125"/>
    <xdr:pic>
      <xdr:nvPicPr>
        <xdr:cNvPr id="63771874" name="Chart19" title="Gráfico">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38</xdr:col>
      <xdr:colOff>0</xdr:colOff>
      <xdr:row>0</xdr:row>
      <xdr:rowOff>0</xdr:rowOff>
    </xdr:from>
    <xdr:ext cx="1285875" cy="1285875"/>
    <xdr:pic>
      <xdr:nvPicPr>
        <xdr:cNvPr id="0" name="image1.jp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68</xdr:row>
      <xdr:rowOff>1695450</xdr:rowOff>
    </xdr:from>
    <xdr:ext cx="4667250" cy="2124075"/>
    <xdr:pic>
      <xdr:nvPicPr>
        <xdr:cNvPr id="1372334917" name="Chart2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171450</xdr:colOff>
      <xdr:row>68</xdr:row>
      <xdr:rowOff>1581150</xdr:rowOff>
    </xdr:from>
    <xdr:ext cx="4667250" cy="2143125"/>
    <xdr:pic>
      <xdr:nvPicPr>
        <xdr:cNvPr id="360348190" name="Chart2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133350</xdr:colOff>
      <xdr:row>68</xdr:row>
      <xdr:rowOff>1457325</xdr:rowOff>
    </xdr:from>
    <xdr:ext cx="4667250" cy="2143125"/>
    <xdr:pic>
      <xdr:nvPicPr>
        <xdr:cNvPr id="544913877" name="Chart2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94</xdr:col>
      <xdr:colOff>819150</xdr:colOff>
      <xdr:row>68</xdr:row>
      <xdr:rowOff>2371725</xdr:rowOff>
    </xdr:from>
    <xdr:ext cx="4667250" cy="2143125"/>
    <xdr:pic>
      <xdr:nvPicPr>
        <xdr:cNvPr id="1218336390" name="Chart23"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94</xdr:col>
      <xdr:colOff>561975</xdr:colOff>
      <xdr:row>68</xdr:row>
      <xdr:rowOff>2019300</xdr:rowOff>
    </xdr:from>
    <xdr:ext cx="4905375" cy="2143125"/>
    <xdr:pic>
      <xdr:nvPicPr>
        <xdr:cNvPr id="236991732" name="Chart24"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94</xdr:col>
      <xdr:colOff>600075</xdr:colOff>
      <xdr:row>68</xdr:row>
      <xdr:rowOff>2190750</xdr:rowOff>
    </xdr:from>
    <xdr:ext cx="5743575" cy="2143125"/>
    <xdr:pic>
      <xdr:nvPicPr>
        <xdr:cNvPr id="1296061303" name="Chart25"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94</xdr:col>
      <xdr:colOff>142875</xdr:colOff>
      <xdr:row>68</xdr:row>
      <xdr:rowOff>3314700</xdr:rowOff>
    </xdr:from>
    <xdr:ext cx="5743575" cy="2143125"/>
    <xdr:pic>
      <xdr:nvPicPr>
        <xdr:cNvPr id="1622789326" name="Chart26"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923925</xdr:colOff>
      <xdr:row>68</xdr:row>
      <xdr:rowOff>3124200</xdr:rowOff>
    </xdr:from>
    <xdr:ext cx="5743575" cy="2143125"/>
    <xdr:pic>
      <xdr:nvPicPr>
        <xdr:cNvPr id="105106272" name="Chart27"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94</xdr:col>
      <xdr:colOff>1047750</xdr:colOff>
      <xdr:row>68</xdr:row>
      <xdr:rowOff>3476625</xdr:rowOff>
    </xdr:from>
    <xdr:ext cx="5743575" cy="2143125"/>
    <xdr:pic>
      <xdr:nvPicPr>
        <xdr:cNvPr id="108683385" name="Chart28"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94</xdr:col>
      <xdr:colOff>285750</xdr:colOff>
      <xdr:row>68</xdr:row>
      <xdr:rowOff>3657600</xdr:rowOff>
    </xdr:from>
    <xdr:ext cx="5743575" cy="2143125"/>
    <xdr:pic>
      <xdr:nvPicPr>
        <xdr:cNvPr id="1969782777" name="Chart29"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133</xdr:col>
      <xdr:colOff>2371725</xdr:colOff>
      <xdr:row>68</xdr:row>
      <xdr:rowOff>1504950</xdr:rowOff>
    </xdr:from>
    <xdr:ext cx="5743575" cy="2143125"/>
    <xdr:pic>
      <xdr:nvPicPr>
        <xdr:cNvPr id="1503855906" name="Chart30"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133</xdr:col>
      <xdr:colOff>1581150</xdr:colOff>
      <xdr:row>68</xdr:row>
      <xdr:rowOff>3990975</xdr:rowOff>
    </xdr:from>
    <xdr:ext cx="5743575" cy="2143125"/>
    <xdr:pic>
      <xdr:nvPicPr>
        <xdr:cNvPr id="1273977588" name="Chart31"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133</xdr:col>
      <xdr:colOff>7448550</xdr:colOff>
      <xdr:row>68</xdr:row>
      <xdr:rowOff>3724275</xdr:rowOff>
    </xdr:from>
    <xdr:ext cx="5743575" cy="2143125"/>
    <xdr:pic>
      <xdr:nvPicPr>
        <xdr:cNvPr id="698069961" name="Chart32"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133</xdr:col>
      <xdr:colOff>10506075</xdr:colOff>
      <xdr:row>68</xdr:row>
      <xdr:rowOff>2695575</xdr:rowOff>
    </xdr:from>
    <xdr:ext cx="5743575" cy="2143125"/>
    <xdr:pic>
      <xdr:nvPicPr>
        <xdr:cNvPr id="1916333986" name="Chart33"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38</xdr:col>
      <xdr:colOff>0</xdr:colOff>
      <xdr:row>0</xdr:row>
      <xdr:rowOff>0</xdr:rowOff>
    </xdr:from>
    <xdr:ext cx="1276350" cy="1276350"/>
    <xdr:pic>
      <xdr:nvPicPr>
        <xdr:cNvPr id="0" name="image1.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990600</xdr:colOff>
      <xdr:row>68</xdr:row>
      <xdr:rowOff>1809750</xdr:rowOff>
    </xdr:from>
    <xdr:ext cx="4905375" cy="2143125"/>
    <xdr:pic>
      <xdr:nvPicPr>
        <xdr:cNvPr id="1869124989" name="Chart3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885825</xdr:colOff>
      <xdr:row>68</xdr:row>
      <xdr:rowOff>1524000</xdr:rowOff>
    </xdr:from>
    <xdr:ext cx="4905375" cy="2143125"/>
    <xdr:pic>
      <xdr:nvPicPr>
        <xdr:cNvPr id="885133334" name="Chart3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171450</xdr:colOff>
      <xdr:row>68</xdr:row>
      <xdr:rowOff>1171575</xdr:rowOff>
    </xdr:from>
    <xdr:ext cx="4905375" cy="2143125"/>
    <xdr:pic>
      <xdr:nvPicPr>
        <xdr:cNvPr id="1697693152" name="Chart3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314325</xdr:colOff>
      <xdr:row>68</xdr:row>
      <xdr:rowOff>1628775</xdr:rowOff>
    </xdr:from>
    <xdr:ext cx="4905375" cy="2143125"/>
    <xdr:pic>
      <xdr:nvPicPr>
        <xdr:cNvPr id="484298009" name="Chart3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314325</xdr:colOff>
      <xdr:row>68</xdr:row>
      <xdr:rowOff>990600</xdr:rowOff>
    </xdr:from>
    <xdr:ext cx="4905375" cy="2143125"/>
    <xdr:pic>
      <xdr:nvPicPr>
        <xdr:cNvPr id="315728632" name="Chart3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800100</xdr:colOff>
      <xdr:row>68</xdr:row>
      <xdr:rowOff>1581150</xdr:rowOff>
    </xdr:from>
    <xdr:ext cx="4905375" cy="2143125"/>
    <xdr:pic>
      <xdr:nvPicPr>
        <xdr:cNvPr id="555989504" name="Chart3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121</xdr:col>
      <xdr:colOff>238125</xdr:colOff>
      <xdr:row>68</xdr:row>
      <xdr:rowOff>2257425</xdr:rowOff>
    </xdr:from>
    <xdr:ext cx="4905375" cy="2143125"/>
    <xdr:pic>
      <xdr:nvPicPr>
        <xdr:cNvPr id="883022313" name="Chart4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121</xdr:col>
      <xdr:colOff>1238250</xdr:colOff>
      <xdr:row>68</xdr:row>
      <xdr:rowOff>2524125</xdr:rowOff>
    </xdr:from>
    <xdr:ext cx="4905375" cy="2143125"/>
    <xdr:pic>
      <xdr:nvPicPr>
        <xdr:cNvPr id="2103057793" name="Chart4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122</xdr:col>
      <xdr:colOff>5162550</xdr:colOff>
      <xdr:row>68</xdr:row>
      <xdr:rowOff>438150</xdr:rowOff>
    </xdr:from>
    <xdr:ext cx="4905375" cy="2143125"/>
    <xdr:pic>
      <xdr:nvPicPr>
        <xdr:cNvPr id="1031317479" name="Chart4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0</xdr:row>
      <xdr:rowOff>0</xdr:rowOff>
    </xdr:from>
    <xdr:ext cx="1276350" cy="127635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67</xdr:row>
      <xdr:rowOff>238125</xdr:rowOff>
    </xdr:from>
    <xdr:ext cx="4905375" cy="2143125"/>
    <xdr:pic>
      <xdr:nvPicPr>
        <xdr:cNvPr id="1671728157" name="Chart4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67</xdr:row>
      <xdr:rowOff>495300</xdr:rowOff>
    </xdr:from>
    <xdr:ext cx="4905375" cy="2143125"/>
    <xdr:pic>
      <xdr:nvPicPr>
        <xdr:cNvPr id="1044915891" name="Chart4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733425</xdr:colOff>
      <xdr:row>67</xdr:row>
      <xdr:rowOff>609600</xdr:rowOff>
    </xdr:from>
    <xdr:ext cx="4905375" cy="2143125"/>
    <xdr:pic>
      <xdr:nvPicPr>
        <xdr:cNvPr id="320751963" name="Chart4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63</xdr:col>
      <xdr:colOff>66675</xdr:colOff>
      <xdr:row>67</xdr:row>
      <xdr:rowOff>952500</xdr:rowOff>
    </xdr:from>
    <xdr:ext cx="4905375" cy="2143125"/>
    <xdr:pic>
      <xdr:nvPicPr>
        <xdr:cNvPr id="1965611484" name="Chart4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63</xdr:col>
      <xdr:colOff>180975</xdr:colOff>
      <xdr:row>67</xdr:row>
      <xdr:rowOff>609600</xdr:rowOff>
    </xdr:from>
    <xdr:ext cx="4905375" cy="2143125"/>
    <xdr:pic>
      <xdr:nvPicPr>
        <xdr:cNvPr id="1087807305" name="Chart4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63</xdr:col>
      <xdr:colOff>409575</xdr:colOff>
      <xdr:row>67</xdr:row>
      <xdr:rowOff>1066800</xdr:rowOff>
    </xdr:from>
    <xdr:ext cx="4905375" cy="2143125"/>
    <xdr:pic>
      <xdr:nvPicPr>
        <xdr:cNvPr id="472479425" name="Chart4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63</xdr:col>
      <xdr:colOff>390525</xdr:colOff>
      <xdr:row>67</xdr:row>
      <xdr:rowOff>819150</xdr:rowOff>
    </xdr:from>
    <xdr:ext cx="4905375" cy="2143125"/>
    <xdr:pic>
      <xdr:nvPicPr>
        <xdr:cNvPr id="1098723269" name="Chart4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63</xdr:col>
      <xdr:colOff>1600200</xdr:colOff>
      <xdr:row>67</xdr:row>
      <xdr:rowOff>438150</xdr:rowOff>
    </xdr:from>
    <xdr:ext cx="4905375" cy="2143125"/>
    <xdr:pic>
      <xdr:nvPicPr>
        <xdr:cNvPr id="160544505" name="Chart5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64</xdr:col>
      <xdr:colOff>5162550</xdr:colOff>
      <xdr:row>67</xdr:row>
      <xdr:rowOff>438150</xdr:rowOff>
    </xdr:from>
    <xdr:ext cx="4905375" cy="2143125"/>
    <xdr:pic>
      <xdr:nvPicPr>
        <xdr:cNvPr id="822111687" name="Chart5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67</xdr:row>
      <xdr:rowOff>238125</xdr:rowOff>
    </xdr:from>
    <xdr:ext cx="4905375" cy="2143125"/>
    <xdr:pic>
      <xdr:nvPicPr>
        <xdr:cNvPr id="1732442773" name="Chart5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67</xdr:row>
      <xdr:rowOff>495300</xdr:rowOff>
    </xdr:from>
    <xdr:ext cx="4905375" cy="2143125"/>
    <xdr:pic>
      <xdr:nvPicPr>
        <xdr:cNvPr id="102877251" name="Chart5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733425</xdr:colOff>
      <xdr:row>67</xdr:row>
      <xdr:rowOff>609600</xdr:rowOff>
    </xdr:from>
    <xdr:ext cx="4905375" cy="2143125"/>
    <xdr:pic>
      <xdr:nvPicPr>
        <xdr:cNvPr id="1372581897" name="Chart54"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66675</xdr:colOff>
      <xdr:row>67</xdr:row>
      <xdr:rowOff>952500</xdr:rowOff>
    </xdr:from>
    <xdr:ext cx="4905375" cy="2143125"/>
    <xdr:pic>
      <xdr:nvPicPr>
        <xdr:cNvPr id="1372937056" name="Chart5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180975</xdr:colOff>
      <xdr:row>67</xdr:row>
      <xdr:rowOff>609600</xdr:rowOff>
    </xdr:from>
    <xdr:ext cx="4905375" cy="2143125"/>
    <xdr:pic>
      <xdr:nvPicPr>
        <xdr:cNvPr id="2136113167" name="Chart5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409575</xdr:colOff>
      <xdr:row>67</xdr:row>
      <xdr:rowOff>1066800</xdr:rowOff>
    </xdr:from>
    <xdr:ext cx="4905375" cy="2143125"/>
    <xdr:pic>
      <xdr:nvPicPr>
        <xdr:cNvPr id="324880700" name="Chart5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390525</xdr:colOff>
      <xdr:row>67</xdr:row>
      <xdr:rowOff>819150</xdr:rowOff>
    </xdr:from>
    <xdr:ext cx="4905375" cy="2143125"/>
    <xdr:pic>
      <xdr:nvPicPr>
        <xdr:cNvPr id="917061795" name="Chart5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1600200</xdr:colOff>
      <xdr:row>67</xdr:row>
      <xdr:rowOff>438150</xdr:rowOff>
    </xdr:from>
    <xdr:ext cx="4905375" cy="2143125"/>
    <xdr:pic>
      <xdr:nvPicPr>
        <xdr:cNvPr id="2107271722" name="Chart5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5162550</xdr:colOff>
      <xdr:row>67</xdr:row>
      <xdr:rowOff>438150</xdr:rowOff>
    </xdr:from>
    <xdr:ext cx="4905375" cy="2143125"/>
    <xdr:pic>
      <xdr:nvPicPr>
        <xdr:cNvPr id="1643330983" name="Chart6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127</xdr:col>
      <xdr:colOff>2505075</xdr:colOff>
      <xdr:row>60</xdr:row>
      <xdr:rowOff>114300</xdr:rowOff>
    </xdr:from>
    <xdr:ext cx="6657975" cy="2124075"/>
    <xdr:pic>
      <xdr:nvPicPr>
        <xdr:cNvPr id="343098537" name="Chart6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127</xdr:col>
      <xdr:colOff>4591050</xdr:colOff>
      <xdr:row>73</xdr:row>
      <xdr:rowOff>1228725</xdr:rowOff>
    </xdr:from>
    <xdr:ext cx="6657975" cy="2124075"/>
    <xdr:pic>
      <xdr:nvPicPr>
        <xdr:cNvPr id="954781157" name="Chart6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127</xdr:col>
      <xdr:colOff>7791450</xdr:colOff>
      <xdr:row>73</xdr:row>
      <xdr:rowOff>1038225</xdr:rowOff>
    </xdr:from>
    <xdr:ext cx="6657975" cy="2124075"/>
    <xdr:pic>
      <xdr:nvPicPr>
        <xdr:cNvPr id="363386809" name="Chart6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47</xdr:col>
      <xdr:colOff>0</xdr:colOff>
      <xdr:row>0</xdr:row>
      <xdr:rowOff>0</xdr:rowOff>
    </xdr:from>
    <xdr:ext cx="1409700" cy="140970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116</xdr:row>
      <xdr:rowOff>161925</xdr:rowOff>
    </xdr:from>
    <xdr:ext cx="4371975" cy="2124075"/>
    <xdr:pic>
      <xdr:nvPicPr>
        <xdr:cNvPr id="870216108" name="Chart6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733425</xdr:colOff>
      <xdr:row>116</xdr:row>
      <xdr:rowOff>171450</xdr:rowOff>
    </xdr:from>
    <xdr:ext cx="4667250" cy="2124075"/>
    <xdr:pic>
      <xdr:nvPicPr>
        <xdr:cNvPr id="246950300" name="Chart6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1019175</xdr:colOff>
      <xdr:row>116</xdr:row>
      <xdr:rowOff>161925</xdr:rowOff>
    </xdr:from>
    <xdr:ext cx="4638675" cy="2124075"/>
    <xdr:pic>
      <xdr:nvPicPr>
        <xdr:cNvPr id="324938392" name="Chart66"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36</xdr:col>
      <xdr:colOff>352425</xdr:colOff>
      <xdr:row>116</xdr:row>
      <xdr:rowOff>180975</xdr:rowOff>
    </xdr:from>
    <xdr:ext cx="4667250" cy="2143125"/>
    <xdr:pic>
      <xdr:nvPicPr>
        <xdr:cNvPr id="407181715" name="Chart67"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72</xdr:col>
      <xdr:colOff>885825</xdr:colOff>
      <xdr:row>116</xdr:row>
      <xdr:rowOff>161925</xdr:rowOff>
    </xdr:from>
    <xdr:ext cx="5038725" cy="2124075"/>
    <xdr:pic>
      <xdr:nvPicPr>
        <xdr:cNvPr id="655697133" name="Chart68"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257175</xdr:colOff>
      <xdr:row>116</xdr:row>
      <xdr:rowOff>152400</xdr:rowOff>
    </xdr:from>
    <xdr:ext cx="4667250" cy="2143125"/>
    <xdr:pic>
      <xdr:nvPicPr>
        <xdr:cNvPr id="421878993" name="Chart69"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39</xdr:col>
      <xdr:colOff>1228725</xdr:colOff>
      <xdr:row>116</xdr:row>
      <xdr:rowOff>161925</xdr:rowOff>
    </xdr:from>
    <xdr:ext cx="4667250" cy="2143125"/>
    <xdr:pic>
      <xdr:nvPicPr>
        <xdr:cNvPr id="102695848" name="Chart70"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76</xdr:col>
      <xdr:colOff>1000125</xdr:colOff>
      <xdr:row>116</xdr:row>
      <xdr:rowOff>161925</xdr:rowOff>
    </xdr:from>
    <xdr:ext cx="5153025" cy="2124075"/>
    <xdr:pic>
      <xdr:nvPicPr>
        <xdr:cNvPr id="64896223" name="Chart71"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676275</xdr:colOff>
      <xdr:row>116</xdr:row>
      <xdr:rowOff>152400</xdr:rowOff>
    </xdr:from>
    <xdr:ext cx="4667250" cy="2143125"/>
    <xdr:pic>
      <xdr:nvPicPr>
        <xdr:cNvPr id="786019276" name="Chart72"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43</xdr:col>
      <xdr:colOff>847725</xdr:colOff>
      <xdr:row>116</xdr:row>
      <xdr:rowOff>152400</xdr:rowOff>
    </xdr:from>
    <xdr:ext cx="4667250" cy="2143125"/>
    <xdr:pic>
      <xdr:nvPicPr>
        <xdr:cNvPr id="1649958641" name="Chart73"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914400</xdr:colOff>
      <xdr:row>116</xdr:row>
      <xdr:rowOff>180975</xdr:rowOff>
    </xdr:from>
    <xdr:ext cx="4810125" cy="2143125"/>
    <xdr:pic>
      <xdr:nvPicPr>
        <xdr:cNvPr id="1014038923" name="Chart74" title="Gráfico">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47</xdr:col>
      <xdr:colOff>95250</xdr:colOff>
      <xdr:row>116</xdr:row>
      <xdr:rowOff>152400</xdr:rowOff>
    </xdr:from>
    <xdr:ext cx="4905375" cy="2143125"/>
    <xdr:pic>
      <xdr:nvPicPr>
        <xdr:cNvPr id="172243500" name="Chart75"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81</xdr:col>
      <xdr:colOff>28575</xdr:colOff>
      <xdr:row>116</xdr:row>
      <xdr:rowOff>161925</xdr:rowOff>
    </xdr:from>
    <xdr:ext cx="5619750" cy="2124075"/>
    <xdr:pic>
      <xdr:nvPicPr>
        <xdr:cNvPr id="89989351" name="Chart76" title="Gráfico">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60</xdr:col>
      <xdr:colOff>133350</xdr:colOff>
      <xdr:row>116</xdr:row>
      <xdr:rowOff>152400</xdr:rowOff>
    </xdr:from>
    <xdr:ext cx="4667250" cy="2143125"/>
    <xdr:pic>
      <xdr:nvPicPr>
        <xdr:cNvPr id="75716326" name="Chart77"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971550</xdr:colOff>
      <xdr:row>116</xdr:row>
      <xdr:rowOff>171450</xdr:rowOff>
    </xdr:from>
    <xdr:ext cx="5695950" cy="2143125"/>
    <xdr:pic>
      <xdr:nvPicPr>
        <xdr:cNvPr id="2053862031" name="Chart78" title="Gráfico">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50</xdr:col>
      <xdr:colOff>1238250</xdr:colOff>
      <xdr:row>116</xdr:row>
      <xdr:rowOff>152400</xdr:rowOff>
    </xdr:from>
    <xdr:ext cx="5743575" cy="2143125"/>
    <xdr:pic>
      <xdr:nvPicPr>
        <xdr:cNvPr id="590982915" name="Chart79" title="Gráfico">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63</xdr:col>
      <xdr:colOff>1095375</xdr:colOff>
      <xdr:row>116</xdr:row>
      <xdr:rowOff>152400</xdr:rowOff>
    </xdr:from>
    <xdr:ext cx="4905375" cy="2143125"/>
    <xdr:pic>
      <xdr:nvPicPr>
        <xdr:cNvPr id="812055482" name="Chart80"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84</xdr:col>
      <xdr:colOff>2019300</xdr:colOff>
      <xdr:row>116</xdr:row>
      <xdr:rowOff>161925</xdr:rowOff>
    </xdr:from>
    <xdr:ext cx="6657975" cy="2124075"/>
    <xdr:pic>
      <xdr:nvPicPr>
        <xdr:cNvPr id="1976974033" name="Chart81" title="Gráfico">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38100</xdr:colOff>
      <xdr:row>116</xdr:row>
      <xdr:rowOff>180975</xdr:rowOff>
    </xdr:from>
    <xdr:ext cx="5743575" cy="2143125"/>
    <xdr:pic>
      <xdr:nvPicPr>
        <xdr:cNvPr id="660384024" name="Chart82" title="Gráfico">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55</xdr:col>
      <xdr:colOff>685800</xdr:colOff>
      <xdr:row>116</xdr:row>
      <xdr:rowOff>152400</xdr:rowOff>
    </xdr:from>
    <xdr:ext cx="5743575" cy="2143125"/>
    <xdr:pic>
      <xdr:nvPicPr>
        <xdr:cNvPr id="912807915" name="Chart83" title="Gráfico">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67</xdr:col>
      <xdr:colOff>933450</xdr:colOff>
      <xdr:row>116</xdr:row>
      <xdr:rowOff>152400</xdr:rowOff>
    </xdr:from>
    <xdr:ext cx="4905375" cy="2143125"/>
    <xdr:pic>
      <xdr:nvPicPr>
        <xdr:cNvPr id="322832322" name="Chart84" title="Gráfico">
          <a:extLst>
            <a:ext uri="GoogleSheetsCustomDataVersion1">
              <go:sheetsCustomData xmlns:go="http://customooxmlschemas.google.com/" pictureOfChart="1"/>
            </a:ext>
          </a:extLst>
        </xdr:cNvPr>
        <xdr:cNvPicPr preferRelativeResize="0"/>
      </xdr:nvPicPr>
      <xdr:blipFill>
        <a:blip cstate="print" r:embed="rId17"/>
        <a:stretch>
          <a:fillRect/>
        </a:stretch>
      </xdr:blipFill>
      <xdr:spPr>
        <a:prstGeom prst="rect">
          <a:avLst/>
        </a:prstGeom>
        <a:noFill/>
      </xdr:spPr>
    </xdr:pic>
    <xdr:clientData fLocksWithSheet="0"/>
  </xdr:oneCellAnchor>
  <xdr:oneCellAnchor>
    <xdr:from>
      <xdr:col>84</xdr:col>
      <xdr:colOff>8782050</xdr:colOff>
      <xdr:row>116</xdr:row>
      <xdr:rowOff>161925</xdr:rowOff>
    </xdr:from>
    <xdr:ext cx="6657975" cy="2124075"/>
    <xdr:pic>
      <xdr:nvPicPr>
        <xdr:cNvPr id="416210299" name="Chart85" title="Gráfico">
          <a:extLst>
            <a:ext uri="GoogleSheetsCustomDataVersion1">
              <go:sheetsCustomData xmlns:go="http://customooxmlschemas.google.com/" pictureOfChart="1"/>
            </a:ext>
          </a:extLst>
        </xdr:cNvPr>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0</xdr:row>
      <xdr:rowOff>0</xdr:rowOff>
    </xdr:from>
    <xdr:ext cx="2581275" cy="1190625"/>
    <xdr:pic>
      <xdr:nvPicPr>
        <xdr:cNvPr id="0" name="image2.png"/>
        <xdr:cNvPicPr preferRelativeResize="0"/>
      </xdr:nvPicPr>
      <xdr:blipFill>
        <a:blip cstate="print" r:embed="rId19"/>
        <a:stretch>
          <a:fillRect/>
        </a:stretch>
      </xdr:blipFill>
      <xdr:spPr>
        <a:prstGeom prst="rect">
          <a:avLst/>
        </a:prstGeom>
        <a:noFill/>
      </xdr:spPr>
    </xdr:pic>
    <xdr:clientData fLocksWithSheet="0"/>
  </xdr:oneCellAnchor>
  <xdr:oneCellAnchor>
    <xdr:from>
      <xdr:col>82</xdr:col>
      <xdr:colOff>0</xdr:colOff>
      <xdr:row>0</xdr:row>
      <xdr:rowOff>0</xdr:rowOff>
    </xdr:from>
    <xdr:ext cx="1238250" cy="1238250"/>
    <xdr:pic>
      <xdr:nvPicPr>
        <xdr:cNvPr id="0" name="image1.jp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Usuário excluído" id="{9fdaef87-1094-4321-a090-a5a50879890c}" providerId="google-sheets"/>
  <x18tc:person displayName="Yasmin Santos" id="{5646d932-7af1-4cbc-87d2-d69d9c1544d7}" providerId="google-sheets"/>
  <x18tc:person displayName="Luiza Ramires" id="{babcdea1-9c80-46fd-ac68-37cd02437004}" providerId="google-sheets"/>
  <x18tc:person displayName="Usuário excluído" id="{90cac259-d466-4c66-8a29-a26765844fb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M28" dT="2026-05-12T20:14:55.00" personId="{babcdea1-9c80-46fd-ac68-37cd02437004}" id="{24312fc5-2a26-4b8f-9690-2d65e40d1b98}" done="0">
    <x18tc:text xml:space="preserve">=SEERRO(
ÍNDICE(
FILTER(DH28:EI28; ÉNÚM(DH28:EI28));
CONT.VALORES(FILTER(DH28:EI28; ÉNÚM(DH28:EI28)))
);
EI28
)</x18tc:text>
  </x18tc:threadedComment>
  <x18tc:threadedComment ref="A1" dT="2025-06-06T12:25:54.00" personId="{9fdaef87-1094-4321-a090-a5a50879890c}" id="{3a949908-3fe5-4ad7-83be-e208527b1553}" done="1">
    <x18tc:text xml:space="preserve">V18</x18tc:text>
  </x18tc:threadedComment>
  <x18tc:threadedComment ref="A1" dT="2025-06-06T12:16:05.00" personId="{9fdaef87-1094-4321-a090-a5a50879890c}" id="{2e5a7dad-f338-4f9d-9203-f20f871077f3}" done="0">
    <x18tc:text xml:space="preserve">12</x18tc:text>
  </x18tc:threadedComment>
  <x18tc:threadedComment ref="EH27" dT="2026-03-27T21:43:50.00" personId="{5646d932-7af1-4cbc-87d2-d69d9c1544d7}" id="{29fbc98a-dd6b-4a51-a2ee-7f7a4d3ebb2c}" done="0">
    <x18tc:text xml:space="preserve">FORMULA DIFERENTE
=SEERRO(
ÍNDICE(
FILTER(AK32:BG32; ÉNÚM(AK32:BG32));
CONT.VALORES(FILTER(AK32:BG32; ÉNÚM(AK32:BG32)))
);
BG32
)</x18tc:text>
  </x18tc:threadedComment>
  <x18tc:threadedComment ref="A1" dT="2025-06-06T16:54:07.00" personId="{9fdaef87-1094-4321-a090-a5a50879890c}" id="{749cde26-8915-4432-a585-df83f43962ce}" done="1">
    <x18tc:text xml:space="preserve">v9</x18tc:text>
  </x18tc:threadedComment>
  <x18tc:threadedComment ref="GM63" dT="2026-07-03T20:35:47.00" personId="{babcdea1-9c80-46fd-ac68-37cd02437004}" id="{39659cb1-611d-412a-8233-04be76d6ca4a}" done="0">
    <x18tc:text xml:space="preserve">=SEERRO(
ÍNDICE(
FILTER(ES63:GA63; ÉNÚM(ES63:GA63));
CONT.VALORES(FILTER(ES63:GA63; ÉNÚM(ES63:GA63)))
);
GA63
)</x18tc:text>
  </x18tc:threadedComment>
  <x18tc:threadedComment ref="CX27" dT="2026-03-27T21:42:37.00" personId="{5646d932-7af1-4cbc-87d2-d69d9c1544d7}" id="{55eb6ba3-ed3f-429c-bb32-990e9a19744b}" done="0">
    <x18tc:text xml:space="preserve">FORMULA DIFERENTE
=SEERRO(
ÍNDICE(
FILTER(AK32:BG32; ÉNÚM(AK32:BG32));
CONT.VALORES(FILTER(AK32:BG32; ÉNÚM(AK32:BG32)))
);
BG32
)</x18tc:text>
  </x18tc:threadedComment>
  <x18tc:threadedComment ref="GM30" dT="2026-05-12T20:15:07.00" personId="{babcdea1-9c80-46fd-ac68-37cd02437004}" id="{5baec57d-b3f4-4810-94e9-f279d4448e3d}" done="0">
    <x18tc:text xml:space="preserve">=SEERRO(
ÍNDICE(
FILTER(DH30:EI30; ÉNÚM(DH30:EI30));
CONT.VALORES(FILTER(DH30:EI30; ÉNÚM(DH30:EI30)))
);
EI30
)</x18tc:text>
  </x18tc:threadedComment>
  <x18tc:threadedComment ref="A1" dT="2025-06-06T12:25:31.00" personId="{9fdaef87-1094-4321-a090-a5a50879890c}" id="{0b6300b5-d7fb-4849-b7af-8f831e210c30}" done="0">
    <x18tc:text xml:space="preserve">V23</x18tc:text>
  </x18tc:threadedComment>
  <x18tc:threadedComment ref="A1" dT="2025-06-06T16:53:50.00" personId="{9fdaef87-1094-4321-a090-a5a50879890c}" id="{9da3d3eb-8799-4a99-a69c-1e6cbcfe59dd}" done="1">
    <x18tc:text xml:space="preserve">v7</x18tc:text>
  </x18tc:threadedComment>
  <x18tc:threadedComment ref="A1" dT="2025-06-06T16:53:08.00" personId="{9fdaef87-1094-4321-a090-a5a50879890c}" id="{f858856e-f968-4ee3-a182-e891a81ae909}" done="0">
    <x18tc:text xml:space="preserve">v8</x18tc:text>
  </x18tc:threadedComment>
  <x18tc:threadedComment ref="A1" dT="2025-06-06T12:35:18.00" personId="{9fdaef87-1094-4321-a090-a5a50879890c}" id="{a0b849f4-ab77-4b4f-b5cc-284929f568cd}" done="0">
    <x18tc:text xml:space="preserve">V27</x18tc:text>
  </x18tc:threadedComment>
  <x18tc:threadedComment ref="A1" dT="2025-06-06T12:35:47.00" personId="{9fdaef87-1094-4321-a090-a5a50879890c}" id="{e89fbffa-8934-4edb-b974-e977b7700a2a}" done="0">
    <x18tc:text xml:space="preserve">V17</x18tc:text>
  </x18tc:threadedComment>
  <x18tc:threadedComment ref="GM67" dT="2026-03-27T14:36:22.00" personId="{5646d932-7af1-4cbc-87d2-d69d9c1544d7}" id="{40dd322e-518d-4078-ac9e-ae6566f351e2}" done="0">
    <x18tc:text xml:space="preserve">FÓMULA DIFERENTE:
=SEERRO(
ÍNDICE(
FILTER(CC71:CW71; ÉNÚM(CC71:CW71));
CONT.VALORES(FILTER(CC71:CW71; ÉNÚM(CC71:CW71)))
);
CW71
)</x18tc:text>
  </x18tc:threadedComment>
  <x18tc:threadedComment ref="A1" dT="2025-06-06T12:21:48.00" personId="{9fdaef87-1094-4321-a090-a5a50879890c}" id="{9dac9fbc-8403-451b-9ebc-f1ced9d27601}" done="0">
    <x18tc:text xml:space="preserve">V10</x18tc:text>
  </x18tc:threadedComment>
  <x18tc:threadedComment ref="A1" dT="2025-06-27T15:05:24.00" personId="{90cac259-d466-4c66-8a29-a26765844fbb}" id="{22583a86-fdde-4237-928b-7659cdf8062f}" parentId="{9dac9fbc-8403-451b-9ebc-f1ced9d27601}">
    <x18tc:text xml:space="preserve">V15 - 25-06</x18tc:text>
  </x18tc:threadedComment>
  <x18tc:threadedComment ref="A1" dT="2025-06-06T12:33:34.00" personId="{9fdaef87-1094-4321-a090-a5a50879890c}" id="{dbe43b2f-4066-483d-b270-09e08e7cae5b}" done="0">
    <x18tc:text xml:space="preserve">V18</x18tc:text>
  </x18tc:threadedComment>
  <x18tc:threadedComment ref="A1" dT="2025-06-06T12:24:08.00" personId="{9fdaef87-1094-4321-a090-a5a50879890c}" id="{7fb1a964-bf7c-479a-afa9-3e0cb29c1924}" done="0">
    <x18tc:text xml:space="preserve">V19</x18tc:text>
  </x18tc:threadedComment>
  <x18tc:threadedComment ref="A1" dT="2025-06-27T15:06:48.00" personId="{90cac259-d466-4c66-8a29-a26765844fbb}" id="{825cc7a4-4428-4372-928c-993cc5d3ce0c}" parentId="{7fb1a964-bf7c-479a-afa9-3e0cb29c1924}">
    <x18tc:text xml:space="preserve">V22 - 25-06</x18tc:text>
  </x18tc:threadedComment>
  <x18tc:threadedComment ref="A1" dT="2025-06-06T12:34:50.00" personId="{9fdaef87-1094-4321-a090-a5a50879890c}" id="{ea4ebc8a-97fa-4f17-a1a0-86ae3668695c}" done="0">
    <x18tc:text xml:space="preserve">V17</x18tc:text>
  </x18tc:threadedComment>
  <x18tc:threadedComment ref="A1" dT="2025-06-06T12:24:57.00" personId="{9fdaef87-1094-4321-a090-a5a50879890c}" id="{f0e21d63-6440-42db-a5b6-edd99bc4bbb1}" done="0">
    <x18tc:text xml:space="preserve">V16</x18tc:text>
  </x18tc:threadedComment>
  <x18tc:threadedComment ref="A1" dT="2025-06-06T12:32:49.00" personId="{9fdaef87-1094-4321-a090-a5a50879890c}" id="{75263424-8909-4d9f-bf23-82132f1bc34e}" done="1">
    <x18tc:text xml:space="preserve">V1</x18tc:text>
  </x18tc:threadedComment>
  <x18tc:threadedComment ref="A1" dT="2025-06-06T12:20:55.00" personId="{9fdaef87-1094-4321-a090-a5a50879890c}" id="{47760952-18b9-4f32-8872-7665a22deb83}" done="1">
    <x18tc:text xml:space="preserve">V8</x18tc:text>
  </x18tc:threadedComment>
  <x18tc:threadedComment ref="A1" dT="2025-06-06T12:23:44.00" personId="{9fdaef87-1094-4321-a090-a5a50879890c}" id="{bc70cbfd-1ecb-4f49-b134-a83d35b543d9}" done="0">
    <x18tc:text xml:space="preserve">V15</x18tc:text>
  </x18tc:threadedComment>
  <x18tc:threadedComment ref="A1" dT="2025-06-27T15:04:13.00" personId="{90cac259-d466-4c66-8a29-a26765844fbb}" id="{2b79628b-c76e-4509-acaf-8007c1f5a617}" parentId="{bc70cbfd-1ecb-4f49-b134-a83d35b543d9}">
    <x18tc:text xml:space="preserve">V18 - 25-06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U66" dT="2025-06-19T17:39:43.00" personId="{90cac259-d466-4c66-8a29-a26765844fbb}" id="{96689c1b-c46c-4a80-9cf5-9bed6a51abc2}" done="1">
    <x18tc:text xml:space="preserve">90% - aguardando parecer do Francis p/ att assembly code</x18tc:text>
  </x18tc:threadedComment>
  <x18tc:threadedComment ref="U78" dT="2025-06-03T19:45:37.00" personId="{9fdaef87-1094-4321-a090-a5a50879890c}" id="{c8a0225c-9a49-4fa0-b758-095a1dff0225}" done="1">
    <x18tc:text xml:space="preserve">ANALISAR PELO TEKLA</x18tc:text>
  </x18tc:threadedComment>
  <x18tc:threadedComment ref="AS18" dT="2025-06-19T19:43:25.00" personId="{9fdaef87-1094-4321-a090-a5a50879890c}" id="{00231775-c17e-491c-8be1-cf620b3dbcc3}" done="0">
    <x18tc:text xml:space="preserve">MODELO ESPERANDO O AS BUILT DE MEP PARA FAZER FURAÇÕES NA MODELAGEM</x18tc:text>
  </x18tc:threadedComment>
  <x18tc:threadedComment ref="AP64" dT="2025-06-03T19:29:52.00" personId="{9fdaef87-1094-4321-a090-a5a50879890c}" id="{6e723963-6735-4d4c-8704-7f01681eb737}" done="1">
    <x18tc:text xml:space="preserve">VERIFICAR V17 QND SUBIR</x18tc:text>
  </x18tc:threadedComment>
  <x18tc:threadedComment ref="Z66" dT="2025-06-19T17:39:00.00" personId="{90cac259-d466-4c66-8a29-a26765844fbb}" id="{b1d1870e-5917-4172-bb8b-59d1e58ed70c}" done="1">
    <x18tc:text xml:space="preserve">90% - aguardando parecer do Francis p/ att assembly code</x18tc:text>
  </x18tc:threadedComment>
  <x18tc:threadedComment ref="X18" dT="2025-06-19T19:43:20.00" personId="{9fdaef87-1094-4321-a090-a5a50879890c}" id="{ab4de5d1-0a21-45e7-9763-c0c53268cc9f}" done="0">
    <x18tc:text xml:space="preserve">MODELO ESPERANDO O AS BUILT DE MEP PARA FAZER FURAÇÕES NA MODELAGEM</x18tc:text>
  </x18tc:threadedComment>
  <x18tc:threadedComment ref="U14" dT="2025-06-03T19:28:33.00" personId="{9fdaef87-1094-4321-a090-a5a50879890c}" id="{42d0c331-6d10-45d3-b3d6-dd07085fcd80}" done="1">
    <x18tc:text xml:space="preserve">VERIFICAR V12 QND SUBIR</x18tc:text>
  </x18tc:threadedComment>
  <x18tc:threadedComment ref="U57" dT="2025-06-03T19:46:42.00" personId="{9fdaef87-1094-4321-a090-a5a50879890c}" id="{6ae6a7fd-57e1-4cb4-bfa0-cd5433fe26bf}" done="1">
    <x18tc:text xml:space="preserve">VERIFICAR V5 QND POSTADA</x18tc:text>
  </x18tc:threadedComment>
  <x18tc:threadedComment ref="AP79" dT="2025-06-03T19:45:56.00" personId="{9fdaef87-1094-4321-a090-a5a50879890c}" id="{3813ad7d-429d-4daa-b2be-14f999262803}" done="1">
    <x18tc:text xml:space="preserve">ANALISAR PELO TEKLA</x18tc:text>
  </x18tc:threadedComment>
  <x18tc:threadedComment ref="U55" dT="2025-06-03T19:46:26.00" personId="{9fdaef87-1094-4321-a090-a5a50879890c}" id="{a77c0f2f-4e0a-4e55-8693-d4146bccfb6b}" done="1">
    <x18tc:text xml:space="preserve">VERIFICAR V3 QND POSTADA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acc.autodesk.com/docs/files/projects/1e597176-a716-43f8-be36-fdbb47ecdee5?folderUrn=urn:adsk.wipprod:fs.folder:co.wiFGaDltR6KuAtlKIhTMqw&amp;entityId=urn:adsk.wipprod:dm.lineage:XtpfYcfvQ2q9pUwtdubPMg&amp;viewModel=detail&amp;moduleId=folders" TargetMode="External"/><Relationship Id="rId190" Type="http://schemas.openxmlformats.org/officeDocument/2006/relationships/hyperlink" Target="https://acc.autodesk.com/docs/files/projects/1e597176-a716-43f8-be36-fdbb47ecdee5?folderUrn=urn:adsk.wipprod:fs.folder:co.UqJ5SedOSpaQm3mvbRIw_Q&amp;entityId=urn:adsk.wipprod:dm.lineage:O63UVX4eT3ycozNTanYLWQ&amp;viewModel=detail&amp;moduleId=folders" TargetMode="External"/><Relationship Id="rId42" Type="http://schemas.openxmlformats.org/officeDocument/2006/relationships/hyperlink" Target="https://acc.autodesk.com/docs/files/projects/1e597176-a716-43f8-be36-fdbb47ecdee5?folderUrn=urn:adsk.wipprod:fs.folder:co.wiFGaDltR6KuAtlKIhTMqw&amp;entityId=urn:adsk.wipprod:dm.lineage:tAylGYeMT7aosaM4Jxza6g&amp;viewModel=detail&amp;moduleId=folders" TargetMode="External"/><Relationship Id="rId41" Type="http://schemas.openxmlformats.org/officeDocument/2006/relationships/hyperlink" Target="https://acc.autodesk.com/docs/files/projects/1e597176-a716-43f8-be36-fdbb47ecdee5?folderUrn=urn:adsk.wipprod:fs.folder:co.wiFGaDltR6KuAtlKIhTMqw" TargetMode="External"/><Relationship Id="rId44" Type="http://schemas.openxmlformats.org/officeDocument/2006/relationships/hyperlink" Target="https://acc.autodesk.com/docs/files/projects/1e597176-a716-43f8-be36-fdbb47ecdee5?folderUrn=urn:adsk.wipprod:fs.folder:co.wiFGaDltR6KuAtlKIhTMqw&amp;entityId=urn:adsk.wipprod:dm.lineage:0t1L6b_yRpS-t4r6kKq4pg&amp;viewModel=detail&amp;moduleId=folders" TargetMode="External"/><Relationship Id="rId194" Type="http://schemas.openxmlformats.org/officeDocument/2006/relationships/hyperlink" Target="https://acc.autodesk.com/docs/files/projects/1e597176-a716-43f8-be36-fdbb47ecdee5?folderUrn=urn:adsk.wipprod:fs.folder:co.UqJ5SedOSpaQm3mvbRIw_Q&amp;entityId=urn:adsk.wipprod:dm.lineage:dPnKI-J2Q5CFmk0xz8n62A&amp;viewModel=detail&amp;moduleId=folders" TargetMode="External"/><Relationship Id="rId43" Type="http://schemas.openxmlformats.org/officeDocument/2006/relationships/hyperlink" Target="https://acc.autodesk.com/docs/files/projects/1e597176-a716-43f8-be36-fdbb47ecdee5?folderUrn=urn:adsk.wipprod:fs.folder:co.wiFGaDltR6KuAtlKIhTMqw" TargetMode="External"/><Relationship Id="rId193" Type="http://schemas.openxmlformats.org/officeDocument/2006/relationships/hyperlink" Target="https://acc.autodesk.com/docs/files/projects/1e597176-a716-43f8-be36-fdbb47ecdee5?folderUrn=urn:adsk.wipprod:fs.folder:co.UqJ5SedOSpaQm3mvbRIw_Q" TargetMode="External"/><Relationship Id="rId46" Type="http://schemas.openxmlformats.org/officeDocument/2006/relationships/hyperlink" Target="https://acc.autodesk.com/docs/files/projects/1e597176-a716-43f8-be36-fdbb47ecdee5?folderUrn=urn:adsk.wipprod:fs.folder:co.wiFGaDltR6KuAtlKIhTMqw&amp;entityId=urn:adsk.wipprod:dm.lineage:RFNNWWtSQ1-5mtLSpSjjdQ&amp;viewModel=detail&amp;moduleId=folders" TargetMode="External"/><Relationship Id="rId192" Type="http://schemas.openxmlformats.org/officeDocument/2006/relationships/hyperlink" Target="https://acc.autodesk.com/docs/files/projects/1e597176-a716-43f8-be36-fdbb47ecdee5?folderUrn=urn:adsk.wipprod:fs.folder:co.UqJ5SedOSpaQm3mvbRIw_Q&amp;entityId=urn:adsk.wipprod:dm.lineage:PpImKsL1SIK5Gj3SLgXgiQ&amp;viewModel=detail&amp;moduleId=folders" TargetMode="External"/><Relationship Id="rId45" Type="http://schemas.openxmlformats.org/officeDocument/2006/relationships/hyperlink" Target="https://acc.autodesk.com/docs/files/projects/1e597176-a716-43f8-be36-fdbb47ecdee5?folderUrn=urn:adsk.wipprod:fs.folder:co.wiFGaDltR6KuAtlKIhTMqw" TargetMode="External"/><Relationship Id="rId191" Type="http://schemas.openxmlformats.org/officeDocument/2006/relationships/hyperlink" Target="https://acc.autodesk.com/docs/files/projects/1e597176-a716-43f8-be36-fdbb47ecdee5?folderUrn=urn:adsk.wipprod:fs.folder:co.UqJ5SedOSpaQm3mvbRIw_Q" TargetMode="External"/><Relationship Id="rId48" Type="http://schemas.openxmlformats.org/officeDocument/2006/relationships/hyperlink" Target="https://acc.autodesk.com/docs/files/projects/1e597176-a716-43f8-be36-fdbb47ecdee5?folderUrn=urn:adsk.wipprod:fs.folder:co.wiFGaDltR6KuAtlKIhTMqw&amp;entityId=urn:adsk.wipprod:dm.lineage:opkC-KuuSFyCL7D_TZN7WQ&amp;viewModel=detail&amp;moduleId=folders" TargetMode="External"/><Relationship Id="rId187" Type="http://schemas.openxmlformats.org/officeDocument/2006/relationships/hyperlink" Target="https://acc.autodesk.com/docs/files/projects/1e597176-a716-43f8-be36-fdbb47ecdee5?folderUrn=urn:adsk.wipprod:fs.folder:co.UqJ5SedOSpaQm3mvbRIw_Q" TargetMode="External"/><Relationship Id="rId47" Type="http://schemas.openxmlformats.org/officeDocument/2006/relationships/hyperlink" Target="https://acc.autodesk.com/docs/files/projects/1e597176-a716-43f8-be36-fdbb47ecdee5?folderUrn=urn:adsk.wipprod:fs.folder:co.wiFGaDltR6KuAtlKIhTMqw" TargetMode="External"/><Relationship Id="rId186" Type="http://schemas.openxmlformats.org/officeDocument/2006/relationships/hyperlink" Target="https://acc.autodesk.com/docs/files/projects/1e597176-a716-43f8-be36-fdbb47ecdee5?folderUrn=urn:adsk.wipprod:fs.folder:co.UqJ5SedOSpaQm3mvbRIw_Q&amp;entityId=urn:adsk.wipprod:dm.lineage:VzsaoQGNTq6LW-cmAm6jnw&amp;viewModel=detail&amp;moduleId=folders" TargetMode="External"/><Relationship Id="rId185" Type="http://schemas.openxmlformats.org/officeDocument/2006/relationships/hyperlink" Target="https://acc.autodesk.com/docs/files/projects/1e597176-a716-43f8-be36-fdbb47ecdee5?folderUrn=urn:adsk.wipprod:fs.folder:co.UqJ5SedOSpaQm3mvbRIw_Q" TargetMode="External"/><Relationship Id="rId49" Type="http://schemas.openxmlformats.org/officeDocument/2006/relationships/hyperlink" Target="https://acc.autodesk.com/docs/files/projects/1e597176-a716-43f8-be36-fdbb47ecdee5?folderUrn=urn:adsk.wipprod:fs.folder:co.wiFGaDltR6KuAtlKIhTMqw" TargetMode="External"/><Relationship Id="rId184" Type="http://schemas.openxmlformats.org/officeDocument/2006/relationships/hyperlink" Target="https://acc.autodesk.com/docs/files/projects/1e597176-a716-43f8-be36-fdbb47ecdee5?folderUrn=urn:adsk.wipprod:fs.folder:co.UqJ5SedOSpaQm3mvbRIw_Q&amp;entityId=urn:adsk.wipprod:dm.lineage:MRCETzIqRE-Ybl-PN8xhjA&amp;viewModel=detail&amp;moduleId=folders" TargetMode="External"/><Relationship Id="rId189" Type="http://schemas.openxmlformats.org/officeDocument/2006/relationships/hyperlink" Target="https://acc.autodesk.com/docs/files/projects/1e597176-a716-43f8-be36-fdbb47ecdee5?folderUrn=urn:adsk.wipprod:fs.folder:co.UqJ5SedOSpaQm3mvbRIw_Q" TargetMode="External"/><Relationship Id="rId188" Type="http://schemas.openxmlformats.org/officeDocument/2006/relationships/hyperlink" Target="https://acc.autodesk.com/docs/files/projects/1e597176-a716-43f8-be36-fdbb47ecdee5?folderUrn=urn:adsk.wipprod:fs.folder:co.UqJ5SedOSpaQm3mvbRIw_Q&amp;entityId=urn:adsk.wipprod:dm.lineage:5FQbudrNRnqb6ANt1bGhFA&amp;viewModel=detail&amp;moduleId=folders" TargetMode="External"/><Relationship Id="rId31" Type="http://schemas.openxmlformats.org/officeDocument/2006/relationships/hyperlink" Target="https://acc.autodesk.com/docs/files/projects/1e597176-a716-43f8-be36-fdbb47ecdee5?folderUrn=urn:adsk.wipprod:fs.folder:co.x-LIQUseT7GKIeVcLN2hJw" TargetMode="External"/><Relationship Id="rId30" Type="http://schemas.openxmlformats.org/officeDocument/2006/relationships/hyperlink" Target="https://acc.autodesk.com/docs/files/projects/1e597176-a716-43f8-be36-fdbb47ecdee5?folderUrn=urn:adsk.wipprod:fs.folder:co.x-LIQUseT7GKIeVcLN2hJw&amp;entityId=urn:adsk.wipprod:dm.lineage:jUnRq2qhTWqCnvjq9JdVHQ&amp;viewModel=detail&amp;moduleId=folders" TargetMode="External"/><Relationship Id="rId33" Type="http://schemas.openxmlformats.org/officeDocument/2006/relationships/hyperlink" Target="https://acc.autodesk.com/docs/files/projects/1e597176-a716-43f8-be36-fdbb47ecdee5?folderUrn=urn:adsk.wipprod:fs.folder:co.x-LIQUseT7GKIeVcLN2hJw" TargetMode="External"/><Relationship Id="rId183" Type="http://schemas.openxmlformats.org/officeDocument/2006/relationships/hyperlink" Target="https://acc.autodesk.com/docs/files/projects/1e597176-a716-43f8-be36-fdbb47ecdee5?folderUrn=urn:adsk.wipprod:fs.folder:co.UqJ5SedOSpaQm3mvbRIw_Q" TargetMode="External"/><Relationship Id="rId32" Type="http://schemas.openxmlformats.org/officeDocument/2006/relationships/hyperlink" Target="https://acc.autodesk.com/docs/files/projects/1e597176-a716-43f8-be36-fdbb47ecdee5?folderUrn=urn:adsk.wipprod:fs.folder:co.x-LIQUseT7GKIeVcLN2hJw&amp;entityId=urn:adsk.wipprod:dm.lineage:VmLJUMXaTjuczONKZomNpA&amp;viewModel=detail&amp;moduleId=folders" TargetMode="External"/><Relationship Id="rId182" Type="http://schemas.openxmlformats.org/officeDocument/2006/relationships/hyperlink" Target="https://acc.autodesk.com/docs/files/projects/1e597176-a716-43f8-be36-fdbb47ecdee5?folderUrn=urn:adsk.wipprod:fs.folder:co.UqJ5SedOSpaQm3mvbRIw_Q&amp;entityId=urn:adsk.wipprod:dm.lineage:JBG-_sc0SEq0MOblCCvhdA&amp;viewModel=detail&amp;moduleId=folders" TargetMode="External"/><Relationship Id="rId35" Type="http://schemas.openxmlformats.org/officeDocument/2006/relationships/hyperlink" Target="https://acc.autodesk.com/docs/files/projects/1e597176-a716-43f8-be36-fdbb47ecdee5?folderUrn=urn:adsk.wipprod:fs.folder:co.x-LIQUseT7GKIeVcLN2hJw" TargetMode="External"/><Relationship Id="rId181" Type="http://schemas.openxmlformats.org/officeDocument/2006/relationships/hyperlink" Target="https://acc.autodesk.com/docs/files/projects/1e597176-a716-43f8-be36-fdbb47ecdee5?folderUrn=urn:adsk.wipprod:fs.folder:co.UqJ5SedOSpaQm3mvbRIw_Q" TargetMode="External"/><Relationship Id="rId34" Type="http://schemas.openxmlformats.org/officeDocument/2006/relationships/hyperlink" Target="https://acc.autodesk.com/docs/files/projects/1e597176-a716-43f8-be36-fdbb47ecdee5?folderUrn=urn:adsk.wipprod:fs.folder:co.x-LIQUseT7GKIeVcLN2hJw&amp;entityId=urn:adsk.wipprod:dm.lineage:LahxRejeQPGGFU96FPO9FQ&amp;viewModel=detail&amp;moduleId=folders" TargetMode="External"/><Relationship Id="rId180" Type="http://schemas.openxmlformats.org/officeDocument/2006/relationships/hyperlink" Target="https://acc.autodesk.com/docs/files/projects/1e597176-a716-43f8-be36-fdbb47ecdee5?folderUrn=urn:adsk.wipprod:fs.folder:co.UqJ5SedOSpaQm3mvbRIw_Q&amp;entityId=urn:adsk.wipprod:dm.lineage:vxkPhCUNRsGlNsAsKQs0JA&amp;viewModel=detail&amp;moduleId=folders" TargetMode="External"/><Relationship Id="rId37" Type="http://schemas.openxmlformats.org/officeDocument/2006/relationships/hyperlink" Target="https://acc.autodesk.com/docs/files/projects/1e597176-a716-43f8-be36-fdbb47ecdee5?folderUrn=urn:adsk.wipprod:fs.folder:co.x-LIQUseT7GKIeVcLN2hJw" TargetMode="External"/><Relationship Id="rId176" Type="http://schemas.openxmlformats.org/officeDocument/2006/relationships/hyperlink" Target="https://acc.autodesk.com/docs/files/projects/1e597176-a716-43f8-be36-fdbb47ecdee5?folderUrn=urn:adsk.wipprod:fs.folder:co.UqJ5SedOSpaQm3mvbRIw_Q&amp;entityId=urn:adsk.wipprod:dm.lineage:ThTmsyS-Q-yM5OONxA-LLg&amp;viewModel=detail&amp;moduleId=folders" TargetMode="External"/><Relationship Id="rId36" Type="http://schemas.openxmlformats.org/officeDocument/2006/relationships/hyperlink" Target="https://acc.autodesk.com/docs/files/projects/1e597176-a716-43f8-be36-fdbb47ecdee5?folderUrn=urn:adsk.wipprod:fs.folder:co.x-LIQUseT7GKIeVcLN2hJw&amp;entityId=urn:adsk.wipprod:dm.lineage:w80VieTjS7WsPbcPH8Riqw&amp;viewModel=detail&amp;moduleId=folders" TargetMode="External"/><Relationship Id="rId175" Type="http://schemas.openxmlformats.org/officeDocument/2006/relationships/hyperlink" Target="https://acc.autodesk.com/docs/files/projects/1e597176-a716-43f8-be36-fdbb47ecdee5?folderUrn=urn:adsk.wipprod:fs.folder:co.UqJ5SedOSpaQm3mvbRIw_Q" TargetMode="External"/><Relationship Id="rId39" Type="http://schemas.openxmlformats.org/officeDocument/2006/relationships/hyperlink" Target="https://acc.autodesk.com/docs/files/projects/1e597176-a716-43f8-be36-fdbb47ecdee5?folderUrn=urn:adsk.wipprod:fs.folder:co.wiFGaDltR6KuAtlKIhTMqw" TargetMode="External"/><Relationship Id="rId174" Type="http://schemas.openxmlformats.org/officeDocument/2006/relationships/hyperlink" Target="https://acc.autodesk.com/docs/files/projects/1e597176-a716-43f8-be36-fdbb47ecdee5?folderUrn=urn:adsk.wipprod:fs.folder:co.UqJ5SedOSpaQm3mvbRIw_Q&amp;entityId=urn:adsk.wipprod:dm.lineage:Gj9Twt3ORp2vP7LSO3iqCw&amp;viewModel=detail&amp;moduleId=folders" TargetMode="External"/><Relationship Id="rId38" Type="http://schemas.openxmlformats.org/officeDocument/2006/relationships/hyperlink" Target="https://acc.autodesk.com/docs/files/projects/1e597176-a716-43f8-be36-fdbb47ecdee5?folderUrn=urn:adsk.wipprod:fs.folder:co.x-LIQUseT7GKIeVcLN2hJw&amp;entityId=urn:adsk.wipprod:dm.lineage:VglsQj7rTNKYvkvvXPeiIg&amp;viewModel=detail&amp;moduleId=folders" TargetMode="External"/><Relationship Id="rId173" Type="http://schemas.openxmlformats.org/officeDocument/2006/relationships/hyperlink" Target="https://acc.autodesk.com/docs/files/projects/1e597176-a716-43f8-be36-fdbb47ecdee5?folderUrn=urn:adsk.wipprod:fs.folder:co.UqJ5SedOSpaQm3mvbRIw_Q" TargetMode="External"/><Relationship Id="rId179" Type="http://schemas.openxmlformats.org/officeDocument/2006/relationships/hyperlink" Target="https://acc.autodesk.com/docs/files/projects/1e597176-a716-43f8-be36-fdbb47ecdee5?folderUrn=urn:adsk.wipprod:fs.folder:co.UqJ5SedOSpaQm3mvbRIw_Q" TargetMode="External"/><Relationship Id="rId178" Type="http://schemas.openxmlformats.org/officeDocument/2006/relationships/hyperlink" Target="https://acc.autodesk.com/docs/files/projects/1e597176-a716-43f8-be36-fdbb47ecdee5?folderUrn=urn:adsk.wipprod:fs.folder:co.UqJ5SedOSpaQm3mvbRIw_Q&amp;entityId=urn:adsk.wipprod:dm.lineage:-NYQ2g8ETf270SZucrdOwQ&amp;viewModel=detail&amp;moduleId=folders" TargetMode="External"/><Relationship Id="rId177" Type="http://schemas.openxmlformats.org/officeDocument/2006/relationships/hyperlink" Target="https://acc.autodesk.com/docs/files/projects/1e597176-a716-43f8-be36-fdbb47ecdee5?folderUrn=urn:adsk.wipprod:fs.folder:co.UqJ5SedOSpaQm3mvbRIw_Q" TargetMode="External"/><Relationship Id="rId20" Type="http://schemas.openxmlformats.org/officeDocument/2006/relationships/hyperlink" Target="https://acc.autodesk.com/docs/files/projects/1e597176-a716-43f8-be36-fdbb47ecdee5?folderUrn=urn:adsk.wipprod:fs.folder:co.x-LIQUseT7GKIeVcLN2hJw&amp;entityId=urn:adsk.wipprod:dm.lineage:H-slY2BjQJu3XQM2QOyh2w&amp;viewModel=detail&amp;moduleId=folders" TargetMode="External"/><Relationship Id="rId22" Type="http://schemas.openxmlformats.org/officeDocument/2006/relationships/hyperlink" Target="https://acc.autodesk.com/docs/files/projects/1e597176-a716-43f8-be36-fdbb47ecdee5?folderUrn=urn:adsk.wipprod:fs.folder:co.x-LIQUseT7GKIeVcLN2hJw&amp;entityId=urn:adsk.wipprod:dm.lineage:a5OopMI2RiCMbQc4KHjWvw&amp;viewModel=detail&amp;moduleId=folders" TargetMode="External"/><Relationship Id="rId21" Type="http://schemas.openxmlformats.org/officeDocument/2006/relationships/hyperlink" Target="https://acc.autodesk.com/docs/files/projects/1e597176-a716-43f8-be36-fdbb47ecdee5?folderUrn=urn:adsk.wipprod:fs.folder:co.x-LIQUseT7GKIeVcLN2hJw" TargetMode="External"/><Relationship Id="rId24" Type="http://schemas.openxmlformats.org/officeDocument/2006/relationships/hyperlink" Target="https://acc.autodesk.com/docs/files/projects/1e597176-a716-43f8-be36-fdbb47ecdee5?folderUrn=urn:adsk.wipprod:fs.folder:co.x-LIQUseT7GKIeVcLN2hJw&amp;entityId=urn:adsk.wipprod:dm.lineage:W13X_Q7hT0KZX9KEoK-XuA&amp;viewModel=detail&amp;moduleId=folders" TargetMode="External"/><Relationship Id="rId23" Type="http://schemas.openxmlformats.org/officeDocument/2006/relationships/hyperlink" Target="https://acc.autodesk.com/docs/files/projects/1e597176-a716-43f8-be36-fdbb47ecdee5?folderUrn=urn:adsk.wipprod:fs.folder:co.x-LIQUseT7GKIeVcLN2hJw" TargetMode="External"/><Relationship Id="rId26" Type="http://schemas.openxmlformats.org/officeDocument/2006/relationships/hyperlink" Target="https://acc.autodesk.com/docs/files/projects/1e597176-a716-43f8-be36-fdbb47ecdee5?folderUrn=urn:adsk.wipprod:fs.folder:co.x-LIQUseT7GKIeVcLN2hJw&amp;entityId=urn:adsk.wipprod:dm.lineage:7HtFpoLUSka7iY0KCStDEA&amp;viewModel=detail&amp;moduleId=folders" TargetMode="External"/><Relationship Id="rId25" Type="http://schemas.openxmlformats.org/officeDocument/2006/relationships/hyperlink" Target="https://acc.autodesk.com/docs/files/projects/1e597176-a716-43f8-be36-fdbb47ecdee5?folderUrn=urn:adsk.wipprod:fs.folder:co.x-LIQUseT7GKIeVcLN2hJw" TargetMode="External"/><Relationship Id="rId28" Type="http://schemas.openxmlformats.org/officeDocument/2006/relationships/hyperlink" Target="https://acc.autodesk.com/docs/files/projects/1e597176-a716-43f8-be36-fdbb47ecdee5?folderUrn=urn:adsk.wipprod:fs.folder:co.x-LIQUseT7GKIeVcLN2hJw&amp;entityId=urn:adsk.wipprod:dm.lineage:HSPnZkDsRDeDpQP83r1-gA&amp;viewModel=detail&amp;moduleId=folders" TargetMode="External"/><Relationship Id="rId27" Type="http://schemas.openxmlformats.org/officeDocument/2006/relationships/hyperlink" Target="https://acc.autodesk.com/docs/files/projects/1e597176-a716-43f8-be36-fdbb47ecdee5?folderUrn=urn:adsk.wipprod:fs.folder:co.x-LIQUseT7GKIeVcLN2hJw" TargetMode="External"/><Relationship Id="rId29" Type="http://schemas.openxmlformats.org/officeDocument/2006/relationships/hyperlink" Target="https://acc.autodesk.com/docs/files/projects/1e597176-a716-43f8-be36-fdbb47ecdee5?folderUrn=urn:adsk.wipprod:fs.folder:co.x-LIQUseT7GKIeVcLN2hJw" TargetMode="External"/><Relationship Id="rId11" Type="http://schemas.openxmlformats.org/officeDocument/2006/relationships/hyperlink" Target="https://acc.autodesk.com/docs/files/projects/1e597176-a716-43f8-be36-fdbb47ecdee5?folderUrn=urn:adsk.wipprod:fs.folder:co.x-LIQUseT7GKIeVcLN2hJw" TargetMode="External"/><Relationship Id="rId10" Type="http://schemas.openxmlformats.org/officeDocument/2006/relationships/hyperlink" Target="https://acc.autodesk.com/docs/files/projects/1e597176-a716-43f8-be36-fdbb47ecdee5?folderUrn=urn:adsk.wipprod:fs.folder:co.x-LIQUseT7GKIeVcLN2hJw&amp;entityId=urn:adsk.wipprod:dm.lineage:Mz8ZtHQNQKuvfz3Nztr6Iw&amp;viewModel=detail&amp;moduleId=folders" TargetMode="External"/><Relationship Id="rId13" Type="http://schemas.openxmlformats.org/officeDocument/2006/relationships/hyperlink" Target="https://acc.autodesk.com/docs/files/projects/1e597176-a716-43f8-be36-fdbb47ecdee5?folderUrn=urn:adsk.wipprod:fs.folder:co.x-LIQUseT7GKIeVcLN2hJw" TargetMode="External"/><Relationship Id="rId12" Type="http://schemas.openxmlformats.org/officeDocument/2006/relationships/hyperlink" Target="https://acc.autodesk.com/docs/files/projects/1e597176-a716-43f8-be36-fdbb47ecdee5?folderUrn=urn:adsk.wipprod:fs.folder:co.x-LIQUseT7GKIeVcLN2hJw&amp;entityId=urn:adsk.wipprod:dm.lineage:oFTjdiAqT16XhSU0YRjgUA&amp;viewModel=detail&amp;moduleId=folders" TargetMode="External"/><Relationship Id="rId15" Type="http://schemas.openxmlformats.org/officeDocument/2006/relationships/hyperlink" Target="https://acc.autodesk.com/docs/files/projects/1e597176-a716-43f8-be36-fdbb47ecdee5?folderUrn=urn:adsk.wipprod:fs.folder:co.x-LIQUseT7GKIeVcLN2hJw" TargetMode="External"/><Relationship Id="rId198" Type="http://schemas.openxmlformats.org/officeDocument/2006/relationships/hyperlink" Target="https://acc.autodesk.com/docs/files/projects/1e597176-a716-43f8-be36-fdbb47ecdee5?folderUrn=urn:adsk.wipprod:fs.folder:co.UqJ5SedOSpaQm3mvbRIw_Q&amp;entityId=urn:adsk.wipprod:dm.lineage:RTpKFtCKS_S1HCO3aUz7zw&amp;viewModel=detail&amp;moduleId=folders" TargetMode="External"/><Relationship Id="rId14" Type="http://schemas.openxmlformats.org/officeDocument/2006/relationships/hyperlink" Target="https://acc.autodesk.com/docs/files/projects/1e597176-a716-43f8-be36-fdbb47ecdee5?folderUrn=urn:adsk.wipprod:fs.folder:co.x-LIQUseT7GKIeVcLN2hJw&amp;entityId=urn:adsk.wipprod:dm.lineage:3GP61XhUS4as-WZixBoOhw&amp;viewModel=detail&amp;moduleId=folders" TargetMode="External"/><Relationship Id="rId197" Type="http://schemas.openxmlformats.org/officeDocument/2006/relationships/hyperlink" Target="https://acc.autodesk.com/docs/files/projects/1e597176-a716-43f8-be36-fdbb47ecdee5?folderUrn=urn:adsk.wipprod:fs.folder:co.UqJ5SedOSpaQm3mvbRIw_Q" TargetMode="External"/><Relationship Id="rId17" Type="http://schemas.openxmlformats.org/officeDocument/2006/relationships/hyperlink" Target="https://acc.autodesk.com/docs/files/projects/1e597176-a716-43f8-be36-fdbb47ecdee5?folderUrn=urn:adsk.wipprod:fs.folder:co.x-LIQUseT7GKIeVcLN2hJw" TargetMode="External"/><Relationship Id="rId196" Type="http://schemas.openxmlformats.org/officeDocument/2006/relationships/hyperlink" Target="https://acc.autodesk.com/docs/files/projects/1e597176-a716-43f8-be36-fdbb47ecdee5?folderUrn=urn:adsk.wipprod:fs.folder:co.UqJ5SedOSpaQm3mvbRIw_Q&amp;entityId=urn:adsk.wipprod:dm.lineage:nZ6wz4CgQnSygRo-pebi_Q&amp;viewModel=detail&amp;moduleId=folders" TargetMode="External"/><Relationship Id="rId16" Type="http://schemas.openxmlformats.org/officeDocument/2006/relationships/hyperlink" Target="https://acc.autodesk.com/docs/files/projects/1e597176-a716-43f8-be36-fdbb47ecdee5?folderUrn=urn:adsk.wipprod:fs.folder:co.x-LIQUseT7GKIeVcLN2hJw&amp;entityId=urn:adsk.wipprod:dm.lineage:bTTdRgv4T4OHoOutEMXsxw&amp;viewModel=detail&amp;moduleId=folders" TargetMode="External"/><Relationship Id="rId195" Type="http://schemas.openxmlformats.org/officeDocument/2006/relationships/hyperlink" Target="https://acc.autodesk.com/docs/files/projects/1e597176-a716-43f8-be36-fdbb47ecdee5?folderUrn=urn:adsk.wipprod:fs.folder:co.UqJ5SedOSpaQm3mvbRIw_Q" TargetMode="External"/><Relationship Id="rId19" Type="http://schemas.openxmlformats.org/officeDocument/2006/relationships/hyperlink" Target="https://acc.autodesk.com/docs/files/projects/1e597176-a716-43f8-be36-fdbb47ecdee5?folderUrn=urn:adsk.wipprod:fs.folder:co.x-LIQUseT7GKIeVcLN2hJw" TargetMode="External"/><Relationship Id="rId18" Type="http://schemas.openxmlformats.org/officeDocument/2006/relationships/hyperlink" Target="https://acc.autodesk.com/docs/files/projects/1e597176-a716-43f8-be36-fdbb47ecdee5?folderUrn=urn:adsk.wipprod:fs.folder:co.x-LIQUseT7GKIeVcLN2hJw&amp;entityId=urn:adsk.wipprod:dm.lineage:pf8sz-vcRMmI8MBRqPajzg&amp;viewModel=detail&amp;moduleId=folders" TargetMode="External"/><Relationship Id="rId199" Type="http://schemas.openxmlformats.org/officeDocument/2006/relationships/hyperlink" Target="https://acc.autodesk.com/docs/files/projects/1e597176-a716-43f8-be36-fdbb47ecdee5?folderUrn=urn:adsk.wipprod:fs.folder:co.UqJ5SedOSpaQm3mvbRIw_Q" TargetMode="External"/><Relationship Id="rId84" Type="http://schemas.openxmlformats.org/officeDocument/2006/relationships/hyperlink" Target="https://acc.autodesk.com/docs/files/projects/1e597176-a716-43f8-be36-fdbb47ecdee5?folderUrn=urn:adsk.wipprod:fs.folder:co.oWsagAilStq0wo4hThaDsw&amp;entityId=urn:adsk.wipprod:dm.lineage:UMK5wVIlQHGKfwUmZ5PXwQ&amp;viewModel=detail&amp;moduleId=folders" TargetMode="External"/><Relationship Id="rId83" Type="http://schemas.openxmlformats.org/officeDocument/2006/relationships/hyperlink" Target="https://acc.autodesk.com/docs/files/projects/1e597176-a716-43f8-be36-fdbb47ecdee5?folderUrn=urn:adsk.wipprod:fs.folder:co.oWsagAilStq0wo4hThaDsw" TargetMode="External"/><Relationship Id="rId86" Type="http://schemas.openxmlformats.org/officeDocument/2006/relationships/hyperlink" Target="https://acc.autodesk.com/docs/files/projects/1e597176-a716-43f8-be36-fdbb47ecdee5?folderUrn=urn:adsk.wipprod:fs.folder:co.0X3VkD07TZKRc7zUk_8boQ&amp;entityId=urn:adsk.wipprod:dm.lineage:iaNqHzakTPm7D-4sRqBqyg&amp;viewModel=detail&amp;moduleId=folders" TargetMode="External"/><Relationship Id="rId85" Type="http://schemas.openxmlformats.org/officeDocument/2006/relationships/hyperlink" Target="https://acc.autodesk.com/docs/files/projects/1e597176-a716-43f8-be36-fdbb47ecdee5?folderUrn=urn:adsk.wipprod:fs.folder:co.0X3VkD07TZKRc7zUk_8boQ" TargetMode="External"/><Relationship Id="rId88" Type="http://schemas.openxmlformats.org/officeDocument/2006/relationships/hyperlink" Target="https://acc.autodesk.com/docs/files/projects/1e597176-a716-43f8-be36-fdbb47ecdee5?folderUrn=urn:adsk.wipprod:fs.folder:co.0X3VkD07TZKRc7zUk_8boQ&amp;entityId=urn:adsk.wipprod:dm.lineage:nT2sd-T3S2-fLUypI6FCSQ&amp;viewModel=detail&amp;moduleId=folders" TargetMode="External"/><Relationship Id="rId150" Type="http://schemas.openxmlformats.org/officeDocument/2006/relationships/hyperlink" Target="https://acc.autodesk.com/docs/files/projects/1e597176-a716-43f8-be36-fdbb47ecdee5?folderUrn=urn:adsk.wipprod:fs.folder:co.LtnBId7JTK-uXdmmDlFFgA&amp;entityId=urn:adsk.wipprod:dm.lineage:qAynN9NkQ5i4q9rD2AeJRw&amp;viewModel=detail&amp;moduleId=folders" TargetMode="External"/><Relationship Id="rId271" Type="http://schemas.openxmlformats.org/officeDocument/2006/relationships/hyperlink" Target="https://acc.autodesk.com/docs/files/projects/1e597176-a716-43f8-be36-fdbb47ecdee5?folderUrn=urn:adsk.wipprod:fs.folder:co.QLkOGekBQd-Z3DKL7vJ7rA" TargetMode="External"/><Relationship Id="rId87" Type="http://schemas.openxmlformats.org/officeDocument/2006/relationships/hyperlink" Target="https://acc.autodesk.com/docs/files/projects/1e597176-a716-43f8-be36-fdbb47ecdee5?folderUrn=urn:adsk.wipprod:fs.folder:co.0X3VkD07TZKRc7zUk_8boQ" TargetMode="External"/><Relationship Id="rId270" Type="http://schemas.openxmlformats.org/officeDocument/2006/relationships/hyperlink" Target="https://acc.autodesk.com/docs/files/projects/1e597176-a716-43f8-be36-fdbb47ecdee5?folderUrn=urn:adsk.wipprod:fs.folder:co.QLkOGekBQd-Z3DKL7vJ7rA&amp;entityId=urn:adsk.wipprod:dm.lineage:yX8yZMRYQqSCSxu2IkvFDA&amp;viewModel=detail&amp;moduleId=folders" TargetMode="External"/><Relationship Id="rId89" Type="http://schemas.openxmlformats.org/officeDocument/2006/relationships/hyperlink" Target="https://acc.autodesk.com/docs/files/projects/1e597176-a716-43f8-be36-fdbb47ecdee5?folderUrn=urn:adsk.wipprod:fs.folder:co.0X3VkD07TZKRc7zUk_8boQ" TargetMode="External"/><Relationship Id="rId80" Type="http://schemas.openxmlformats.org/officeDocument/2006/relationships/hyperlink" Target="https://acc.autodesk.com/docs/files/projects/1e597176-a716-43f8-be36-fdbb47ecdee5?folderUrn=urn:adsk.wipprod:fs.folder:co.oWsagAilStq0wo4hThaDsw&amp;entityId=urn:adsk.wipprod:dm.lineage:bzLd2_x-QlKAkTU33Wcd8Q&amp;viewModel=detail&amp;moduleId=folders" TargetMode="External"/><Relationship Id="rId82" Type="http://schemas.openxmlformats.org/officeDocument/2006/relationships/hyperlink" Target="https://acc.autodesk.com/docs/files/projects/1e597176-a716-43f8-be36-fdbb47ecdee5?folderUrn=urn:adsk.wipprod:fs.folder:co.oWsagAilStq0wo4hThaDsw&amp;entityId=urn:adsk.wipprod:dm.lineage:9z8Gs1k3S0incbnGJh1ccw&amp;viewModel=detail&amp;moduleId=folders" TargetMode="External"/><Relationship Id="rId81" Type="http://schemas.openxmlformats.org/officeDocument/2006/relationships/hyperlink" Target="https://acc.autodesk.com/docs/files/projects/1e597176-a716-43f8-be36-fdbb47ecdee5?folderUrn=urn:adsk.wipprod:fs.folder:co.oWsagAilStq0wo4hThaDsw" TargetMode="External"/><Relationship Id="rId1" Type="http://schemas.openxmlformats.org/officeDocument/2006/relationships/hyperlink" Target="https://acc.autodesk.com/docs/files/projects/1e597176-a716-43f8-be36-fdbb47ecdee5?folderUrn=urn:adsk.wipprod:fs.folder:co.x-LIQUseT7GKIeVcLN2hJw" TargetMode="External"/><Relationship Id="rId2" Type="http://schemas.openxmlformats.org/officeDocument/2006/relationships/hyperlink" Target="https://acc.autodesk.com/docs/files/projects/1e597176-a716-43f8-be36-fdbb47ecdee5?folderUrn=urn:adsk.wipprod:fs.folder:co.x-LIQUseT7GKIeVcLN2hJw&amp;entityId=urn:adsk.wipprod:dm.lineage:dEKrkxYgQtKLK51l7JV6Vw&amp;viewModel=detail&amp;moduleId=folders" TargetMode="External"/><Relationship Id="rId3" Type="http://schemas.openxmlformats.org/officeDocument/2006/relationships/hyperlink" Target="https://acc.autodesk.com/docs/files/projects/1e597176-a716-43f8-be36-fdbb47ecdee5?folderUrn=urn:adsk.wipprod:fs.folder:co.x-LIQUseT7GKIeVcLN2hJw" TargetMode="External"/><Relationship Id="rId149" Type="http://schemas.openxmlformats.org/officeDocument/2006/relationships/hyperlink" Target="https://acc.autodesk.com/docs/files/projects/1e597176-a716-43f8-be36-fdbb47ecdee5?folderUrn=urn:adsk.wipprod:fs.folder:co.LtnBId7JTK-uXdmmDlFFgA" TargetMode="External"/><Relationship Id="rId4" Type="http://schemas.openxmlformats.org/officeDocument/2006/relationships/hyperlink" Target="https://acc.autodesk.com/docs/files/projects/1e597176-a716-43f8-be36-fdbb47ecdee5?folderUrn=urn:adsk.wipprod:fs.folder:co.x-LIQUseT7GKIeVcLN2hJw&amp;entityId=urn:adsk.wipprod:dm.lineage:U89GSpqlTi2oObYYmVnJgA&amp;viewModel=detail&amp;moduleId=folders" TargetMode="External"/><Relationship Id="rId148" Type="http://schemas.openxmlformats.org/officeDocument/2006/relationships/hyperlink" Target="https://acc.autodesk.com/docs/files/projects/1e597176-a716-43f8-be36-fdbb47ecdee5?folderUrn=urn:adsk.wipprod:fs.folder:co.LtnBId7JTK-uXdmmDlFFgA&amp;entityId=urn:adsk.wipprod:dm.lineage:SpyrSBWgSgi5eDnYCnbouQ&amp;viewModel=detail&amp;moduleId=folders" TargetMode="External"/><Relationship Id="rId269" Type="http://schemas.openxmlformats.org/officeDocument/2006/relationships/hyperlink" Target="https://acc.autodesk.com/docs/files/projects/1e597176-a716-43f8-be36-fdbb47ecdee5?folderUrn=urn:adsk.wipprod:fs.folder:co.QLkOGekBQd-Z3DKL7vJ7rA" TargetMode="External"/><Relationship Id="rId9" Type="http://schemas.openxmlformats.org/officeDocument/2006/relationships/hyperlink" Target="https://acc.autodesk.com/docs/files/projects/1e597176-a716-43f8-be36-fdbb47ecdee5?folderUrn=urn:adsk.wipprod:fs.folder:co.x-LIQUseT7GKIeVcLN2hJw" TargetMode="External"/><Relationship Id="rId143" Type="http://schemas.openxmlformats.org/officeDocument/2006/relationships/hyperlink" Target="https://acc.autodesk.com/docs/files/projects/1e597176-a716-43f8-be36-fdbb47ecdee5?folderUrn=urn:adsk.wipprod:fs.folder:co.LtnBId7JTK-uXdmmDlFFgA" TargetMode="External"/><Relationship Id="rId264" Type="http://schemas.openxmlformats.org/officeDocument/2006/relationships/hyperlink" Target="https://acc.autodesk.com/docs/files/projects/1e597176-a716-43f8-be36-fdbb47ecdee5?folderUrn=urn:adsk.wipprod:fs.folder:co.buNCOFH5SiOErzY0MBySjg&amp;entityId=urn:adsk.wipprod:dm.lineage:XIwyGTShTzSCcKEuWaOVyw&amp;viewModel=detail&amp;moduleId=folders" TargetMode="External"/><Relationship Id="rId142" Type="http://schemas.openxmlformats.org/officeDocument/2006/relationships/hyperlink" Target="https://acc.autodesk.com/docs/files/projects/1e597176-a716-43f8-be36-fdbb47ecdee5?folderUrn=urn:adsk.wipprod:fs.folder:co.LtnBId7JTK-uXdmmDlFFgA&amp;entityId=urn:adsk.wipprod:dm.lineage:6hMvYcHBSfeDtPlwG7VJJQ&amp;viewModel=detail&amp;moduleId=folders" TargetMode="External"/><Relationship Id="rId263" Type="http://schemas.openxmlformats.org/officeDocument/2006/relationships/hyperlink" Target="https://acc.autodesk.com/docs/files/projects/1e597176-a716-43f8-be36-fdbb47ecdee5?folderUrn=urn:adsk.wipprod:fs.folder:co.buNCOFH5SiOErzY0MBySjg" TargetMode="External"/><Relationship Id="rId141" Type="http://schemas.openxmlformats.org/officeDocument/2006/relationships/hyperlink" Target="https://acc.autodesk.com/docs/files/projects/1e597176-a716-43f8-be36-fdbb47ecdee5?folderUrn=urn:adsk.wipprod:fs.folder:co.LtnBId7JTK-uXdmmDlFFgA" TargetMode="External"/><Relationship Id="rId262" Type="http://schemas.openxmlformats.org/officeDocument/2006/relationships/hyperlink" Target="https://acc.autodesk.com/docs/files/projects/1e597176-a716-43f8-be36-fdbb47ecdee5?folderUrn=urn:adsk.wipprod:fs.folder:co.buNCOFH5SiOErzY0MBySjg&amp;entityId=urn:adsk.wipprod:dm.lineage:KrIxkdQcS4mm2SlQPCRVcw&amp;viewModel=detail&amp;moduleId=folders" TargetMode="External"/><Relationship Id="rId140" Type="http://schemas.openxmlformats.org/officeDocument/2006/relationships/hyperlink" Target="https://acc.autodesk.com/docs/files/projects/1e597176-a716-43f8-be36-fdbb47ecdee5?folderUrn=urn:adsk.wipprod:fs.folder:co.LtnBId7JTK-uXdmmDlFFgA&amp;entityId=urn:adsk.wipprod:dm.lineage:r6l5NOfBTtiaZMhRQQ2Jdg&amp;viewModel=detail&amp;moduleId=folders" TargetMode="External"/><Relationship Id="rId261" Type="http://schemas.openxmlformats.org/officeDocument/2006/relationships/hyperlink" Target="https://acc.autodesk.com/docs/files/projects/1e597176-a716-43f8-be36-fdbb47ecdee5?folderUrn=urn:adsk.wipprod:fs.folder:co.buNCOFH5SiOErzY0MBySjg" TargetMode="External"/><Relationship Id="rId5" Type="http://schemas.openxmlformats.org/officeDocument/2006/relationships/hyperlink" Target="https://acc.autodesk.com/docs/files/projects/1e597176-a716-43f8-be36-fdbb47ecdee5?folderUrn=urn:adsk.wipprod:fs.folder:co.x-LIQUseT7GKIeVcLN2hJw" TargetMode="External"/><Relationship Id="rId147" Type="http://schemas.openxmlformats.org/officeDocument/2006/relationships/hyperlink" Target="https://acc.autodesk.com/docs/files/projects/1e597176-a716-43f8-be36-fdbb47ecdee5?folderUrn=urn:adsk.wipprod:fs.folder:co.LtnBId7JTK-uXdmmDlFFgA" TargetMode="External"/><Relationship Id="rId268" Type="http://schemas.openxmlformats.org/officeDocument/2006/relationships/hyperlink" Target="https://acc.autodesk.com/docs/files/projects/1e597176-a716-43f8-be36-fdbb47ecdee5?folderUrn=urn:adsk.wipprod:fs.folder:co.QLkOGekBQd-Z3DKL7vJ7rA&amp;entityId=urn:adsk.wipprod:dm.lineage:YxIT6sVbQku57Di0y1vj6w&amp;viewModel=detail&amp;moduleId=folders" TargetMode="External"/><Relationship Id="rId6" Type="http://schemas.openxmlformats.org/officeDocument/2006/relationships/hyperlink" Target="https://acc.autodesk.com/docs/files/projects/1e597176-a716-43f8-be36-fdbb47ecdee5?folderUrn=urn:adsk.wipprod:fs.folder:co.x-LIQUseT7GKIeVcLN2hJw&amp;entityId=urn:adsk.wipprod:dm.lineage:D19iU1rySQ-8My6g0r4GUQ&amp;viewModel=detail&amp;moduleId=folders" TargetMode="External"/><Relationship Id="rId146" Type="http://schemas.openxmlformats.org/officeDocument/2006/relationships/hyperlink" Target="https://acc.autodesk.com/docs/files/projects/1e597176-a716-43f8-be36-fdbb47ecdee5?folderUrn=urn:adsk.wipprod:fs.folder:co.LtnBId7JTK-uXdmmDlFFgA&amp;entityId=urn:adsk.wipprod:dm.lineage:JkeZ29PKRoaQyFJ_y2tcyQ&amp;viewModel=detail&amp;moduleId=folders" TargetMode="External"/><Relationship Id="rId267" Type="http://schemas.openxmlformats.org/officeDocument/2006/relationships/hyperlink" Target="https://acc.autodesk.com/docs/files/projects/1e597176-a716-43f8-be36-fdbb47ecdee5?folderUrn=urn:adsk.wipprod:fs.folder:co.QLkOGekBQd-Z3DKL7vJ7rA" TargetMode="External"/><Relationship Id="rId7" Type="http://schemas.openxmlformats.org/officeDocument/2006/relationships/hyperlink" Target="https://acc.autodesk.com/docs/files/projects/1e597176-a716-43f8-be36-fdbb47ecdee5?folderUrn=urn:adsk.wipprod:fs.folder:co.x-LIQUseT7GKIeVcLN2hJw" TargetMode="External"/><Relationship Id="rId145" Type="http://schemas.openxmlformats.org/officeDocument/2006/relationships/hyperlink" Target="https://acc.autodesk.com/docs/files/projects/1e597176-a716-43f8-be36-fdbb47ecdee5?folderUrn=urn:adsk.wipprod:fs.folder:co.LtnBId7JTK-uXdmmDlFFgA" TargetMode="External"/><Relationship Id="rId266" Type="http://schemas.openxmlformats.org/officeDocument/2006/relationships/hyperlink" Target="https://acc.autodesk.com/docs/files/projects/1e597176-a716-43f8-be36-fdbb47ecdee5?folderUrn=urn:adsk.wipprod:fs.folder:co.buNCOFH5SiOErzY0MBySjg&amp;entityId=urn:adsk.wipprod:dm.lineage:CugNBAlHQXG50sdeqQXBcQ&amp;viewModel=detail&amp;moduleId=folders" TargetMode="External"/><Relationship Id="rId8" Type="http://schemas.openxmlformats.org/officeDocument/2006/relationships/hyperlink" Target="https://acc.autodesk.com/docs/files/projects/1e597176-a716-43f8-be36-fdbb47ecdee5?folderUrn=urn:adsk.wipprod:fs.folder:co.x-LIQUseT7GKIeVcLN2hJw&amp;entityId=urn:adsk.wipprod:dm.lineage:6MHn-qyLQbOCP9j1vAvLAg&amp;viewModel=detail&amp;moduleId=folders" TargetMode="External"/><Relationship Id="rId144" Type="http://schemas.openxmlformats.org/officeDocument/2006/relationships/hyperlink" Target="https://acc.autodesk.com/docs/files/projects/1e597176-a716-43f8-be36-fdbb47ecdee5?folderUrn=urn:adsk.wipprod:fs.folder:co.LtnBId7JTK-uXdmmDlFFgA&amp;entityId=urn:adsk.wipprod:dm.lineage:QoWUzB7DTLSWW9KOtwHRKA&amp;viewModel=detail&amp;moduleId=folders" TargetMode="External"/><Relationship Id="rId265" Type="http://schemas.openxmlformats.org/officeDocument/2006/relationships/hyperlink" Target="https://acc.autodesk.com/docs/files/projects/1e597176-a716-43f8-be36-fdbb47ecdee5?folderUrn=urn:adsk.wipprod:fs.folder:co.buNCOFH5SiOErzY0MBySjg" TargetMode="External"/><Relationship Id="rId73" Type="http://schemas.openxmlformats.org/officeDocument/2006/relationships/hyperlink" Target="https://acc.autodesk.com/docs/files/projects/1e597176-a716-43f8-be36-fdbb47ecdee5?folderUrn=urn:adsk.wipprod:fs.folder:co.mbcFb3jpSt2paO6NfxsIwg" TargetMode="External"/><Relationship Id="rId72" Type="http://schemas.openxmlformats.org/officeDocument/2006/relationships/hyperlink" Target="https://acc.autodesk.com/docs/files/projects/1e597176-a716-43f8-be36-fdbb47ecdee5?folderUrn=urn:adsk.wipprod:fs.folder:co.mbcFb3jpSt2paO6NfxsIwg&amp;entityId=urn:adsk.wipprod:dm.lineage:7_LoN08YSGenp6huLt-p6Q&amp;viewModel=detail&amp;moduleId=folders" TargetMode="External"/><Relationship Id="rId75" Type="http://schemas.openxmlformats.org/officeDocument/2006/relationships/hyperlink" Target="https://acc.autodesk.com/docs/files/projects/1e597176-a716-43f8-be36-fdbb47ecdee5?folderUrn=urn:adsk.wipprod:fs.folder:co.mbcFb3jpSt2paO6NfxsIwg" TargetMode="External"/><Relationship Id="rId74" Type="http://schemas.openxmlformats.org/officeDocument/2006/relationships/hyperlink" Target="https://acc.autodesk.com/docs/files/projects/1e597176-a716-43f8-be36-fdbb47ecdee5?folderUrn=urn:adsk.wipprod:fs.folder:co.mbcFb3jpSt2paO6NfxsIwg&amp;entityId=urn:adsk.wipprod:dm.lineage:z8RNRZlLQl2cV0vYhIlUUg&amp;viewModel=detail&amp;moduleId=folders" TargetMode="External"/><Relationship Id="rId77" Type="http://schemas.openxmlformats.org/officeDocument/2006/relationships/hyperlink" Target="https://acc.autodesk.com/docs/files/projects/1e597176-a716-43f8-be36-fdbb47ecdee5?folderUrn=urn:adsk.wipprod:fs.folder:co.oWsagAilStq0wo4hThaDsw" TargetMode="External"/><Relationship Id="rId260" Type="http://schemas.openxmlformats.org/officeDocument/2006/relationships/hyperlink" Target="https://acc.autodesk.com/docs/files/projects/1e597176-a716-43f8-be36-fdbb47ecdee5?folderUrn=urn:adsk.wipprod:fs.folder:co.buNCOFH5SiOErzY0MBySjg&amp;entityId=urn:adsk.wipprod:dm.lineage:vuSMdqxBQOS7zDSDZXfnmA&amp;viewModel=detail&amp;moduleId=folders" TargetMode="External"/><Relationship Id="rId76" Type="http://schemas.openxmlformats.org/officeDocument/2006/relationships/hyperlink" Target="https://acc.autodesk.com/docs/files/projects/1e597176-a716-43f8-be36-fdbb47ecdee5?folderUrn=urn:adsk.wipprod:fs.folder:co.mbcFb3jpSt2paO6NfxsIwg&amp;entityId=urn:adsk.wipprod:dm.lineage:J94wfGeFSjiggVdlBi1AtQ&amp;viewModel=detail&amp;moduleId=folders" TargetMode="External"/><Relationship Id="rId79" Type="http://schemas.openxmlformats.org/officeDocument/2006/relationships/hyperlink" Target="https://acc.autodesk.com/docs/files/projects/1e597176-a716-43f8-be36-fdbb47ecdee5?folderUrn=urn:adsk.wipprod:fs.folder:co.oWsagAilStq0wo4hThaDsw" TargetMode="External"/><Relationship Id="rId78" Type="http://schemas.openxmlformats.org/officeDocument/2006/relationships/hyperlink" Target="https://acc.autodesk.com/docs/files/projects/1e597176-a716-43f8-be36-fdbb47ecdee5?folderUrn=urn:adsk.wipprod:fs.folder:co.oWsagAilStq0wo4hThaDsw&amp;entityId=urn:adsk.wipprod:dm.lineage:U66oo3fhQBeaH-q0oazuww&amp;viewModel=detail&amp;moduleId=folders" TargetMode="External"/><Relationship Id="rId71" Type="http://schemas.openxmlformats.org/officeDocument/2006/relationships/hyperlink" Target="https://acc.autodesk.com/docs/files/projects/1e597176-a716-43f8-be36-fdbb47ecdee5?folderUrn=urn:adsk.wipprod:fs.folder:co.mbcFb3jpSt2paO6NfxsIwg" TargetMode="External"/><Relationship Id="rId70" Type="http://schemas.openxmlformats.org/officeDocument/2006/relationships/hyperlink" Target="https://acc.autodesk.com/docs/files/projects/1e597176-a716-43f8-be36-fdbb47ecdee5?folderUrn=urn:adsk.wipprod:fs.folder:co.mbcFb3jpSt2paO6NfxsIwg&amp;entityId=urn:adsk.wipprod:dm.lineage:5_Ls1sLNT5u9wFO6ImhGIg&amp;viewModel=detail&amp;moduleId=folders" TargetMode="External"/><Relationship Id="rId139" Type="http://schemas.openxmlformats.org/officeDocument/2006/relationships/hyperlink" Target="https://acc.autodesk.com/docs/files/projects/1e597176-a716-43f8-be36-fdbb47ecdee5?folderUrn=urn:adsk.wipprod:fs.folder:co.LtnBId7JTK-uXdmmDlFFgA" TargetMode="External"/><Relationship Id="rId138" Type="http://schemas.openxmlformats.org/officeDocument/2006/relationships/hyperlink" Target="https://acc.autodesk.com/docs/files/projects/1e597176-a716-43f8-be36-fdbb47ecdee5?folderUrn=urn:adsk.wipprod:fs.folder:co.LtnBId7JTK-uXdmmDlFFgA&amp;entityId=urn:adsk.wipprod:dm.lineage:9afx8OW4SRKpeKhAiICnqQ&amp;viewModel=detail&amp;moduleId=folders" TargetMode="External"/><Relationship Id="rId259" Type="http://schemas.openxmlformats.org/officeDocument/2006/relationships/hyperlink" Target="https://acc.autodesk.com/docs/files/projects/1e597176-a716-43f8-be36-fdbb47ecdee5?folderUrn=urn:adsk.wipprod:fs.folder:co.buNCOFH5SiOErzY0MBySjg" TargetMode="External"/><Relationship Id="rId137" Type="http://schemas.openxmlformats.org/officeDocument/2006/relationships/hyperlink" Target="https://acc.autodesk.com/docs/files/projects/1e597176-a716-43f8-be36-fdbb47ecdee5?folderUrn=urn:adsk.wipprod:fs.folder:co.LtnBId7JTK-uXdmmDlFFgA" TargetMode="External"/><Relationship Id="rId258" Type="http://schemas.openxmlformats.org/officeDocument/2006/relationships/hyperlink" Target="https://acc.autodesk.com/docs/files/projects/1e597176-a716-43f8-be36-fdbb47ecdee5?folderUrn=urn:adsk.wipprod:fs.folder:co.buNCOFH5SiOErzY0MBySjg&amp;entityId=urn:adsk.wipprod:dm.lineage:gf-goe6vRvyjgcg6jv5FOw&amp;viewModel=detail&amp;moduleId=folders" TargetMode="External"/><Relationship Id="rId132" Type="http://schemas.openxmlformats.org/officeDocument/2006/relationships/hyperlink" Target="https://acc.autodesk.com/docs/files/projects/1e597176-a716-43f8-be36-fdbb47ecdee5?folderUrn=urn:adsk.wipprod:fs.folder:co.LtnBId7JTK-uXdmmDlFFgA&amp;entityId=urn:adsk.wipprod:dm.lineage:_KPytN09T8OQyGQQFz-UvA&amp;viewModel=detail&amp;moduleId=folders" TargetMode="External"/><Relationship Id="rId253" Type="http://schemas.openxmlformats.org/officeDocument/2006/relationships/hyperlink" Target="https://acc.autodesk.com/docs/files/projects/1e597176-a716-43f8-be36-fdbb47ecdee5?folderUrn=urn:adsk.wipprod:fs.folder:co.buNCOFH5SiOErzY0MBySjg" TargetMode="External"/><Relationship Id="rId131" Type="http://schemas.openxmlformats.org/officeDocument/2006/relationships/hyperlink" Target="https://acc.autodesk.com/docs/files/projects/1e597176-a716-43f8-be36-fdbb47ecdee5?folderUrn=urn:adsk.wipprod:fs.folder:co.LtnBId7JTK-uXdmmDlFFgA" TargetMode="External"/><Relationship Id="rId252" Type="http://schemas.openxmlformats.org/officeDocument/2006/relationships/hyperlink" Target="https://acc.autodesk.com/docs/files/projects/1e597176-a716-43f8-be36-fdbb47ecdee5?folderUrn=urn:adsk.wipprod:fs.folder:co.buNCOFH5SiOErzY0MBySjg&amp;entityId=urn:adsk.wipprod:dm.lineage:BwmEKuVDSjquD4-Dg7kRvA&amp;viewModel=detail&amp;moduleId=folders" TargetMode="External"/><Relationship Id="rId130" Type="http://schemas.openxmlformats.org/officeDocument/2006/relationships/hyperlink" Target="https://acc.autodesk.com/docs/files/projects/1e597176-a716-43f8-be36-fdbb47ecdee5?folderUrn=urn:adsk.wipprod:fs.folder:co.LtnBId7JTK-uXdmmDlFFgA&amp;entityId=urn:adsk.wipprod:dm.lineage:wXIwpKLWSNOUyq-jjldNkQ&amp;viewModel=detail&amp;moduleId=folders" TargetMode="External"/><Relationship Id="rId251" Type="http://schemas.openxmlformats.org/officeDocument/2006/relationships/hyperlink" Target="https://acc.autodesk.com/docs/files/projects/1e597176-a716-43f8-be36-fdbb47ecdee5?folderUrn=urn:adsk.wipprod:fs.folder:co.buNCOFH5SiOErzY0MBySjg" TargetMode="External"/><Relationship Id="rId250" Type="http://schemas.openxmlformats.org/officeDocument/2006/relationships/hyperlink" Target="https://acc.autodesk.com/docs/files/projects/1e597176-a716-43f8-be36-fdbb47ecdee5?folderUrn=urn:adsk.wipprod:fs.folder:co.buNCOFH5SiOErzY0MBySjg&amp;entityId=urn:adsk.wipprod:dm.lineage:0YjuJhinRBme3c77uKsGQg&amp;viewModel=detail&amp;moduleId=folders" TargetMode="External"/><Relationship Id="rId136" Type="http://schemas.openxmlformats.org/officeDocument/2006/relationships/hyperlink" Target="https://acc.autodesk.com/docs/files/projects/1e597176-a716-43f8-be36-fdbb47ecdee5?folderUrn=urn:adsk.wipprod:fs.folder:co.LtnBId7JTK-uXdmmDlFFgA&amp;entityId=urn:adsk.wipprod:dm.lineage:U8cBJ2O-T42xywq17eou2Q&amp;viewModel=detail&amp;moduleId=folders" TargetMode="External"/><Relationship Id="rId257" Type="http://schemas.openxmlformats.org/officeDocument/2006/relationships/hyperlink" Target="https://acc.autodesk.com/docs/files/projects/1e597176-a716-43f8-be36-fdbb47ecdee5?folderUrn=urn:adsk.wipprod:fs.folder:co.buNCOFH5SiOErzY0MBySjg" TargetMode="External"/><Relationship Id="rId135" Type="http://schemas.openxmlformats.org/officeDocument/2006/relationships/hyperlink" Target="https://acc.autodesk.com/docs/files/projects/1e597176-a716-43f8-be36-fdbb47ecdee5?folderUrn=urn:adsk.wipprod:fs.folder:co.LtnBId7JTK-uXdmmDlFFgA" TargetMode="External"/><Relationship Id="rId256" Type="http://schemas.openxmlformats.org/officeDocument/2006/relationships/hyperlink" Target="https://acc.autodesk.com/docs/files/projects/1e597176-a716-43f8-be36-fdbb47ecdee5?folderUrn=urn:adsk.wipprod:fs.folder:co.buNCOFH5SiOErzY0MBySjg&amp;entityId=urn:adsk.wipprod:dm.lineage:UqvpoGjITnKnSa-oNO8-JQ&amp;viewModel=detail&amp;moduleId=folders" TargetMode="External"/><Relationship Id="rId134" Type="http://schemas.openxmlformats.org/officeDocument/2006/relationships/hyperlink" Target="https://acc.autodesk.com/docs/files/projects/1e597176-a716-43f8-be36-fdbb47ecdee5?folderUrn=urn:adsk.wipprod:fs.folder:co.LtnBId7JTK-uXdmmDlFFgA&amp;entityId=urn:adsk.wipprod:dm.lineage:KLGRnD8UTZ2kWT73b7Rw5w&amp;viewModel=detail&amp;moduleId=folders" TargetMode="External"/><Relationship Id="rId255" Type="http://schemas.openxmlformats.org/officeDocument/2006/relationships/hyperlink" Target="https://acc.autodesk.com/docs/files/projects/1e597176-a716-43f8-be36-fdbb47ecdee5?folderUrn=urn:adsk.wipprod:fs.folder:co.buNCOFH5SiOErzY0MBySjg" TargetMode="External"/><Relationship Id="rId133" Type="http://schemas.openxmlformats.org/officeDocument/2006/relationships/hyperlink" Target="https://acc.autodesk.com/docs/files/projects/1e597176-a716-43f8-be36-fdbb47ecdee5?folderUrn=urn:adsk.wipprod:fs.folder:co.LtnBId7JTK-uXdmmDlFFgA" TargetMode="External"/><Relationship Id="rId254" Type="http://schemas.openxmlformats.org/officeDocument/2006/relationships/hyperlink" Target="https://acc.autodesk.com/docs/files/projects/1e597176-a716-43f8-be36-fdbb47ecdee5?folderUrn=urn:adsk.wipprod:fs.folder:co.buNCOFH5SiOErzY0MBySjg&amp;entityId=urn:adsk.wipprod:dm.lineage:ZZMC0ItXQmGutBjMhMrjuQ&amp;viewModel=detail&amp;moduleId=folders" TargetMode="External"/><Relationship Id="rId62" Type="http://schemas.openxmlformats.org/officeDocument/2006/relationships/hyperlink" Target="https://acc.autodesk.com/docs/files/projects/1e597176-a716-43f8-be36-fdbb47ecdee5?folderUrn=urn:adsk.wipprod:fs.folder:co.wiFGaDltR6KuAtlKIhTMqw&amp;entityId=urn:adsk.wipprod:dm.lineage:991UlEFKQgqsVhQ6RoNbkQ&amp;viewModel=detail&amp;moduleId=folders" TargetMode="External"/><Relationship Id="rId61" Type="http://schemas.openxmlformats.org/officeDocument/2006/relationships/hyperlink" Target="https://acc.autodesk.com/docs/files/projects/1e597176-a716-43f8-be36-fdbb47ecdee5?folderUrn=urn:adsk.wipprod:fs.folder:co.wiFGaDltR6KuAtlKIhTMqw" TargetMode="External"/><Relationship Id="rId64" Type="http://schemas.openxmlformats.org/officeDocument/2006/relationships/hyperlink" Target="https://acc.autodesk.com/docs/files/projects/1e597176-a716-43f8-be36-fdbb47ecdee5?folderUrn=urn:adsk.wipprod:fs.folder:co.wiFGaDltR6KuAtlKIhTMqw&amp;entityId=urn:adsk.wipprod:dm.lineage:CZSqILePREmAOxS89x6AYw&amp;viewModel=detail&amp;moduleId=folders" TargetMode="External"/><Relationship Id="rId63" Type="http://schemas.openxmlformats.org/officeDocument/2006/relationships/hyperlink" Target="https://acc.autodesk.com/docs/files/projects/1e597176-a716-43f8-be36-fdbb47ecdee5?folderUrn=urn:adsk.wipprod:fs.folder:co.wiFGaDltR6KuAtlKIhTMqw" TargetMode="External"/><Relationship Id="rId66" Type="http://schemas.openxmlformats.org/officeDocument/2006/relationships/hyperlink" Target="https://acc.autodesk.com/docs/files/projects/1e597176-a716-43f8-be36-fdbb47ecdee5?folderUrn=urn:adsk.wipprod:fs.folder:co.wiFGaDltR6KuAtlKIhTMqw&amp;entityId=urn:adsk.wipprod:dm.lineage:q_A7T2_ESXmn4fV2MINq9w&amp;viewModel=detail&amp;moduleId=folders" TargetMode="External"/><Relationship Id="rId172" Type="http://schemas.openxmlformats.org/officeDocument/2006/relationships/hyperlink" Target="https://acc.autodesk.com/docs/files/projects/1e597176-a716-43f8-be36-fdbb47ecdee5?folderUrn=urn:adsk.wipprod:fs.folder:co.UqJ5SedOSpaQm3mvbRIw_Q&amp;entityId=urn:adsk.wipprod:dm.lineage:6PEi1SYyRpablm-1xVVHZQ&amp;viewModel=detail&amp;moduleId=folders" TargetMode="External"/><Relationship Id="rId65" Type="http://schemas.openxmlformats.org/officeDocument/2006/relationships/hyperlink" Target="https://acc.autodesk.com/docs/files/projects/1e597176-a716-43f8-be36-fdbb47ecdee5?folderUrn=urn:adsk.wipprod:fs.folder:co.wiFGaDltR6KuAtlKIhTMqw" TargetMode="External"/><Relationship Id="rId171" Type="http://schemas.openxmlformats.org/officeDocument/2006/relationships/hyperlink" Target="https://acc.autodesk.com/docs/files/projects/1e597176-a716-43f8-be36-fdbb47ecdee5?folderUrn=urn:adsk.wipprod:fs.folder:co.UqJ5SedOSpaQm3mvbRIw_Q" TargetMode="External"/><Relationship Id="rId68" Type="http://schemas.openxmlformats.org/officeDocument/2006/relationships/hyperlink" Target="https://acc.autodesk.com/docs/files/projects/1e597176-a716-43f8-be36-fdbb47ecdee5?folderUrn=urn:adsk.wipprod:fs.folder:co.wiFGaDltR6KuAtlKIhTMqw&amp;entityId=urn:adsk.wipprod:dm.lineage:TGIKKK-5Sr6Ub8J9bsvMEw&amp;viewModel=detail&amp;moduleId=folders" TargetMode="External"/><Relationship Id="rId170" Type="http://schemas.openxmlformats.org/officeDocument/2006/relationships/hyperlink" Target="https://acc.autodesk.com/docs/files/projects/1e597176-a716-43f8-be36-fdbb47ecdee5?folderUrn=urn:adsk.wipprod:fs.folder:co.UqJ5SedOSpaQm3mvbRIw_Q&amp;entityId=urn:adsk.wipprod:dm.lineage:Rj8k2qCDTyeygXs1wEEJig&amp;viewModel=detail&amp;moduleId=folders" TargetMode="External"/><Relationship Id="rId291" Type="http://schemas.openxmlformats.org/officeDocument/2006/relationships/drawing" Target="../drawings/drawing9.xml"/><Relationship Id="rId67" Type="http://schemas.openxmlformats.org/officeDocument/2006/relationships/hyperlink" Target="https://acc.autodesk.com/docs/files/projects/1e597176-a716-43f8-be36-fdbb47ecdee5?folderUrn=urn:adsk.wipprod:fs.folder:co.wiFGaDltR6KuAtlKIhTMqw" TargetMode="External"/><Relationship Id="rId290" Type="http://schemas.openxmlformats.org/officeDocument/2006/relationships/hyperlink" Target="https://acc.autodesk.com/docs/files/projects/1e597176-a716-43f8-be36-fdbb47ecdee5?folderUrn=urn:adsk.wipprod:fs.folder:co.SJ1pF7iTTXCszwGtIaqqzA&amp;entityId=urn:adsk.wipprod:dm.lineage:sPNkeeUgR-2oZK3VfZAyVg&amp;viewModel=detail&amp;moduleId=folders" TargetMode="External"/><Relationship Id="rId60" Type="http://schemas.openxmlformats.org/officeDocument/2006/relationships/hyperlink" Target="https://acc.autodesk.com/docs/files/projects/1e597176-a716-43f8-be36-fdbb47ecdee5?folderUrn=urn:adsk.wipprod:fs.folder:co.wiFGaDltR6KuAtlKIhTMqw&amp;entityId=urn:adsk.wipprod:dm.lineage:UspG8TLXQVyImfIAnMrJtQ&amp;viewModel=detail&amp;moduleId=folders" TargetMode="External"/><Relationship Id="rId165" Type="http://schemas.openxmlformats.org/officeDocument/2006/relationships/hyperlink" Target="https://acc.autodesk.com/docs/files/projects/1e597176-a716-43f8-be36-fdbb47ecdee5?folderUrn=urn:adsk.wipprod:fs.folder:co.LtnBId7JTK-uXdmmDlFFgA" TargetMode="External"/><Relationship Id="rId286" Type="http://schemas.openxmlformats.org/officeDocument/2006/relationships/hyperlink" Target="https://acc.autodesk.com/docs/files/projects/1e597176-a716-43f8-be36-fdbb47ecdee5?folderUrn=urn:adsk.wipprod:fs.folder:co.SJ1pF7iTTXCszwGtIaqqzA&amp;entityId=urn:adsk.wipprod:dm.lineage:sWHtp09gQSOX7YEB6SDTow&amp;viewModel=detail&amp;moduleId=folders" TargetMode="External"/><Relationship Id="rId69" Type="http://schemas.openxmlformats.org/officeDocument/2006/relationships/hyperlink" Target="https://acc.autodesk.com/docs/files/projects/1e597176-a716-43f8-be36-fdbb47ecdee5?folderUrn=urn:adsk.wipprod:fs.folder:co.mbcFb3jpSt2paO6NfxsIwg" TargetMode="External"/><Relationship Id="rId164" Type="http://schemas.openxmlformats.org/officeDocument/2006/relationships/hyperlink" Target="https://acc.autodesk.com/docs/files/projects/1e597176-a716-43f8-be36-fdbb47ecdee5?folderUrn=urn:adsk.wipprod:fs.folder:co.LtnBId7JTK-uXdmmDlFFgA&amp;entityId=urn:adsk.wipprod:dm.lineage:_exI8Ud6S7i3TFEEhxYVTw&amp;viewModel=detail&amp;moduleId=folders" TargetMode="External"/><Relationship Id="rId285" Type="http://schemas.openxmlformats.org/officeDocument/2006/relationships/hyperlink" Target="https://acc.autodesk.com/docs/files/projects/1e597176-a716-43f8-be36-fdbb47ecdee5?folderUrn=urn:adsk.wipprod:fs.folder:co.SJ1pF7iTTXCszwGtIaqqzA" TargetMode="External"/><Relationship Id="rId163" Type="http://schemas.openxmlformats.org/officeDocument/2006/relationships/hyperlink" Target="https://acc.autodesk.com/docs/files/projects/1e597176-a716-43f8-be36-fdbb47ecdee5?folderUrn=urn:adsk.wipprod:fs.folder:co.LtnBId7JTK-uXdmmDlFFgA" TargetMode="External"/><Relationship Id="rId284" Type="http://schemas.openxmlformats.org/officeDocument/2006/relationships/hyperlink" Target="https://acc.autodesk.com/docs/files/projects/1e597176-a716-43f8-be36-fdbb47ecdee5?folderUrn=urn:adsk.wipprod:fs.folder:co.SJ1pF7iTTXCszwGtIaqqzA&amp;entityId=urn:adsk.wipprod:dm.lineage:cXryBjXFRHK2WTPRzQRe_Q&amp;viewModel=detail&amp;moduleId=folders" TargetMode="External"/><Relationship Id="rId162" Type="http://schemas.openxmlformats.org/officeDocument/2006/relationships/hyperlink" Target="https://acc.autodesk.com/docs/files/projects/1e597176-a716-43f8-be36-fdbb47ecdee5?folderUrn=urn:adsk.wipprod:fs.folder:co.LtnBId7JTK-uXdmmDlFFgA&amp;entityId=urn:adsk.wipprod:dm.lineage:_QGNC3vHT6yGKge_2tvKVA&amp;viewModel=detail&amp;moduleId=folders" TargetMode="External"/><Relationship Id="rId283" Type="http://schemas.openxmlformats.org/officeDocument/2006/relationships/hyperlink" Target="https://acc.autodesk.com/docs/files/projects/1e597176-a716-43f8-be36-fdbb47ecdee5?folderUrn=urn:adsk.wipprod:fs.folder:co.SJ1pF7iTTXCszwGtIaqqzA" TargetMode="External"/><Relationship Id="rId169" Type="http://schemas.openxmlformats.org/officeDocument/2006/relationships/hyperlink" Target="https://acc.autodesk.com/docs/files/projects/1e597176-a716-43f8-be36-fdbb47ecdee5?folderUrn=urn:adsk.wipprod:fs.folder:co.UqJ5SedOSpaQm3mvbRIw_Q" TargetMode="External"/><Relationship Id="rId168" Type="http://schemas.openxmlformats.org/officeDocument/2006/relationships/hyperlink" Target="https://acc.autodesk.com/docs/files/projects/1e597176-a716-43f8-be36-fdbb47ecdee5?folderUrn=urn:adsk.wipprod:fs.folder:co.LtnBId7JTK-uXdmmDlFFgA&amp;entityId=urn:adsk.wipprod:dm.lineage:TQOj4SmeRuu26j5-IknJTw&amp;viewModel=detail&amp;moduleId=folders" TargetMode="External"/><Relationship Id="rId289" Type="http://schemas.openxmlformats.org/officeDocument/2006/relationships/hyperlink" Target="https://acc.autodesk.com/docs/files/projects/1e597176-a716-43f8-be36-fdbb47ecdee5?folderUrn=urn:adsk.wipprod:fs.folder:co.SJ1pF7iTTXCszwGtIaqqzA" TargetMode="External"/><Relationship Id="rId167" Type="http://schemas.openxmlformats.org/officeDocument/2006/relationships/hyperlink" Target="https://acc.autodesk.com/docs/files/projects/1e597176-a716-43f8-be36-fdbb47ecdee5?folderUrn=urn:adsk.wipprod:fs.folder:co.LtnBId7JTK-uXdmmDlFFgA" TargetMode="External"/><Relationship Id="rId288" Type="http://schemas.openxmlformats.org/officeDocument/2006/relationships/hyperlink" Target="https://acc.autodesk.com/docs/files/projects/1e597176-a716-43f8-be36-fdbb47ecdee5?folderUrn=urn:adsk.wipprod:fs.folder:co.SJ1pF7iTTXCszwGtIaqqzA&amp;entityId=urn:adsk.wipprod:dm.lineage:hLhp9avAQ4mdlS3ZKY2a9w&amp;viewModel=detail&amp;moduleId=folders" TargetMode="External"/><Relationship Id="rId166" Type="http://schemas.openxmlformats.org/officeDocument/2006/relationships/hyperlink" Target="https://acc.autodesk.com/docs/files/projects/1e597176-a716-43f8-be36-fdbb47ecdee5?folderUrn=urn:adsk.wipprod:fs.folder:co.LtnBId7JTK-uXdmmDlFFgA&amp;entityId=urn:adsk.wipprod:dm.lineage:YwKTj3ZtRnmh89c3O8kzLw&amp;viewModel=detail&amp;moduleId=folders" TargetMode="External"/><Relationship Id="rId287" Type="http://schemas.openxmlformats.org/officeDocument/2006/relationships/hyperlink" Target="https://acc.autodesk.com/docs/files/projects/1e597176-a716-43f8-be36-fdbb47ecdee5?folderUrn=urn:adsk.wipprod:fs.folder:co.SJ1pF7iTTXCszwGtIaqqzA" TargetMode="External"/><Relationship Id="rId51" Type="http://schemas.openxmlformats.org/officeDocument/2006/relationships/hyperlink" Target="https://acc.autodesk.com/docs/files/projects/1e597176-a716-43f8-be36-fdbb47ecdee5?folderUrn=urn:adsk.wipprod:fs.folder:co.wiFGaDltR6KuAtlKIhTMqw" TargetMode="External"/><Relationship Id="rId50" Type="http://schemas.openxmlformats.org/officeDocument/2006/relationships/hyperlink" Target="https://acc.autodesk.com/docs/files/projects/1e597176-a716-43f8-be36-fdbb47ecdee5?folderUrn=urn:adsk.wipprod:fs.folder:co.wiFGaDltR6KuAtlKIhTMqw&amp;entityId=urn:adsk.wipprod:dm.lineage:rzS9WeBDSdaDZAA-sNi6lg&amp;viewModel=detail&amp;moduleId=folders" TargetMode="External"/><Relationship Id="rId53" Type="http://schemas.openxmlformats.org/officeDocument/2006/relationships/hyperlink" Target="https://acc.autodesk.com/docs/files/projects/1e597176-a716-43f8-be36-fdbb47ecdee5?folderUrn=urn:adsk.wipprod:fs.folder:co.wiFGaDltR6KuAtlKIhTMqw" TargetMode="External"/><Relationship Id="rId52" Type="http://schemas.openxmlformats.org/officeDocument/2006/relationships/hyperlink" Target="https://acc.autodesk.com/docs/files/projects/1e597176-a716-43f8-be36-fdbb47ecdee5?folderUrn=urn:adsk.wipprod:fs.folder:co.wiFGaDltR6KuAtlKIhTMqw&amp;entityId=urn:adsk.wipprod:dm.lineage:sPQpEwVRRbS4OZ2PcOiO1g&amp;viewModel=detail&amp;moduleId=folders" TargetMode="External"/><Relationship Id="rId55" Type="http://schemas.openxmlformats.org/officeDocument/2006/relationships/hyperlink" Target="https://acc.autodesk.com/docs/files/projects/1e597176-a716-43f8-be36-fdbb47ecdee5?folderUrn=urn:adsk.wipprod:fs.folder:co.wiFGaDltR6KuAtlKIhTMqw" TargetMode="External"/><Relationship Id="rId161" Type="http://schemas.openxmlformats.org/officeDocument/2006/relationships/hyperlink" Target="https://acc.autodesk.com/docs/files/projects/1e597176-a716-43f8-be36-fdbb47ecdee5?folderUrn=urn:adsk.wipprod:fs.folder:co.LtnBId7JTK-uXdmmDlFFgA" TargetMode="External"/><Relationship Id="rId282" Type="http://schemas.openxmlformats.org/officeDocument/2006/relationships/hyperlink" Target="https://acc.autodesk.com/docs/files/projects/1e597176-a716-43f8-be36-fdbb47ecdee5?folderUrn=urn:adsk.wipprod:fs.folder:co.SJ1pF7iTTXCszwGtIaqqzA&amp;entityId=urn:adsk.wipprod:dm.lineage:hU7tttJjSxOgyWFiBLw3aA&amp;viewModel=detail&amp;moduleId=folders" TargetMode="External"/><Relationship Id="rId54" Type="http://schemas.openxmlformats.org/officeDocument/2006/relationships/hyperlink" Target="https://acc.autodesk.com/docs/files/projects/1e597176-a716-43f8-be36-fdbb47ecdee5?folderUrn=urn:adsk.wipprod:fs.folder:co.wiFGaDltR6KuAtlKIhTMqw&amp;entityId=urn:adsk.wipprod:dm.lineage:b_a70xNcShK7XbvABTJSiQ&amp;viewModel=detail&amp;moduleId=folders" TargetMode="External"/><Relationship Id="rId160" Type="http://schemas.openxmlformats.org/officeDocument/2006/relationships/hyperlink" Target="https://acc.autodesk.com/docs/files/projects/1e597176-a716-43f8-be36-fdbb47ecdee5?folderUrn=urn:adsk.wipprod:fs.folder:co.LtnBId7JTK-uXdmmDlFFgA&amp;entityId=urn:adsk.wipprod:dm.lineage:xtWy0cgaT6ydXqrspBPRLQ&amp;viewModel=detail&amp;moduleId=folders" TargetMode="External"/><Relationship Id="rId281" Type="http://schemas.openxmlformats.org/officeDocument/2006/relationships/hyperlink" Target="https://acc.autodesk.com/docs/files/projects/1e597176-a716-43f8-be36-fdbb47ecdee5?folderUrn=urn:adsk.wipprod:fs.folder:co.SJ1pF7iTTXCszwGtIaqqzA" TargetMode="External"/><Relationship Id="rId57" Type="http://schemas.openxmlformats.org/officeDocument/2006/relationships/hyperlink" Target="https://acc.autodesk.com/docs/files/projects/1e597176-a716-43f8-be36-fdbb47ecdee5?folderUrn=urn:adsk.wipprod:fs.folder:co.wiFGaDltR6KuAtlKIhTMqw" TargetMode="External"/><Relationship Id="rId280" Type="http://schemas.openxmlformats.org/officeDocument/2006/relationships/hyperlink" Target="https://acc.autodesk.com/docs/files/projects/1e597176-a716-43f8-be36-fdbb47ecdee5?folderUrn=urn:adsk.wipprod:fs.folder:co.SJ1pF7iTTXCszwGtIaqqzA&amp;entityId=urn:adsk.wipprod:dm.lineage:ZmEj3_HvSYWEGNwPB7s_rw&amp;viewModel=detail&amp;moduleId=folders" TargetMode="External"/><Relationship Id="rId56" Type="http://schemas.openxmlformats.org/officeDocument/2006/relationships/hyperlink" Target="https://acc.autodesk.com/docs/files/projects/1e597176-a716-43f8-be36-fdbb47ecdee5?folderUrn=urn:adsk.wipprod:fs.folder:co.wiFGaDltR6KuAtlKIhTMqw&amp;entityId=urn:adsk.wipprod:dm.lineage:l7cQd4QoQg-HHzGJGV3tLw&amp;viewModel=detail&amp;moduleId=folders" TargetMode="External"/><Relationship Id="rId159" Type="http://schemas.openxmlformats.org/officeDocument/2006/relationships/hyperlink" Target="https://acc.autodesk.com/docs/files/projects/1e597176-a716-43f8-be36-fdbb47ecdee5?folderUrn=urn:adsk.wipprod:fs.folder:co.LtnBId7JTK-uXdmmDlFFgA" TargetMode="External"/><Relationship Id="rId59" Type="http://schemas.openxmlformats.org/officeDocument/2006/relationships/hyperlink" Target="https://acc.autodesk.com/docs/files/projects/1e597176-a716-43f8-be36-fdbb47ecdee5?folderUrn=urn:adsk.wipprod:fs.folder:co.wiFGaDltR6KuAtlKIhTMqw" TargetMode="External"/><Relationship Id="rId154" Type="http://schemas.openxmlformats.org/officeDocument/2006/relationships/hyperlink" Target="https://acc.autodesk.com/docs/files/projects/1e597176-a716-43f8-be36-fdbb47ecdee5?folderUrn=urn:adsk.wipprod:fs.folder:co.LtnBId7JTK-uXdmmDlFFgA&amp;entityId=urn:adsk.wipprod:dm.lineage:2hsM-SkSQhCdCNrS_8vGwA&amp;viewModel=detail&amp;moduleId=folders" TargetMode="External"/><Relationship Id="rId275" Type="http://schemas.openxmlformats.org/officeDocument/2006/relationships/hyperlink" Target="https://acc.autodesk.com/docs/files/projects/1e597176-a716-43f8-be36-fdbb47ecdee5?folderUrn=urn:adsk.wipprod:fs.folder:co.QLkOGekBQd-Z3DKL7vJ7rA" TargetMode="External"/><Relationship Id="rId58" Type="http://schemas.openxmlformats.org/officeDocument/2006/relationships/hyperlink" Target="https://acc.autodesk.com/docs/files/projects/1e597176-a716-43f8-be36-fdbb47ecdee5?folderUrn=urn:adsk.wipprod:fs.folder:co.wiFGaDltR6KuAtlKIhTMqw&amp;entityId=urn:adsk.wipprod:dm.lineage:J48SvwMsSjS9MRHv8s4WDw&amp;viewModel=detail&amp;moduleId=folders" TargetMode="External"/><Relationship Id="rId153" Type="http://schemas.openxmlformats.org/officeDocument/2006/relationships/hyperlink" Target="https://acc.autodesk.com/docs/files/projects/1e597176-a716-43f8-be36-fdbb47ecdee5?folderUrn=urn:adsk.wipprod:fs.folder:co.LtnBId7JTK-uXdmmDlFFgA" TargetMode="External"/><Relationship Id="rId274" Type="http://schemas.openxmlformats.org/officeDocument/2006/relationships/hyperlink" Target="https://acc.autodesk.com/docs/files/projects/1e597176-a716-43f8-be36-fdbb47ecdee5?folderUrn=urn:adsk.wipprod:fs.folder:co.QLkOGekBQd-Z3DKL7vJ7rA&amp;entityId=urn:adsk.wipprod:dm.lineage:y0thA9DOTH-iJrJN3RAczw&amp;viewModel=detail&amp;moduleId=folders" TargetMode="External"/><Relationship Id="rId152" Type="http://schemas.openxmlformats.org/officeDocument/2006/relationships/hyperlink" Target="https://acc.autodesk.com/docs/files/projects/1e597176-a716-43f8-be36-fdbb47ecdee5?folderUrn=urn:adsk.wipprod:fs.folder:co.LtnBId7JTK-uXdmmDlFFgA&amp;entityId=urn:adsk.wipprod:dm.lineage:a2enjRYWRPmfFSSt4qDuwQ&amp;viewModel=detail&amp;moduleId=folders" TargetMode="External"/><Relationship Id="rId273" Type="http://schemas.openxmlformats.org/officeDocument/2006/relationships/hyperlink" Target="https://acc.autodesk.com/docs/files/projects/1e597176-a716-43f8-be36-fdbb47ecdee5?folderUrn=urn:adsk.wipprod:fs.folder:co.QLkOGekBQd-Z3DKL7vJ7rA" TargetMode="External"/><Relationship Id="rId151" Type="http://schemas.openxmlformats.org/officeDocument/2006/relationships/hyperlink" Target="https://acc.autodesk.com/docs/files/projects/1e597176-a716-43f8-be36-fdbb47ecdee5?folderUrn=urn:adsk.wipprod:fs.folder:co.LtnBId7JTK-uXdmmDlFFgA" TargetMode="External"/><Relationship Id="rId272" Type="http://schemas.openxmlformats.org/officeDocument/2006/relationships/hyperlink" Target="https://acc.autodesk.com/docs/files/projects/1e597176-a716-43f8-be36-fdbb47ecdee5?folderUrn=urn:adsk.wipprod:fs.folder:co.QLkOGekBQd-Z3DKL7vJ7rA&amp;entityId=urn:adsk.wipprod:dm.lineage:O9EwDomXSpGci7iq8A-xmQ&amp;viewModel=detail&amp;moduleId=folders" TargetMode="External"/><Relationship Id="rId158" Type="http://schemas.openxmlformats.org/officeDocument/2006/relationships/hyperlink" Target="https://acc.autodesk.com/docs/files/projects/1e597176-a716-43f8-be36-fdbb47ecdee5?folderUrn=urn:adsk.wipprod:fs.folder:co.LtnBId7JTK-uXdmmDlFFgA&amp;entityId=urn:adsk.wipprod:dm.lineage:wSVQT3-wR8e-tS0OfVrXNQ&amp;viewModel=detail&amp;moduleId=folders" TargetMode="External"/><Relationship Id="rId279" Type="http://schemas.openxmlformats.org/officeDocument/2006/relationships/hyperlink" Target="https://acc.autodesk.com/docs/files/projects/1e597176-a716-43f8-be36-fdbb47ecdee5?folderUrn=urn:adsk.wipprod:fs.folder:co.SJ1pF7iTTXCszwGtIaqqzA" TargetMode="External"/><Relationship Id="rId157" Type="http://schemas.openxmlformats.org/officeDocument/2006/relationships/hyperlink" Target="https://acc.autodesk.com/docs/files/projects/1e597176-a716-43f8-be36-fdbb47ecdee5?folderUrn=urn:adsk.wipprod:fs.folder:co.LtnBId7JTK-uXdmmDlFFgA" TargetMode="External"/><Relationship Id="rId278" Type="http://schemas.openxmlformats.org/officeDocument/2006/relationships/hyperlink" Target="https://acc.autodesk.com/docs/files/projects/1e597176-a716-43f8-be36-fdbb47ecdee5?folderUrn=urn:adsk.wipprod:fs.folder:co.QLkOGekBQd-Z3DKL7vJ7rA&amp;entityId=urn:adsk.wipprod:dm.lineage:m7x4IrtcSqGwf2uhji1fYA&amp;viewModel=detail&amp;moduleId=folders" TargetMode="External"/><Relationship Id="rId156" Type="http://schemas.openxmlformats.org/officeDocument/2006/relationships/hyperlink" Target="https://acc.autodesk.com/docs/files/projects/1e597176-a716-43f8-be36-fdbb47ecdee5?folderUrn=urn:adsk.wipprod:fs.folder:co.LtnBId7JTK-uXdmmDlFFgA&amp;entityId=urn:adsk.wipprod:dm.lineage:9cdazHpeRlWU75qcAh8E1Q&amp;viewModel=detail&amp;moduleId=folders" TargetMode="External"/><Relationship Id="rId277" Type="http://schemas.openxmlformats.org/officeDocument/2006/relationships/hyperlink" Target="https://acc.autodesk.com/docs/files/projects/1e597176-a716-43f8-be36-fdbb47ecdee5?folderUrn=urn:adsk.wipprod:fs.folder:co.QLkOGekBQd-Z3DKL7vJ7rA" TargetMode="External"/><Relationship Id="rId155" Type="http://schemas.openxmlformats.org/officeDocument/2006/relationships/hyperlink" Target="https://acc.autodesk.com/docs/files/projects/1e597176-a716-43f8-be36-fdbb47ecdee5?folderUrn=urn:adsk.wipprod:fs.folder:co.LtnBId7JTK-uXdmmDlFFgA" TargetMode="External"/><Relationship Id="rId276" Type="http://schemas.openxmlformats.org/officeDocument/2006/relationships/hyperlink" Target="https://acc.autodesk.com/docs/files/projects/1e597176-a716-43f8-be36-fdbb47ecdee5?folderUrn=urn:adsk.wipprod:fs.folder:co.QLkOGekBQd-Z3DKL7vJ7rA&amp;entityId=urn:adsk.wipprod:dm.lineage:0laE8UlET8CRb7HZyS2wfA&amp;viewModel=detail&amp;moduleId=folders" TargetMode="External"/><Relationship Id="rId107" Type="http://schemas.openxmlformats.org/officeDocument/2006/relationships/hyperlink" Target="https://acc.autodesk.com/docs/files/projects/1e597176-a716-43f8-be36-fdbb47ecdee5?folderUrn=urn:adsk.wipprod:fs.folder:co.LtnBId7JTK-uXdmmDlFFgA" TargetMode="External"/><Relationship Id="rId228" Type="http://schemas.openxmlformats.org/officeDocument/2006/relationships/hyperlink" Target="https://acc.autodesk.com/docs/files/projects/1e597176-a716-43f8-be36-fdbb47ecdee5?folderUrn=urn:adsk.wipprod:fs.folder:co.UqJ5SedOSpaQm3mvbRIw_Q&amp;entityId=urn:adsk.wipprod:dm.lineage:-SnLWHplR5eH2EBv74xBBw&amp;viewModel=detail&amp;moduleId=folders" TargetMode="External"/><Relationship Id="rId106" Type="http://schemas.openxmlformats.org/officeDocument/2006/relationships/hyperlink" Target="https://acc.autodesk.com/docs/files/projects/1e597176-a716-43f8-be36-fdbb47ecdee5?folderUrn=urn:adsk.wipprod:fs.folder:co.LtnBId7JTK-uXdmmDlFFgA&amp;entityId=urn:adsk.wipprod:dm.lineage:ilDDsRKIRuScYSLudPi9og&amp;viewModel=detail&amp;moduleId=folders" TargetMode="External"/><Relationship Id="rId227" Type="http://schemas.openxmlformats.org/officeDocument/2006/relationships/hyperlink" Target="https://acc.autodesk.com/docs/files/projects/1e597176-a716-43f8-be36-fdbb47ecdee5?folderUrn=urn:adsk.wipprod:fs.folder:co.UqJ5SedOSpaQm3mvbRIw_Q" TargetMode="External"/><Relationship Id="rId105" Type="http://schemas.openxmlformats.org/officeDocument/2006/relationships/hyperlink" Target="https://acc.autodesk.com/docs/files/projects/1e597176-a716-43f8-be36-fdbb47ecdee5?folderUrn=urn:adsk.wipprod:fs.folder:co.LtnBId7JTK-uXdmmDlFFgA" TargetMode="External"/><Relationship Id="rId226" Type="http://schemas.openxmlformats.org/officeDocument/2006/relationships/hyperlink" Target="https://acc.autodesk.com/docs/files/projects/1e597176-a716-43f8-be36-fdbb47ecdee5?folderUrn=urn:adsk.wipprod:fs.folder:co.UqJ5SedOSpaQm3mvbRIw_Q&amp;entityId=urn:adsk.wipprod:dm.lineage:dDhtCyjRS76iTatQ2jFVgA&amp;viewModel=detail&amp;moduleId=folders" TargetMode="External"/><Relationship Id="rId104" Type="http://schemas.openxmlformats.org/officeDocument/2006/relationships/hyperlink" Target="https://acc.autodesk.com/docs/files/projects/1e597176-a716-43f8-be36-fdbb47ecdee5?folderUrn=urn:adsk.wipprod:fs.folder:co.-UKdTAW-SqygJE_069OSDA&amp;entityId=urn:adsk.wipprod:dm.lineage:ip7zsrf1T6ycXXXQ3rExbg&amp;viewModel=detail&amp;moduleId=folders" TargetMode="External"/><Relationship Id="rId225" Type="http://schemas.openxmlformats.org/officeDocument/2006/relationships/hyperlink" Target="https://acc.autodesk.com/docs/files/projects/1e597176-a716-43f8-be36-fdbb47ecdee5?folderUrn=urn:adsk.wipprod:fs.folder:co.UqJ5SedOSpaQm3mvbRIw_Q" TargetMode="External"/><Relationship Id="rId109" Type="http://schemas.openxmlformats.org/officeDocument/2006/relationships/hyperlink" Target="https://acc.autodesk.com/docs/files/projects/1e597176-a716-43f8-be36-fdbb47ecdee5?folderUrn=urn:adsk.wipprod:fs.folder:co.LtnBId7JTK-uXdmmDlFFgA" TargetMode="External"/><Relationship Id="rId108" Type="http://schemas.openxmlformats.org/officeDocument/2006/relationships/hyperlink" Target="https://acc.autodesk.com/docs/files/projects/1e597176-a716-43f8-be36-fdbb47ecdee5?folderUrn=urn:adsk.wipprod:fs.folder:co.LtnBId7JTK-uXdmmDlFFgA&amp;entityId=urn:adsk.wipprod:dm.lineage:xPzTfonQR0-E8bY6mXdqwQ&amp;viewModel=detail&amp;moduleId=folders" TargetMode="External"/><Relationship Id="rId229" Type="http://schemas.openxmlformats.org/officeDocument/2006/relationships/hyperlink" Target="https://acc.autodesk.com/docs/files/projects/1e597176-a716-43f8-be36-fdbb47ecdee5?folderUrn=urn:adsk.wipprod:fs.folder:co.AJlWibkVQ-q2t3pEX67Fow" TargetMode="External"/><Relationship Id="rId220" Type="http://schemas.openxmlformats.org/officeDocument/2006/relationships/hyperlink" Target="https://acc.autodesk.com/docs/files/projects/1e597176-a716-43f8-be36-fdbb47ecdee5?folderUrn=urn:adsk.wipprod:fs.folder:co.UqJ5SedOSpaQm3mvbRIw_Q&amp;entityId=urn:adsk.wipprod:dm.lineage:nWoDi4D0RmeE967MXTo9BQ&amp;viewModel=detail&amp;moduleId=folders" TargetMode="External"/><Relationship Id="rId103" Type="http://schemas.openxmlformats.org/officeDocument/2006/relationships/hyperlink" Target="https://acc.autodesk.com/docs/files/projects/1e597176-a716-43f8-be36-fdbb47ecdee5?folderUrn=urn:adsk.wipprod:fs.folder:co.-UKdTAW-SqygJE_069OSDA" TargetMode="External"/><Relationship Id="rId224" Type="http://schemas.openxmlformats.org/officeDocument/2006/relationships/hyperlink" Target="https://acc.autodesk.com/docs/files/projects/1e597176-a716-43f8-be36-fdbb47ecdee5?folderUrn=urn:adsk.wipprod:fs.folder:co.UqJ5SedOSpaQm3mvbRIw_Q&amp;entityId=urn:adsk.wipprod:dm.lineage:Lrf0uq_HRiWOZmgBTxafVg&amp;viewModel=detail&amp;moduleId=folders" TargetMode="External"/><Relationship Id="rId102" Type="http://schemas.openxmlformats.org/officeDocument/2006/relationships/hyperlink" Target="https://acc.autodesk.com/docs/files/projects/1e597176-a716-43f8-be36-fdbb47ecdee5?folderUrn=urn:adsk.wipprod:fs.folder:co.-UKdTAW-SqygJE_069OSDA&amp;entityId=urn:adsk.wipprod:dm.lineage:aqu1NnxQTEiZxg74feqGHw&amp;viewModel=detail&amp;moduleId=folders" TargetMode="External"/><Relationship Id="rId223" Type="http://schemas.openxmlformats.org/officeDocument/2006/relationships/hyperlink" Target="https://acc.autodesk.com/docs/files/projects/1e597176-a716-43f8-be36-fdbb47ecdee5?folderUrn=urn:adsk.wipprod:fs.folder:co.UqJ5SedOSpaQm3mvbRIw_Q" TargetMode="External"/><Relationship Id="rId101" Type="http://schemas.openxmlformats.org/officeDocument/2006/relationships/hyperlink" Target="https://acc.autodesk.com/docs/files/projects/1e597176-a716-43f8-be36-fdbb47ecdee5?folderUrn=urn:adsk.wipprod:fs.folder:co.-UKdTAW-SqygJE_069OSDA" TargetMode="External"/><Relationship Id="rId222" Type="http://schemas.openxmlformats.org/officeDocument/2006/relationships/hyperlink" Target="https://acc.autodesk.com/docs/files/projects/1e597176-a716-43f8-be36-fdbb47ecdee5?folderUrn=urn:adsk.wipprod:fs.folder:co.UqJ5SedOSpaQm3mvbRIw_Q&amp;entityId=urn:adsk.wipprod:dm.lineage:bg1G7x4cQr2I7Hum7kat7w&amp;viewModel=detail&amp;moduleId=folders" TargetMode="External"/><Relationship Id="rId100" Type="http://schemas.openxmlformats.org/officeDocument/2006/relationships/hyperlink" Target="https://acc.autodesk.com/docs/files/projects/1e597176-a716-43f8-be36-fdbb47ecdee5?folderUrn=urn:adsk.wipprod:fs.folder:co.-UKdTAW-SqygJE_069OSDA&amp;entityId=urn:adsk.wipprod:dm.lineage:-c6kV_AMQGWR5Z9ouFKWBQ&amp;viewModel=detail&amp;moduleId=folders" TargetMode="External"/><Relationship Id="rId221" Type="http://schemas.openxmlformats.org/officeDocument/2006/relationships/hyperlink" Target="https://acc.autodesk.com/docs/files/projects/1e597176-a716-43f8-be36-fdbb47ecdee5?folderUrn=urn:adsk.wipprod:fs.folder:co.UqJ5SedOSpaQm3mvbRIw_Q" TargetMode="External"/><Relationship Id="rId217" Type="http://schemas.openxmlformats.org/officeDocument/2006/relationships/hyperlink" Target="https://acc.autodesk.com/docs/files/projects/1e597176-a716-43f8-be36-fdbb47ecdee5?folderUrn=urn:adsk.wipprod:fs.folder:co.UqJ5SedOSpaQm3mvbRIw_Q" TargetMode="External"/><Relationship Id="rId216" Type="http://schemas.openxmlformats.org/officeDocument/2006/relationships/hyperlink" Target="https://acc.autodesk.com/docs/files/projects/1e597176-a716-43f8-be36-fdbb47ecdee5?folderUrn=urn:adsk.wipprod:fs.folder:co.UqJ5SedOSpaQm3mvbRIw_Q&amp;entityId=urn:adsk.wipprod:dm.lineage:UgD9bH_YRous9mf5REm8Fg&amp;viewModel=detail&amp;moduleId=folders" TargetMode="External"/><Relationship Id="rId215" Type="http://schemas.openxmlformats.org/officeDocument/2006/relationships/hyperlink" Target="https://acc.autodesk.com/docs/files/projects/1e597176-a716-43f8-be36-fdbb47ecdee5?folderUrn=urn:adsk.wipprod:fs.folder:co.UqJ5SedOSpaQm3mvbRIw_Q" TargetMode="External"/><Relationship Id="rId214" Type="http://schemas.openxmlformats.org/officeDocument/2006/relationships/hyperlink" Target="https://acc.autodesk.com/docs/files/projects/1e597176-a716-43f8-be36-fdbb47ecdee5?folderUrn=urn:adsk.wipprod:fs.folder:co.UqJ5SedOSpaQm3mvbRIw_Q&amp;entityId=urn:adsk.wipprod:dm.lineage:QIqydjF7RYSpxJllpjtytg&amp;viewModel=detail&amp;moduleId=folders" TargetMode="External"/><Relationship Id="rId219" Type="http://schemas.openxmlformats.org/officeDocument/2006/relationships/hyperlink" Target="https://acc.autodesk.com/docs/files/projects/1e597176-a716-43f8-be36-fdbb47ecdee5?folderUrn=urn:adsk.wipprod:fs.folder:co.UqJ5SedOSpaQm3mvbRIw_Q" TargetMode="External"/><Relationship Id="rId218" Type="http://schemas.openxmlformats.org/officeDocument/2006/relationships/hyperlink" Target="https://acc.autodesk.com/docs/files/projects/1e597176-a716-43f8-be36-fdbb47ecdee5?folderUrn=urn:adsk.wipprod:fs.folder:co.UqJ5SedOSpaQm3mvbRIw_Q&amp;entityId=urn:adsk.wipprod:dm.lineage:JVgAKMo0Q3C73fgg6AGOgA&amp;viewModel=detail&amp;moduleId=folders" TargetMode="External"/><Relationship Id="rId213" Type="http://schemas.openxmlformats.org/officeDocument/2006/relationships/hyperlink" Target="https://acc.autodesk.com/docs/files/projects/1e597176-a716-43f8-be36-fdbb47ecdee5?folderUrn=urn:adsk.wipprod:fs.folder:co.UqJ5SedOSpaQm3mvbRIw_Q" TargetMode="External"/><Relationship Id="rId212" Type="http://schemas.openxmlformats.org/officeDocument/2006/relationships/hyperlink" Target="https://acc.autodesk.com/docs/files/projects/1e597176-a716-43f8-be36-fdbb47ecdee5?folderUrn=urn:adsk.wipprod:fs.folder:co.UqJ5SedOSpaQm3mvbRIw_Q&amp;entityId=urn:adsk.wipprod:dm.lineage:Y9OubMOfQKKXFEKFcxPhMg&amp;viewModel=detail&amp;moduleId=folders" TargetMode="External"/><Relationship Id="rId211" Type="http://schemas.openxmlformats.org/officeDocument/2006/relationships/hyperlink" Target="https://acc.autodesk.com/docs/files/projects/1e597176-a716-43f8-be36-fdbb47ecdee5?folderUrn=urn:adsk.wipprod:fs.folder:co.UqJ5SedOSpaQm3mvbRIw_Q" TargetMode="External"/><Relationship Id="rId210" Type="http://schemas.openxmlformats.org/officeDocument/2006/relationships/hyperlink" Target="https://acc.autodesk.com/docs/files/projects/1e597176-a716-43f8-be36-fdbb47ecdee5?folderUrn=urn:adsk.wipprod:fs.folder:co.UqJ5SedOSpaQm3mvbRIw_Q&amp;entityId=urn:adsk.wipprod:dm.lineage:ybeAaNxdQe2cccy1zIbitQ&amp;viewModel=detail&amp;moduleId=folders" TargetMode="External"/><Relationship Id="rId129" Type="http://schemas.openxmlformats.org/officeDocument/2006/relationships/hyperlink" Target="https://acc.autodesk.com/docs/files/projects/1e597176-a716-43f8-be36-fdbb47ecdee5?folderUrn=urn:adsk.wipprod:fs.folder:co.LtnBId7JTK-uXdmmDlFFgA" TargetMode="External"/><Relationship Id="rId128" Type="http://schemas.openxmlformats.org/officeDocument/2006/relationships/hyperlink" Target="https://acc.autodesk.com/docs/files/projects/1e597176-a716-43f8-be36-fdbb47ecdee5?folderUrn=urn:adsk.wipprod:fs.folder:co.LtnBId7JTK-uXdmmDlFFgA&amp;entityId=urn:adsk.wipprod:dm.lineage:N1pswpvRTS-miKa-tnYXRg&amp;viewModel=detail&amp;moduleId=folders" TargetMode="External"/><Relationship Id="rId249" Type="http://schemas.openxmlformats.org/officeDocument/2006/relationships/hyperlink" Target="https://acc.autodesk.com/docs/files/projects/1e597176-a716-43f8-be36-fdbb47ecdee5?folderUrn=urn:adsk.wipprod:fs.folder:co.buNCOFH5SiOErzY0MBySjg" TargetMode="External"/><Relationship Id="rId127" Type="http://schemas.openxmlformats.org/officeDocument/2006/relationships/hyperlink" Target="https://acc.autodesk.com/docs/files/projects/1e597176-a716-43f8-be36-fdbb47ecdee5?folderUrn=urn:adsk.wipprod:fs.folder:co.LtnBId7JTK-uXdmmDlFFgA" TargetMode="External"/><Relationship Id="rId248" Type="http://schemas.openxmlformats.org/officeDocument/2006/relationships/hyperlink" Target="https://acc.autodesk.com/docs/files/projects/1e597176-a716-43f8-be36-fdbb47ecdee5?folderUrn=urn:adsk.wipprod:fs.folder:co.buNCOFH5SiOErzY0MBySjg&amp;entityId=urn:adsk.wipprod:dm.lineage:OajqPvbdTwCqmxN3qEkddg&amp;viewModel=detail&amp;moduleId=folders" TargetMode="External"/><Relationship Id="rId126" Type="http://schemas.openxmlformats.org/officeDocument/2006/relationships/hyperlink" Target="https://acc.autodesk.com/docs/files/projects/1e597176-a716-43f8-be36-fdbb47ecdee5?folderUrn=urn:adsk.wipprod:fs.folder:co.LtnBId7JTK-uXdmmDlFFgA&amp;entityId=urn:adsk.wipprod:dm.lineage:WKvnfvEiRQWq9pHbpl7Q3w&amp;viewModel=detail&amp;moduleId=folders" TargetMode="External"/><Relationship Id="rId247" Type="http://schemas.openxmlformats.org/officeDocument/2006/relationships/hyperlink" Target="https://acc.autodesk.com/docs/files/projects/1e597176-a716-43f8-be36-fdbb47ecdee5?folderUrn=urn:adsk.wipprod:fs.folder:co.buNCOFH5SiOErzY0MBySjg" TargetMode="External"/><Relationship Id="rId121" Type="http://schemas.openxmlformats.org/officeDocument/2006/relationships/hyperlink" Target="https://acc.autodesk.com/docs/files/projects/1e597176-a716-43f8-be36-fdbb47ecdee5?folderUrn=urn:adsk.wipprod:fs.folder:co.LtnBId7JTK-uXdmmDlFFgA" TargetMode="External"/><Relationship Id="rId242" Type="http://schemas.openxmlformats.org/officeDocument/2006/relationships/hyperlink" Target="https://acc.autodesk.com/docs/files/projects/1e597176-a716-43f8-be36-fdbb47ecdee5?folderUrn=urn:adsk.wipprod:fs.folder:co.AJlWibkVQ-q2t3pEX67Fow&amp;entityId=urn:adsk.wipprod:dm.lineage:0wVpfjH1SwKNb2vglmtkPw&amp;viewModel=detail&amp;moduleId=folders" TargetMode="External"/><Relationship Id="rId120" Type="http://schemas.openxmlformats.org/officeDocument/2006/relationships/hyperlink" Target="https://acc.autodesk.com/docs/files/projects/1e597176-a716-43f8-be36-fdbb47ecdee5?folderUrn=urn:adsk.wipprod:fs.folder:co.LtnBId7JTK-uXdmmDlFFgA&amp;entityId=urn:adsk.wipprod:dm.lineage:VhzLWU6NS0WxGAGc-Wpk3w&amp;viewModel=detail&amp;moduleId=folders" TargetMode="External"/><Relationship Id="rId241" Type="http://schemas.openxmlformats.org/officeDocument/2006/relationships/hyperlink" Target="https://acc.autodesk.com/docs/files/projects/1e597176-a716-43f8-be36-fdbb47ecdee5?folderUrn=urn:adsk.wipprod:fs.folder:co.AJlWibkVQ-q2t3pEX67Fow" TargetMode="External"/><Relationship Id="rId240" Type="http://schemas.openxmlformats.org/officeDocument/2006/relationships/hyperlink" Target="https://acc.autodesk.com/docs/files/projects/1e597176-a716-43f8-be36-fdbb47ecdee5?folderUrn=urn:adsk.wipprod:fs.folder:co.AJlWibkVQ-q2t3pEX67Fow&amp;entityId=urn:adsk.wipprod:dm.lineage:MsiyB199Ts-Yy2NlSHvqSg&amp;viewModel=detail&amp;moduleId=folders" TargetMode="External"/><Relationship Id="rId125" Type="http://schemas.openxmlformats.org/officeDocument/2006/relationships/hyperlink" Target="https://acc.autodesk.com/docs/files/projects/1e597176-a716-43f8-be36-fdbb47ecdee5?folderUrn=urn:adsk.wipprod:fs.folder:co.LtnBId7JTK-uXdmmDlFFgA" TargetMode="External"/><Relationship Id="rId246" Type="http://schemas.openxmlformats.org/officeDocument/2006/relationships/hyperlink" Target="https://acc.autodesk.com/docs/files/projects/1e597176-a716-43f8-be36-fdbb47ecdee5?folderUrn=urn:adsk.wipprod:fs.folder:co.AJlWibkVQ-q2t3pEX67Fow&amp;entityId=urn:adsk.wipprod:dm.lineage:f-bjrTydQDCVeX9rMSvtnQ&amp;viewModel=detail&amp;moduleId=folders" TargetMode="External"/><Relationship Id="rId124" Type="http://schemas.openxmlformats.org/officeDocument/2006/relationships/hyperlink" Target="https://acc.autodesk.com/docs/files/projects/1e597176-a716-43f8-be36-fdbb47ecdee5?folderUrn=urn:adsk.wipprod:fs.folder:co.LtnBId7JTK-uXdmmDlFFgA&amp;entityId=urn:adsk.wipprod:dm.lineage:0rv_qFXrQtqjdqBX-cqQ4w&amp;viewModel=detail&amp;moduleId=folders" TargetMode="External"/><Relationship Id="rId245" Type="http://schemas.openxmlformats.org/officeDocument/2006/relationships/hyperlink" Target="https://acc.autodesk.com/docs/files/projects/1e597176-a716-43f8-be36-fdbb47ecdee5?folderUrn=urn:adsk.wipprod:fs.folder:co.AJlWibkVQ-q2t3pEX67Fow" TargetMode="External"/><Relationship Id="rId123" Type="http://schemas.openxmlformats.org/officeDocument/2006/relationships/hyperlink" Target="https://acc.autodesk.com/docs/files/projects/1e597176-a716-43f8-be36-fdbb47ecdee5?folderUrn=urn:adsk.wipprod:fs.folder:co.LtnBId7JTK-uXdmmDlFFgA" TargetMode="External"/><Relationship Id="rId244" Type="http://schemas.openxmlformats.org/officeDocument/2006/relationships/hyperlink" Target="https://acc.autodesk.com/docs/files/projects/1e597176-a716-43f8-be36-fdbb47ecdee5?folderUrn=urn:adsk.wipprod:fs.folder:co.AJlWibkVQ-q2t3pEX67Fow&amp;entityId=urn:adsk.wipprod:dm.lineage:2DsJCP0AQlqt9Ckb2N9PDw&amp;viewModel=detail&amp;moduleId=folders" TargetMode="External"/><Relationship Id="rId122" Type="http://schemas.openxmlformats.org/officeDocument/2006/relationships/hyperlink" Target="https://acc.autodesk.com/docs/files/projects/1e597176-a716-43f8-be36-fdbb47ecdee5?folderUrn=urn:adsk.wipprod:fs.folder:co.LtnBId7JTK-uXdmmDlFFgA&amp;entityId=urn:adsk.wipprod:dm.lineage:Vg2THPGSQWSGkm20JLMI5Q&amp;viewModel=detail&amp;moduleId=folders" TargetMode="External"/><Relationship Id="rId243" Type="http://schemas.openxmlformats.org/officeDocument/2006/relationships/hyperlink" Target="https://acc.autodesk.com/docs/files/projects/1e597176-a716-43f8-be36-fdbb47ecdee5?folderUrn=urn:adsk.wipprod:fs.folder:co.AJlWibkVQ-q2t3pEX67Fow" TargetMode="External"/><Relationship Id="rId95" Type="http://schemas.openxmlformats.org/officeDocument/2006/relationships/hyperlink" Target="https://acc.autodesk.com/docs/files/projects/1e597176-a716-43f8-be36-fdbb47ecdee5?folderUrn=urn:adsk.wipprod:fs.folder:co.-UKdTAW-SqygJE_069OSDA" TargetMode="External"/><Relationship Id="rId94" Type="http://schemas.openxmlformats.org/officeDocument/2006/relationships/hyperlink" Target="https://acc.autodesk.com/docs/files/projects/1e597176-a716-43f8-be36-fdbb47ecdee5?folderUrn=urn:adsk.wipprod:fs.folder:co.0X3VkD07TZKRc7zUk_8boQ&amp;entityId=urn:adsk.wipprod:dm.lineage:JDn9PP2-S36CG2uTveY9qQ&amp;viewModel=detail&amp;moduleId=folders" TargetMode="External"/><Relationship Id="rId97" Type="http://schemas.openxmlformats.org/officeDocument/2006/relationships/hyperlink" Target="https://acc.autodesk.com/docs/files/projects/1e597176-a716-43f8-be36-fdbb47ecdee5?folderUrn=urn:adsk.wipprod:fs.folder:co.-UKdTAW-SqygJE_069OSDA" TargetMode="External"/><Relationship Id="rId96" Type="http://schemas.openxmlformats.org/officeDocument/2006/relationships/hyperlink" Target="https://acc.autodesk.com/docs/files/projects/1e597176-a716-43f8-be36-fdbb47ecdee5?folderUrn=urn:adsk.wipprod:fs.folder:co.-UKdTAW-SqygJE_069OSDA&amp;entityId=urn:adsk.wipprod:dm.lineage:N0RwPUT1Q_mldnujcmL9gw&amp;viewModel=detail&amp;moduleId=folders" TargetMode="External"/><Relationship Id="rId99" Type="http://schemas.openxmlformats.org/officeDocument/2006/relationships/hyperlink" Target="https://acc.autodesk.com/docs/files/projects/1e597176-a716-43f8-be36-fdbb47ecdee5?folderUrn=urn:adsk.wipprod:fs.folder:co.-UKdTAW-SqygJE_069OSDA" TargetMode="External"/><Relationship Id="rId98" Type="http://schemas.openxmlformats.org/officeDocument/2006/relationships/hyperlink" Target="https://acc.autodesk.com/docs/files/projects/1e597176-a716-43f8-be36-fdbb47ecdee5?folderUrn=urn:adsk.wipprod:fs.folder:co.-UKdTAW-SqygJE_069OSDA&amp;entityId=urn:adsk.wipprod:dm.lineage:xmAutLzRTUio8ag3_wabYA&amp;viewModel=detail&amp;moduleId=folders" TargetMode="External"/><Relationship Id="rId91" Type="http://schemas.openxmlformats.org/officeDocument/2006/relationships/hyperlink" Target="https://acc.autodesk.com/docs/files/projects/1e597176-a716-43f8-be36-fdbb47ecdee5?folderUrn=urn:adsk.wipprod:fs.folder:co.0X3VkD07TZKRc7zUk_8boQ" TargetMode="External"/><Relationship Id="rId90" Type="http://schemas.openxmlformats.org/officeDocument/2006/relationships/hyperlink" Target="https://acc.autodesk.com/docs/files/projects/1e597176-a716-43f8-be36-fdbb47ecdee5?folderUrn=urn:adsk.wipprod:fs.folder:co.0X3VkD07TZKRc7zUk_8boQ&amp;entityId=urn:adsk.wipprod:dm.lineage:PkhoiFCxTF2_QXfJKly1yQ&amp;viewModel=detail&amp;moduleId=folders" TargetMode="External"/><Relationship Id="rId93" Type="http://schemas.openxmlformats.org/officeDocument/2006/relationships/hyperlink" Target="https://acc.autodesk.com/docs/files/projects/1e597176-a716-43f8-be36-fdbb47ecdee5?folderUrn=urn:adsk.wipprod:fs.folder:co.0X3VkD07TZKRc7zUk_8boQ" TargetMode="External"/><Relationship Id="rId92" Type="http://schemas.openxmlformats.org/officeDocument/2006/relationships/hyperlink" Target="https://acc.autodesk.com/docs/files/projects/1e597176-a716-43f8-be36-fdbb47ecdee5?folderUrn=urn:adsk.wipprod:fs.folder:co.0X3VkD07TZKRc7zUk_8boQ&amp;entityId=urn:adsk.wipprod:dm.lineage:V5fqzWfaSS6pZBRSGXoU6Q&amp;viewModel=detail&amp;moduleId=folders" TargetMode="External"/><Relationship Id="rId118" Type="http://schemas.openxmlformats.org/officeDocument/2006/relationships/hyperlink" Target="https://acc.autodesk.com/docs/files/projects/1e597176-a716-43f8-be36-fdbb47ecdee5?folderUrn=urn:adsk.wipprod:fs.folder:co.LtnBId7JTK-uXdmmDlFFgA&amp;entityId=urn:adsk.wipprod:dm.lineage:WvUDFVEQSLWk3hVlFEnBvw&amp;viewModel=detail&amp;moduleId=folders" TargetMode="External"/><Relationship Id="rId239" Type="http://schemas.openxmlformats.org/officeDocument/2006/relationships/hyperlink" Target="https://acc.autodesk.com/docs/files/projects/1e597176-a716-43f8-be36-fdbb47ecdee5?folderUrn=urn:adsk.wipprod:fs.folder:co.AJlWibkVQ-q2t3pEX67Fow" TargetMode="External"/><Relationship Id="rId117" Type="http://schemas.openxmlformats.org/officeDocument/2006/relationships/hyperlink" Target="https://acc.autodesk.com/docs/files/projects/1e597176-a716-43f8-be36-fdbb47ecdee5?folderUrn=urn:adsk.wipprod:fs.folder:co.LtnBId7JTK-uXdmmDlFFgA" TargetMode="External"/><Relationship Id="rId238" Type="http://schemas.openxmlformats.org/officeDocument/2006/relationships/hyperlink" Target="https://acc.autodesk.com/docs/files/projects/1e597176-a716-43f8-be36-fdbb47ecdee5?folderUrn=urn:adsk.wipprod:fs.folder:co.AJlWibkVQ-q2t3pEX67Fow&amp;entityId=urn:adsk.wipprod:dm.lineage:b38mbl2eQtiXUqNCYKarIg&amp;viewModel=detail&amp;moduleId=folders" TargetMode="External"/><Relationship Id="rId116" Type="http://schemas.openxmlformats.org/officeDocument/2006/relationships/hyperlink" Target="https://acc.autodesk.com/docs/files/projects/1e597176-a716-43f8-be36-fdbb47ecdee5?folderUrn=urn:adsk.wipprod:fs.folder:co.LtnBId7JTK-uXdmmDlFFgA&amp;entityId=urn:adsk.wipprod:dm.lineage:lFul9RGMRz2TcseRlcp5Nw&amp;viewModel=detail&amp;moduleId=folders" TargetMode="External"/><Relationship Id="rId237" Type="http://schemas.openxmlformats.org/officeDocument/2006/relationships/hyperlink" Target="https://acc.autodesk.com/docs/files/projects/1e597176-a716-43f8-be36-fdbb47ecdee5?folderUrn=urn:adsk.wipprod:fs.folder:co.AJlWibkVQ-q2t3pEX67Fow" TargetMode="External"/><Relationship Id="rId115" Type="http://schemas.openxmlformats.org/officeDocument/2006/relationships/hyperlink" Target="https://acc.autodesk.com/docs/files/projects/1e597176-a716-43f8-be36-fdbb47ecdee5?folderUrn=urn:adsk.wipprod:fs.folder:co.LtnBId7JTK-uXdmmDlFFgA" TargetMode="External"/><Relationship Id="rId236" Type="http://schemas.openxmlformats.org/officeDocument/2006/relationships/hyperlink" Target="https://acc.autodesk.com/docs/files/projects/1e597176-a716-43f8-be36-fdbb47ecdee5?folderUrn=urn:adsk.wipprod:fs.folder:co.AJlWibkVQ-q2t3pEX67Fow&amp;entityId=urn:adsk.wipprod:dm.lineage:OGHJ1fYoSKah79CYMcUgfA&amp;viewModel=detail&amp;moduleId=folders" TargetMode="External"/><Relationship Id="rId119" Type="http://schemas.openxmlformats.org/officeDocument/2006/relationships/hyperlink" Target="https://acc.autodesk.com/docs/files/projects/1e597176-a716-43f8-be36-fdbb47ecdee5?folderUrn=urn:adsk.wipprod:fs.folder:co.LtnBId7JTK-uXdmmDlFFgA" TargetMode="External"/><Relationship Id="rId110" Type="http://schemas.openxmlformats.org/officeDocument/2006/relationships/hyperlink" Target="https://acc.autodesk.com/docs/files/projects/1e597176-a716-43f8-be36-fdbb47ecdee5?folderUrn=urn:adsk.wipprod:fs.folder:co.LtnBId7JTK-uXdmmDlFFgA&amp;entityId=urn:adsk.wipprod:dm.lineage:-h9jbMDwTjaMlVrYqYpc-Q&amp;viewModel=detail&amp;moduleId=folders" TargetMode="External"/><Relationship Id="rId231" Type="http://schemas.openxmlformats.org/officeDocument/2006/relationships/hyperlink" Target="https://acc.autodesk.com/docs/files/projects/1e597176-a716-43f8-be36-fdbb47ecdee5?folderUrn=urn:adsk.wipprod:fs.folder:co.AJlWibkVQ-q2t3pEX67Fow" TargetMode="External"/><Relationship Id="rId230" Type="http://schemas.openxmlformats.org/officeDocument/2006/relationships/hyperlink" Target="https://acc.autodesk.com/docs/files/projects/1e597176-a716-43f8-be36-fdbb47ecdee5?folderUrn=urn:adsk.wipprod:fs.folder:co.AJlWibkVQ-q2t3pEX67Fow&amp;entityId=urn:adsk.wipprod:dm.lineage:47Kqg80dToqg5WlV5XSgMw&amp;viewModel=detail&amp;moduleId=folders" TargetMode="External"/><Relationship Id="rId114" Type="http://schemas.openxmlformats.org/officeDocument/2006/relationships/hyperlink" Target="https://acc.autodesk.com/docs/files/projects/1e597176-a716-43f8-be36-fdbb47ecdee5?folderUrn=urn:adsk.wipprod:fs.folder:co.LtnBId7JTK-uXdmmDlFFgA&amp;entityId=urn:adsk.wipprod:dm.lineage:rmG_Gt8nSh67R1-9VvCysw&amp;viewModel=detail&amp;moduleId=folders" TargetMode="External"/><Relationship Id="rId235" Type="http://schemas.openxmlformats.org/officeDocument/2006/relationships/hyperlink" Target="https://acc.autodesk.com/docs/files/projects/1e597176-a716-43f8-be36-fdbb47ecdee5?folderUrn=urn:adsk.wipprod:fs.folder:co.AJlWibkVQ-q2t3pEX67Fow" TargetMode="External"/><Relationship Id="rId113" Type="http://schemas.openxmlformats.org/officeDocument/2006/relationships/hyperlink" Target="https://acc.autodesk.com/docs/files/projects/1e597176-a716-43f8-be36-fdbb47ecdee5?folderUrn=urn:adsk.wipprod:fs.folder:co.LtnBId7JTK-uXdmmDlFFgA" TargetMode="External"/><Relationship Id="rId234" Type="http://schemas.openxmlformats.org/officeDocument/2006/relationships/hyperlink" Target="https://acc.autodesk.com/docs/files/projects/1e597176-a716-43f8-be36-fdbb47ecdee5?folderUrn=urn:adsk.wipprod:fs.folder:co.AJlWibkVQ-q2t3pEX67Fow&amp;entityId=urn:adsk.wipprod:dm.lineage:BDBSfvVzSEatQ1mUxvv30Q&amp;viewModel=detail&amp;moduleId=folders" TargetMode="External"/><Relationship Id="rId112" Type="http://schemas.openxmlformats.org/officeDocument/2006/relationships/hyperlink" Target="https://acc.autodesk.com/docs/files/projects/1e597176-a716-43f8-be36-fdbb47ecdee5?folderUrn=urn:adsk.wipprod:fs.folder:co.LtnBId7JTK-uXdmmDlFFgA&amp;entityId=urn:adsk.wipprod:dm.lineage:AEZDUcP2Q4qwAJYGW5hECg&amp;viewModel=detail&amp;moduleId=folders" TargetMode="External"/><Relationship Id="rId233" Type="http://schemas.openxmlformats.org/officeDocument/2006/relationships/hyperlink" Target="https://acc.autodesk.com/docs/files/projects/1e597176-a716-43f8-be36-fdbb47ecdee5?folderUrn=urn:adsk.wipprod:fs.folder:co.AJlWibkVQ-q2t3pEX67Fow" TargetMode="External"/><Relationship Id="rId111" Type="http://schemas.openxmlformats.org/officeDocument/2006/relationships/hyperlink" Target="https://acc.autodesk.com/docs/files/projects/1e597176-a716-43f8-be36-fdbb47ecdee5?folderUrn=urn:adsk.wipprod:fs.folder:co.LtnBId7JTK-uXdmmDlFFgA" TargetMode="External"/><Relationship Id="rId232" Type="http://schemas.openxmlformats.org/officeDocument/2006/relationships/hyperlink" Target="https://acc.autodesk.com/docs/files/projects/1e597176-a716-43f8-be36-fdbb47ecdee5?folderUrn=urn:adsk.wipprod:fs.folder:co.AJlWibkVQ-q2t3pEX67Fow&amp;entityId=urn:adsk.wipprod:dm.lineage:eQM4tTMWSZiHY7DHhjGYCQ&amp;viewModel=detail&amp;moduleId=folders" TargetMode="External"/><Relationship Id="rId206" Type="http://schemas.openxmlformats.org/officeDocument/2006/relationships/hyperlink" Target="https://acc.autodesk.com/docs/files/projects/1e597176-a716-43f8-be36-fdbb47ecdee5?folderUrn=urn:adsk.wipprod:fs.folder:co.UqJ5SedOSpaQm3mvbRIw_Q&amp;entityId=urn:adsk.wipprod:dm.lineage:G2JiuBzLQrKfYa4jjesgNw&amp;viewModel=detail&amp;moduleId=folders" TargetMode="External"/><Relationship Id="rId205" Type="http://schemas.openxmlformats.org/officeDocument/2006/relationships/hyperlink" Target="https://acc.autodesk.com/docs/files/projects/1e597176-a716-43f8-be36-fdbb47ecdee5?folderUrn=urn:adsk.wipprod:fs.folder:co.UqJ5SedOSpaQm3mvbRIw_Q" TargetMode="External"/><Relationship Id="rId204" Type="http://schemas.openxmlformats.org/officeDocument/2006/relationships/hyperlink" Target="https://acc.autodesk.com/docs/files/projects/1e597176-a716-43f8-be36-fdbb47ecdee5?folderUrn=urn:adsk.wipprod:fs.folder:co.UqJ5SedOSpaQm3mvbRIw_Q&amp;entityId=urn:adsk.wipprod:dm.lineage:awRCLfUcQnmVdIoS-ubrDA&amp;viewModel=detail&amp;moduleId=folders" TargetMode="External"/><Relationship Id="rId203" Type="http://schemas.openxmlformats.org/officeDocument/2006/relationships/hyperlink" Target="https://acc.autodesk.com/docs/files/projects/1e597176-a716-43f8-be36-fdbb47ecdee5?folderUrn=urn:adsk.wipprod:fs.folder:co.UqJ5SedOSpaQm3mvbRIw_Q" TargetMode="External"/><Relationship Id="rId209" Type="http://schemas.openxmlformats.org/officeDocument/2006/relationships/hyperlink" Target="https://acc.autodesk.com/docs/files/projects/1e597176-a716-43f8-be36-fdbb47ecdee5?folderUrn=urn:adsk.wipprod:fs.folder:co.UqJ5SedOSpaQm3mvbRIw_Q" TargetMode="External"/><Relationship Id="rId208" Type="http://schemas.openxmlformats.org/officeDocument/2006/relationships/hyperlink" Target="https://acc.autodesk.com/docs/files/projects/1e597176-a716-43f8-be36-fdbb47ecdee5?folderUrn=urn:adsk.wipprod:fs.folder:co.UqJ5SedOSpaQm3mvbRIw_Q&amp;entityId=urn:adsk.wipprod:dm.lineage:cJHtoae8RCu7tm0QYlRmYA&amp;viewModel=detail&amp;moduleId=folders" TargetMode="External"/><Relationship Id="rId207" Type="http://schemas.openxmlformats.org/officeDocument/2006/relationships/hyperlink" Target="https://acc.autodesk.com/docs/files/projects/1e597176-a716-43f8-be36-fdbb47ecdee5?folderUrn=urn:adsk.wipprod:fs.folder:co.UqJ5SedOSpaQm3mvbRIw_Q" TargetMode="External"/><Relationship Id="rId202" Type="http://schemas.openxmlformats.org/officeDocument/2006/relationships/hyperlink" Target="https://acc.autodesk.com/docs/files/projects/1e597176-a716-43f8-be36-fdbb47ecdee5?folderUrn=urn:adsk.wipprod:fs.folder:co.UqJ5SedOSpaQm3mvbRIw_Q&amp;entityId=urn:adsk.wipprod:dm.lineage:PvIdnEl8RHml0ihKkIHCPA&amp;viewModel=detail&amp;moduleId=folders" TargetMode="External"/><Relationship Id="rId201" Type="http://schemas.openxmlformats.org/officeDocument/2006/relationships/hyperlink" Target="https://acc.autodesk.com/docs/files/projects/1e597176-a716-43f8-be36-fdbb47ecdee5?folderUrn=urn:adsk.wipprod:fs.folder:co.UqJ5SedOSpaQm3mvbRIw_Q" TargetMode="External"/><Relationship Id="rId200" Type="http://schemas.openxmlformats.org/officeDocument/2006/relationships/hyperlink" Target="https://acc.autodesk.com/docs/files/projects/1e597176-a716-43f8-be36-fdbb47ecdee5?folderUrn=urn:adsk.wipprod:fs.folder:co.UqJ5SedOSpaQm3mvbRIw_Q&amp;entityId=urn:adsk.wipprod:dm.lineage:-TRv-skTRHCtao2b8_C-WA&amp;viewModel=detail&amp;moduleId=folders"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acc.autodesk.com/docs/files/projects/1e597176-a716-43f8-be36-fdbb47ecdee5?folderUrn=urn:adsk.wipprod:fs.folder:co.BtADxt2wTy-hdvOnJPUroQ&amp;entityId=urn:adsk.wipprod:dm.lineage:2cxHUmInTLW9PXGuAAG5-g&amp;viewModel=detail&amp;moduleId=folders" TargetMode="External"/><Relationship Id="rId194" Type="http://schemas.openxmlformats.org/officeDocument/2006/relationships/hyperlink" Target="https://acc.autodesk.com/docs/files/projects/1e597176-a716-43f8-be36-fdbb47ecdee5?folderUrn=urn:adsk.wipprod:fs.folder:co.BtADxt2wTy-hdvOnJPUroQ&amp;entityId=urn:adsk.wipprod:dm.lineage:rPYrxNa4SAiGd4mvi5xfvw&amp;viewModel=detail&amp;moduleId=folders" TargetMode="External"/><Relationship Id="rId193" Type="http://schemas.openxmlformats.org/officeDocument/2006/relationships/hyperlink" Target="https://acc.autodesk.com/docs/files/projects/1e597176-a716-43f8-be36-fdbb47ecdee5?folderUrn=urn:adsk.wipprod:fs.folder:co.BtADxt2wTy-hdvOnJPUroQ" TargetMode="External"/><Relationship Id="rId192" Type="http://schemas.openxmlformats.org/officeDocument/2006/relationships/hyperlink" Target="https://acc.autodesk.com/docs/files/projects/1e597176-a716-43f8-be36-fdbb47ecdee5?folderUrn=urn:adsk.wipprod:fs.folder:co.BtADxt2wTy-hdvOnJPUroQ&amp;entityId=urn:adsk.wipprod:dm.lineage:mpdTZhuTTbOPYMnoTZRVpw&amp;viewModel=detail&amp;moduleId=folders" TargetMode="External"/><Relationship Id="rId191" Type="http://schemas.openxmlformats.org/officeDocument/2006/relationships/hyperlink" Target="https://acc.autodesk.com/docs/files/projects/1e597176-a716-43f8-be36-fdbb47ecdee5?folderUrn=urn:adsk.wipprod:fs.folder:co.BtADxt2wTy-hdvOnJPUroQ" TargetMode="External"/><Relationship Id="rId187" Type="http://schemas.openxmlformats.org/officeDocument/2006/relationships/hyperlink" Target="https://acc.autodesk.com/docs/files/projects/1e597176-a716-43f8-be36-fdbb47ecdee5?folderUrn=urn:adsk.wipprod:fs.folder:co.BtADxt2wTy-hdvOnJPUroQ" TargetMode="External"/><Relationship Id="rId186" Type="http://schemas.openxmlformats.org/officeDocument/2006/relationships/hyperlink" Target="https://acc.autodesk.com/docs/files/projects/1e597176-a716-43f8-be36-fdbb47ecdee5?folderUrn=urn:adsk.wipprod:fs.folder:co.BtADxt2wTy-hdvOnJPUroQ&amp;entityId=urn:adsk.wipprod:dm.lineage:7vlIwFunRj21g6myrKE1Vw&amp;viewModel=detail&amp;moduleId=folders" TargetMode="External"/><Relationship Id="rId185" Type="http://schemas.openxmlformats.org/officeDocument/2006/relationships/hyperlink" Target="https://acc.autodesk.com/docs/files/projects/1e597176-a716-43f8-be36-fdbb47ecdee5?folderUrn=urn:adsk.wipprod:fs.folder:co.BtADxt2wTy-hdvOnJPUroQ" TargetMode="External"/><Relationship Id="rId184" Type="http://schemas.openxmlformats.org/officeDocument/2006/relationships/hyperlink" Target="https://acc.autodesk.com/docs/files/projects/1e597176-a716-43f8-be36-fdbb47ecdee5?folderUrn=urn:adsk.wipprod:fs.folder:co.BtADxt2wTy-hdvOnJPUroQ&amp;entityId=urn:adsk.wipprod:dm.lineage:_VT_byTgRJeJ4OhG2jYODw&amp;viewModel=detail&amp;moduleId=folders" TargetMode="External"/><Relationship Id="rId189" Type="http://schemas.openxmlformats.org/officeDocument/2006/relationships/hyperlink" Target="https://acc.autodesk.com/docs/files/projects/1e597176-a716-43f8-be36-fdbb47ecdee5?folderUrn=urn:adsk.wipprod:fs.folder:co.BtADxt2wTy-hdvOnJPUroQ" TargetMode="External"/><Relationship Id="rId188" Type="http://schemas.openxmlformats.org/officeDocument/2006/relationships/hyperlink" Target="https://acc.autodesk.com/docs/files/projects/1e597176-a716-43f8-be36-fdbb47ecdee5?folderUrn=urn:adsk.wipprod:fs.folder:co.BtADxt2wTy-hdvOnJPUroQ&amp;entityId=urn:adsk.wipprod:dm.lineage:C2jt9gl1SyONNjPnjr337Q&amp;viewModel=detail&amp;moduleId=folders" TargetMode="External"/><Relationship Id="rId183" Type="http://schemas.openxmlformats.org/officeDocument/2006/relationships/hyperlink" Target="https://acc.autodesk.com/docs/files/projects/1e597176-a716-43f8-be36-fdbb47ecdee5?folderUrn=urn:adsk.wipprod:fs.folder:co.BtADxt2wTy-hdvOnJPUroQ" TargetMode="External"/><Relationship Id="rId182" Type="http://schemas.openxmlformats.org/officeDocument/2006/relationships/hyperlink" Target="https://acc.autodesk.com/docs/files/projects/1e597176-a716-43f8-be36-fdbb47ecdee5?folderUrn=urn:adsk.wipprod:fs.folder:co.BtADxt2wTy-hdvOnJPUroQ&amp;entityId=urn:adsk.wipprod:dm.lineage:mggmpN5iQBKZH570tUmfjQ&amp;viewModel=detail&amp;moduleId=folders" TargetMode="External"/><Relationship Id="rId181" Type="http://schemas.openxmlformats.org/officeDocument/2006/relationships/hyperlink" Target="https://acc.autodesk.com/docs/files/projects/1e597176-a716-43f8-be36-fdbb47ecdee5?folderUrn=urn:adsk.wipprod:fs.folder:co.BtADxt2wTy-hdvOnJPUroQ" TargetMode="External"/><Relationship Id="rId180" Type="http://schemas.openxmlformats.org/officeDocument/2006/relationships/hyperlink" Target="https://acc.autodesk.com/docs/files/projects/1e597176-a716-43f8-be36-fdbb47ecdee5?folderUrn=urn:adsk.wipprod:fs.folder:co.BtADxt2wTy-hdvOnJPUroQ&amp;entityId=urn:adsk.wipprod:dm.lineage:eEx8-ufQRAqrSNWn8Yyt3A&amp;viewModel=detail&amp;moduleId=folders" TargetMode="External"/><Relationship Id="rId176" Type="http://schemas.openxmlformats.org/officeDocument/2006/relationships/hyperlink" Target="https://acc.autodesk.com/docs/files/projects/1e597176-a716-43f8-be36-fdbb47ecdee5?folderUrn=urn:adsk.wipprod:fs.folder:co.BtADxt2wTy-hdvOnJPUroQ&amp;entityId=urn:adsk.wipprod:dm.lineage:ViX9c0i5QWGOF7UypgYLNg&amp;viewModel=detail&amp;moduleId=folders" TargetMode="External"/><Relationship Id="rId297" Type="http://schemas.openxmlformats.org/officeDocument/2006/relationships/hyperlink" Target="https://acc.autodesk.com/docs/files/projects/1e597176-a716-43f8-be36-fdbb47ecdee5?folderUrn=urn:adsk.wipprod:fs.folder:co.FxNM7TmRQoCV0Idg7eQ7qQ" TargetMode="External"/><Relationship Id="rId175" Type="http://schemas.openxmlformats.org/officeDocument/2006/relationships/hyperlink" Target="https://acc.autodesk.com/docs/files/projects/1e597176-a716-43f8-be36-fdbb47ecdee5?folderUrn=urn:adsk.wipprod:fs.folder:co.BtADxt2wTy-hdvOnJPUroQ" TargetMode="External"/><Relationship Id="rId296" Type="http://schemas.openxmlformats.org/officeDocument/2006/relationships/hyperlink" Target="https://acc.autodesk.com/docs/files/projects/1e597176-a716-43f8-be36-fdbb47ecdee5?folderUrn=urn:adsk.wipprod:fs.folder:co.FxNM7TmRQoCV0Idg7eQ7qQ&amp;entityId=urn:adsk.wipprod:dm.lineage:b8_VsSNPQeu6nsvaNKKLHg&amp;viewModel=detail&amp;moduleId=folders" TargetMode="External"/><Relationship Id="rId174" Type="http://schemas.openxmlformats.org/officeDocument/2006/relationships/hyperlink" Target="https://acc.autodesk.com/docs/files/projects/1e597176-a716-43f8-be36-fdbb47ecdee5?folderUrn=urn:adsk.wipprod:fs.folder:co.BtADxt2wTy-hdvOnJPUroQ&amp;entityId=urn:adsk.wipprod:dm.lineage:95gzS8_oTa2hOtvqgqzUgA&amp;viewModel=detail&amp;moduleId=folders" TargetMode="External"/><Relationship Id="rId295" Type="http://schemas.openxmlformats.org/officeDocument/2006/relationships/hyperlink" Target="https://acc.autodesk.com/docs/files/projects/1e597176-a716-43f8-be36-fdbb47ecdee5?folderUrn=urn:adsk.wipprod:fs.folder:co.FxNM7TmRQoCV0Idg7eQ7qQ" TargetMode="External"/><Relationship Id="rId173" Type="http://schemas.openxmlformats.org/officeDocument/2006/relationships/hyperlink" Target="https://acc.autodesk.com/docs/files/projects/1e597176-a716-43f8-be36-fdbb47ecdee5?folderUrn=urn:adsk.wipprod:fs.folder:co.BtADxt2wTy-hdvOnJPUroQ" TargetMode="External"/><Relationship Id="rId294" Type="http://schemas.openxmlformats.org/officeDocument/2006/relationships/hyperlink" Target="https://acc.autodesk.com/docs/files/projects/1e597176-a716-43f8-be36-fdbb47ecdee5?folderUrn=urn:adsk.wipprod:fs.folder:co.FxNM7TmRQoCV0Idg7eQ7qQ&amp;entityId=urn:adsk.wipprod:dm.lineage:N1yEbPAER66MtyUOIJ__XA&amp;viewModel=detail&amp;moduleId=folders" TargetMode="External"/><Relationship Id="rId179" Type="http://schemas.openxmlformats.org/officeDocument/2006/relationships/hyperlink" Target="https://acc.autodesk.com/docs/files/projects/1e597176-a716-43f8-be36-fdbb47ecdee5?folderUrn=urn:adsk.wipprod:fs.folder:co.BtADxt2wTy-hdvOnJPUroQ" TargetMode="External"/><Relationship Id="rId178" Type="http://schemas.openxmlformats.org/officeDocument/2006/relationships/hyperlink" Target="https://acc.autodesk.com/docs/files/projects/1e597176-a716-43f8-be36-fdbb47ecdee5?folderUrn=urn:adsk.wipprod:fs.folder:co.BtADxt2wTy-hdvOnJPUroQ&amp;entityId=urn:adsk.wipprod:dm.lineage:DfctWK9BT467E8Re23_JHw&amp;viewModel=detail&amp;moduleId=folders" TargetMode="External"/><Relationship Id="rId299" Type="http://schemas.openxmlformats.org/officeDocument/2006/relationships/hyperlink" Target="https://acc.autodesk.com/docs/files/projects/1e597176-a716-43f8-be36-fdbb47ecdee5?folderUrn=urn:adsk.wipprod:fs.folder:co.FxNM7TmRQoCV0Idg7eQ7qQ" TargetMode="External"/><Relationship Id="rId177" Type="http://schemas.openxmlformats.org/officeDocument/2006/relationships/hyperlink" Target="https://acc.autodesk.com/docs/files/projects/1e597176-a716-43f8-be36-fdbb47ecdee5?folderUrn=urn:adsk.wipprod:fs.folder:co.BtADxt2wTy-hdvOnJPUroQ" TargetMode="External"/><Relationship Id="rId298" Type="http://schemas.openxmlformats.org/officeDocument/2006/relationships/hyperlink" Target="https://acc.autodesk.com/docs/files/projects/1e597176-a716-43f8-be36-fdbb47ecdee5?folderUrn=urn:adsk.wipprod:fs.folder:co.FxNM7TmRQoCV0Idg7eQ7qQ&amp;entityId=urn:adsk.wipprod:dm.lineage:QONEU33US3mnbQsRUakqRA&amp;viewModel=detail&amp;moduleId=folders" TargetMode="External"/><Relationship Id="rId198" Type="http://schemas.openxmlformats.org/officeDocument/2006/relationships/hyperlink" Target="https://acc.autodesk.com/docs/files/projects/1e597176-a716-43f8-be36-fdbb47ecdee5?folderUrn=urn:adsk.wipprod:fs.folder:co.BtADxt2wTy-hdvOnJPUroQ&amp;entityId=urn:adsk.wipprod:dm.lineage:PWEummsDQ6yjvm1MtLnqLw&amp;viewModel=detail&amp;moduleId=folders" TargetMode="External"/><Relationship Id="rId197" Type="http://schemas.openxmlformats.org/officeDocument/2006/relationships/hyperlink" Target="https://acc.autodesk.com/docs/files/projects/1e597176-a716-43f8-be36-fdbb47ecdee5?folderUrn=urn:adsk.wipprod:fs.folder:co.BtADxt2wTy-hdvOnJPUroQ" TargetMode="External"/><Relationship Id="rId196" Type="http://schemas.openxmlformats.org/officeDocument/2006/relationships/hyperlink" Target="https://acc.autodesk.com/docs/files/projects/1e597176-a716-43f8-be36-fdbb47ecdee5?folderUrn=urn:adsk.wipprod:fs.folder:co.BtADxt2wTy-hdvOnJPUroQ&amp;entityId=urn:adsk.wipprod:dm.lineage:2GDClDTdQLOL9lj41Kq3ag&amp;viewModel=detail&amp;moduleId=folders" TargetMode="External"/><Relationship Id="rId195" Type="http://schemas.openxmlformats.org/officeDocument/2006/relationships/hyperlink" Target="https://acc.autodesk.com/docs/files/projects/1e597176-a716-43f8-be36-fdbb47ecdee5?folderUrn=urn:adsk.wipprod:fs.folder:co.BtADxt2wTy-hdvOnJPUroQ" TargetMode="External"/><Relationship Id="rId199" Type="http://schemas.openxmlformats.org/officeDocument/2006/relationships/hyperlink" Target="https://acc.autodesk.com/docs/files/projects/1e597176-a716-43f8-be36-fdbb47ecdee5?folderUrn=urn:adsk.wipprod:fs.folder:co.BtADxt2wTy-hdvOnJPUroQ" TargetMode="External"/><Relationship Id="rId150" Type="http://schemas.openxmlformats.org/officeDocument/2006/relationships/hyperlink" Target="https://acc.autodesk.com/docs/files/projects/1e597176-a716-43f8-be36-fdbb47ecdee5?folderUrn=urn:adsk.wipprod:fs.folder:co.7NiVimFoQNGaJytOMwaTgQ&amp;entityId=urn:adsk.wipprod:dm.lineage:-dnvR1-0R9OeB48kOyCUxA&amp;viewModel=detail&amp;moduleId=folders" TargetMode="External"/><Relationship Id="rId271" Type="http://schemas.openxmlformats.org/officeDocument/2006/relationships/hyperlink" Target="https://acc.autodesk.com/docs/files/projects/1e597176-a716-43f8-be36-fdbb47ecdee5?folderUrn=urn:adsk.wipprod:fs.folder:co.FxNM7TmRQoCV0Idg7eQ7qQ" TargetMode="External"/><Relationship Id="rId392" Type="http://schemas.openxmlformats.org/officeDocument/2006/relationships/hyperlink" Target="https://acc.autodesk.com/docs/files/projects/1e597176-a716-43f8-be36-fdbb47ecdee5?folderUrn=urn:adsk.wipprod:fs.folder:co.412vmwRUS5WvAkIPx4HNUw&amp;entityId=urn:adsk.wipprod:dm.lineage:p8S4iBOBQNyyKoUTn3XYzQ&amp;viewModel=detail&amp;moduleId=folders" TargetMode="External"/><Relationship Id="rId270" Type="http://schemas.openxmlformats.org/officeDocument/2006/relationships/hyperlink" Target="https://acc.autodesk.com/docs/files/projects/1e597176-a716-43f8-be36-fdbb47ecdee5?folderUrn=urn:adsk.wipprod:fs.folder:co.FxNM7TmRQoCV0Idg7eQ7qQ&amp;entityId=urn:adsk.wipprod:dm.lineage:NEmJEWLPTkaQeQeEql0N8A&amp;viewModel=detail&amp;moduleId=folders" TargetMode="External"/><Relationship Id="rId391" Type="http://schemas.openxmlformats.org/officeDocument/2006/relationships/hyperlink" Target="https://acc.autodesk.com/docs/files/projects/1e597176-a716-43f8-be36-fdbb47ecdee5?folderUrn=urn:adsk.wipprod:fs.folder:co.412vmwRUS5WvAkIPx4HNUw" TargetMode="External"/><Relationship Id="rId390" Type="http://schemas.openxmlformats.org/officeDocument/2006/relationships/hyperlink" Target="https://acc.autodesk.com/docs/files/projects/1e597176-a716-43f8-be36-fdbb47ecdee5?folderUrn=urn:adsk.wipprod:fs.folder:co.412vmwRUS5WvAkIPx4HNUw&amp;entityId=urn:adsk.wipprod:dm.lineage:V0PTdbbrTaics-U47tkjSg&amp;viewModel=detail&amp;moduleId=folders" TargetMode="External"/><Relationship Id="rId1" Type="http://schemas.openxmlformats.org/officeDocument/2006/relationships/hyperlink" Target="https://acc.autodesk.com/docs/files/projects/1e597176-a716-43f8-be36-fdbb47ecdee5?folderUrn=urn:adsk.wipprod:fs.folder:co.Qy7tJjVUQXqthtbCwFzLqw" TargetMode="External"/><Relationship Id="rId2" Type="http://schemas.openxmlformats.org/officeDocument/2006/relationships/hyperlink" Target="https://acc.autodesk.com/docs/files/projects/1e597176-a716-43f8-be36-fdbb47ecdee5?folderUrn=urn:adsk.wipprod:fs.folder:co.Qy7tJjVUQXqthtbCwFzLqw&amp;entityId=urn:adsk.wipprod:dm.lineage:oEvuU9FUSeiPoWHQ2hYAvQ&amp;viewModel=detail&amp;moduleId=folders" TargetMode="External"/><Relationship Id="rId3" Type="http://schemas.openxmlformats.org/officeDocument/2006/relationships/hyperlink" Target="https://acc.autodesk.com/docs/files/projects/1e597176-a716-43f8-be36-fdbb47ecdee5?folderUrn=urn:adsk.wipprod:fs.folder:co.Qy7tJjVUQXqthtbCwFzLqw" TargetMode="External"/><Relationship Id="rId149" Type="http://schemas.openxmlformats.org/officeDocument/2006/relationships/hyperlink" Target="https://acc.autodesk.com/docs/files/projects/1e597176-a716-43f8-be36-fdbb47ecdee5?folderUrn=urn:adsk.wipprod:fs.folder:co.7NiVimFoQNGaJytOMwaTgQ" TargetMode="External"/><Relationship Id="rId4" Type="http://schemas.openxmlformats.org/officeDocument/2006/relationships/hyperlink" Target="https://acc.autodesk.com/docs/files/projects/1e597176-a716-43f8-be36-fdbb47ecdee5?folderUrn=urn:adsk.wipprod:fs.folder:co.Qy7tJjVUQXqthtbCwFzLqw&amp;entityId=urn:adsk.wipprod:dm.lineage:zWX24uusSemo4Ph2Wwf4mQ&amp;viewModel=detail&amp;moduleId=folders" TargetMode="External"/><Relationship Id="rId148" Type="http://schemas.openxmlformats.org/officeDocument/2006/relationships/hyperlink" Target="https://acc.autodesk.com/docs/files/projects/1e597176-a716-43f8-be36-fdbb47ecdee5?folderUrn=urn:adsk.wipprod:fs.folder:co.7NiVimFoQNGaJytOMwaTgQ&amp;entityId=urn:adsk.wipprod:dm.lineage:fCq5eSWWQf2OqaZsXLrWIw&amp;viewModel=detail&amp;moduleId=folders" TargetMode="External"/><Relationship Id="rId269" Type="http://schemas.openxmlformats.org/officeDocument/2006/relationships/hyperlink" Target="https://acc.autodesk.com/docs/files/projects/1e597176-a716-43f8-be36-fdbb47ecdee5?folderUrn=urn:adsk.wipprod:fs.folder:co.FxNM7TmRQoCV0Idg7eQ7qQ" TargetMode="External"/><Relationship Id="rId9" Type="http://schemas.openxmlformats.org/officeDocument/2006/relationships/hyperlink" Target="https://acc.autodesk.com/docs/files/projects/1e597176-a716-43f8-be36-fdbb47ecdee5?folderUrn=urn:adsk.wipprod:fs.folder:co.Qy7tJjVUQXqthtbCwFzLqw" TargetMode="External"/><Relationship Id="rId143" Type="http://schemas.openxmlformats.org/officeDocument/2006/relationships/hyperlink" Target="https://acc.autodesk.com/docs/files/projects/1e597176-a716-43f8-be36-fdbb47ecdee5?folderUrn=urn:adsk.wipprod:fs.folder:co.ZUedFvpiSlenX0IHVAo8cA" TargetMode="External"/><Relationship Id="rId264" Type="http://schemas.openxmlformats.org/officeDocument/2006/relationships/hyperlink" Target="https://acc.autodesk.com/docs/files/projects/1e597176-a716-43f8-be36-fdbb47ecdee5?folderUrn=urn:adsk.wipprod:fs.folder:co.gneW-1t2SpuUo6Nf7Rj1vQ&amp;entityId=urn:adsk.wipprod:dm.lineage:uOgXBoe5TvGbh-22zEnypQ&amp;viewModel=detail&amp;moduleId=folders" TargetMode="External"/><Relationship Id="rId385" Type="http://schemas.openxmlformats.org/officeDocument/2006/relationships/hyperlink" Target="https://acc.autodesk.com/docs/files/projects/1e597176-a716-43f8-be36-fdbb47ecdee5?folderUrn=urn:adsk.wipprod:fs.folder:co.412vmwRUS5WvAkIPx4HNUw" TargetMode="External"/><Relationship Id="rId142" Type="http://schemas.openxmlformats.org/officeDocument/2006/relationships/hyperlink" Target="https://acc.autodesk.com/docs/files/projects/1e597176-a716-43f8-be36-fdbb47ecdee5?folderUrn=urn:adsk.wipprod:fs.folder:co.ZUedFvpiSlenX0IHVAo8cA&amp;entityId=urn:adsk.wipprod:dm.lineage:O6wqcZczQTKFWMlQ3DqwWQ&amp;viewModel=detail&amp;moduleId=folders" TargetMode="External"/><Relationship Id="rId263" Type="http://schemas.openxmlformats.org/officeDocument/2006/relationships/hyperlink" Target="https://acc.autodesk.com/docs/files/projects/1e597176-a716-43f8-be36-fdbb47ecdee5?folderUrn=urn:adsk.wipprod:fs.folder:co.gneW-1t2SpuUo6Nf7Rj1vQ" TargetMode="External"/><Relationship Id="rId384" Type="http://schemas.openxmlformats.org/officeDocument/2006/relationships/hyperlink" Target="https://acc.autodesk.com/docs/files/projects/1e597176-a716-43f8-be36-fdbb47ecdee5?folderUrn=urn:adsk.wipprod:fs.folder:co.412vmwRUS5WvAkIPx4HNUw&amp;entityId=urn:adsk.wipprod:dm.lineage:KVGithKSTwOgSYAgnbTyeQ&amp;viewModel=detail&amp;moduleId=folders" TargetMode="External"/><Relationship Id="rId141" Type="http://schemas.openxmlformats.org/officeDocument/2006/relationships/hyperlink" Target="https://acc.autodesk.com/docs/files/projects/1e597176-a716-43f8-be36-fdbb47ecdee5?folderUrn=urn:adsk.wipprod:fs.folder:co.ZUedFvpiSlenX0IHVAo8cA" TargetMode="External"/><Relationship Id="rId262" Type="http://schemas.openxmlformats.org/officeDocument/2006/relationships/hyperlink" Target="https://acc.autodesk.com/docs/files/projects/1e597176-a716-43f8-be36-fdbb47ecdee5?folderUrn=urn:adsk.wipprod:fs.folder:co.gneW-1t2SpuUo6Nf7Rj1vQ&amp;entityId=urn:adsk.wipprod:dm.lineage:JgS6lPPvQ8Cv3Lvw7_x7eA&amp;viewModel=detail&amp;moduleId=folders" TargetMode="External"/><Relationship Id="rId383" Type="http://schemas.openxmlformats.org/officeDocument/2006/relationships/hyperlink" Target="https://acc.autodesk.com/docs/files/projects/1e597176-a716-43f8-be36-fdbb47ecdee5?folderUrn=urn:adsk.wipprod:fs.folder:co.412vmwRUS5WvAkIPx4HNUw" TargetMode="External"/><Relationship Id="rId140" Type="http://schemas.openxmlformats.org/officeDocument/2006/relationships/hyperlink" Target="https://acc.autodesk.com/docs/files/projects/1e597176-a716-43f8-be36-fdbb47ecdee5?folderUrn=urn:adsk.wipprod:fs.folder:co.ZUedFvpiSlenX0IHVAo8cA&amp;entityId=urn:adsk.wipprod:dm.lineage:6PAByJp9QRivhubyTH8z3g&amp;viewModel=detail&amp;moduleId=folders" TargetMode="External"/><Relationship Id="rId261" Type="http://schemas.openxmlformats.org/officeDocument/2006/relationships/hyperlink" Target="https://acc.autodesk.com/docs/files/projects/1e597176-a716-43f8-be36-fdbb47ecdee5?folderUrn=urn:adsk.wipprod:fs.folder:co.gneW-1t2SpuUo6Nf7Rj1vQ" TargetMode="External"/><Relationship Id="rId382" Type="http://schemas.openxmlformats.org/officeDocument/2006/relationships/hyperlink" Target="https://acc.autodesk.com/docs/files/projects/1e597176-a716-43f8-be36-fdbb47ecdee5?folderUrn=urn:adsk.wipprod:fs.folder:co.412vmwRUS5WvAkIPx4HNUw&amp;entityId=urn:adsk.wipprod:dm.lineage:-UIX7spZQ5G7EACyoTPdTA&amp;viewModel=detail&amp;moduleId=folders" TargetMode="External"/><Relationship Id="rId5" Type="http://schemas.openxmlformats.org/officeDocument/2006/relationships/hyperlink" Target="https://acc.autodesk.com/docs/files/projects/1e597176-a716-43f8-be36-fdbb47ecdee5?folderUrn=urn:adsk.wipprod:fs.folder:co.Qy7tJjVUQXqthtbCwFzLqw" TargetMode="External"/><Relationship Id="rId147" Type="http://schemas.openxmlformats.org/officeDocument/2006/relationships/hyperlink" Target="https://acc.autodesk.com/docs/files/projects/1e597176-a716-43f8-be36-fdbb47ecdee5?folderUrn=urn:adsk.wipprod:fs.folder:co.7NiVimFoQNGaJytOMwaTgQ" TargetMode="External"/><Relationship Id="rId268" Type="http://schemas.openxmlformats.org/officeDocument/2006/relationships/hyperlink" Target="https://acc.autodesk.com/docs/files/projects/1e597176-a716-43f8-be36-fdbb47ecdee5?folderUrn=urn:adsk.wipprod:fs.folder:co.FxNM7TmRQoCV0Idg7eQ7qQ&amp;entityId=urn:adsk.wipprod:dm.lineage:uE6CejTKTQGqPHWhhLgSgg&amp;viewModel=detail&amp;moduleId=folders" TargetMode="External"/><Relationship Id="rId389" Type="http://schemas.openxmlformats.org/officeDocument/2006/relationships/hyperlink" Target="https://acc.autodesk.com/docs/files/projects/1e597176-a716-43f8-be36-fdbb47ecdee5?folderUrn=urn:adsk.wipprod:fs.folder:co.412vmwRUS5WvAkIPx4HNUw" TargetMode="External"/><Relationship Id="rId6" Type="http://schemas.openxmlformats.org/officeDocument/2006/relationships/hyperlink" Target="https://acc.autodesk.com/docs/files/projects/1e597176-a716-43f8-be36-fdbb47ecdee5?folderUrn=urn:adsk.wipprod:fs.folder:co.Qy7tJjVUQXqthtbCwFzLqw&amp;entityId=urn:adsk.wipprod:dm.lineage:cNn3njrJSHiDhNp5wrayPw&amp;viewModel=detail&amp;moduleId=folders" TargetMode="External"/><Relationship Id="rId146" Type="http://schemas.openxmlformats.org/officeDocument/2006/relationships/hyperlink" Target="https://acc.autodesk.com/docs/files/projects/1e597176-a716-43f8-be36-fdbb47ecdee5?folderUrn=urn:adsk.wipprod:fs.folder:co.ZUedFvpiSlenX0IHVAo8cA&amp;entityId=urn:adsk.wipprod:dm.lineage:4k6zm8xlTtSRH5nTxq1YlQ&amp;viewModel=detail&amp;moduleId=folders" TargetMode="External"/><Relationship Id="rId267" Type="http://schemas.openxmlformats.org/officeDocument/2006/relationships/hyperlink" Target="https://acc.autodesk.com/docs/files/projects/1e597176-a716-43f8-be36-fdbb47ecdee5?folderUrn=urn:adsk.wipprod:fs.folder:co.FxNM7TmRQoCV0Idg7eQ7qQ" TargetMode="External"/><Relationship Id="rId388" Type="http://schemas.openxmlformats.org/officeDocument/2006/relationships/hyperlink" Target="https://acc.autodesk.com/docs/files/projects/1e597176-a716-43f8-be36-fdbb47ecdee5?folderUrn=urn:adsk.wipprod:fs.folder:co.412vmwRUS5WvAkIPx4HNUw&amp;entityId=urn:adsk.wipprod:dm.lineage:yzpkuKe8TQ6yxUts6TPCFQ&amp;viewModel=detail&amp;moduleId=folders" TargetMode="External"/><Relationship Id="rId7" Type="http://schemas.openxmlformats.org/officeDocument/2006/relationships/hyperlink" Target="https://acc.autodesk.com/docs/files/projects/1e597176-a716-43f8-be36-fdbb47ecdee5?folderUrn=urn:adsk.wipprod:fs.folder:co.Qy7tJjVUQXqthtbCwFzLqw" TargetMode="External"/><Relationship Id="rId145" Type="http://schemas.openxmlformats.org/officeDocument/2006/relationships/hyperlink" Target="https://acc.autodesk.com/docs/files/projects/1e597176-a716-43f8-be36-fdbb47ecdee5?folderUrn=urn:adsk.wipprod:fs.folder:co.ZUedFvpiSlenX0IHVAo8cA" TargetMode="External"/><Relationship Id="rId266" Type="http://schemas.openxmlformats.org/officeDocument/2006/relationships/hyperlink" Target="https://acc.autodesk.com/docs/files/projects/1e597176-a716-43f8-be36-fdbb47ecdee5?folderUrn=urn:adsk.wipprod:fs.folder:co.gneW-1t2SpuUo6Nf7Rj1vQ&amp;entityId=urn:adsk.wipprod:dm.lineage:95u00VkWQ7yNpRxzLdR9Mw&amp;viewModel=detail&amp;moduleId=folders" TargetMode="External"/><Relationship Id="rId387" Type="http://schemas.openxmlformats.org/officeDocument/2006/relationships/hyperlink" Target="https://acc.autodesk.com/docs/files/projects/1e597176-a716-43f8-be36-fdbb47ecdee5?folderUrn=urn:adsk.wipprod:fs.folder:co.412vmwRUS5WvAkIPx4HNUw" TargetMode="External"/><Relationship Id="rId8" Type="http://schemas.openxmlformats.org/officeDocument/2006/relationships/hyperlink" Target="https://acc.autodesk.com/docs/files/projects/1e597176-a716-43f8-be36-fdbb47ecdee5?folderUrn=urn:adsk.wipprod:fs.folder:co.Qy7tJjVUQXqthtbCwFzLqw&amp;entityId=urn:adsk.wipprod:dm.lineage:GZ9mvFPKTgmDZNZffxo7PQ&amp;viewModel=detail&amp;moduleId=folders" TargetMode="External"/><Relationship Id="rId144" Type="http://schemas.openxmlformats.org/officeDocument/2006/relationships/hyperlink" Target="https://acc.autodesk.com/docs/files/projects/1e597176-a716-43f8-be36-fdbb47ecdee5?folderUrn=urn:adsk.wipprod:fs.folder:co.ZUedFvpiSlenX0IHVAo8cA&amp;entityId=urn:adsk.wipprod:dm.lineage:yRFQeVhARFWC-weg0VqD-w&amp;viewModel=detail&amp;moduleId=folders" TargetMode="External"/><Relationship Id="rId265" Type="http://schemas.openxmlformats.org/officeDocument/2006/relationships/hyperlink" Target="https://acc.autodesk.com/docs/files/projects/1e597176-a716-43f8-be36-fdbb47ecdee5?folderUrn=urn:adsk.wipprod:fs.folder:co.gneW-1t2SpuUo6Nf7Rj1vQ" TargetMode="External"/><Relationship Id="rId386" Type="http://schemas.openxmlformats.org/officeDocument/2006/relationships/hyperlink" Target="https://acc.autodesk.com/docs/files/projects/1e597176-a716-43f8-be36-fdbb47ecdee5?folderUrn=urn:adsk.wipprod:fs.folder:co.412vmwRUS5WvAkIPx4HNUw&amp;entityId=urn:adsk.wipprod:dm.lineage:5OIe3gUdSNykgWnB0D0-Fw&amp;viewModel=detail&amp;moduleId=folders" TargetMode="External"/><Relationship Id="rId260" Type="http://schemas.openxmlformats.org/officeDocument/2006/relationships/hyperlink" Target="https://acc.autodesk.com/docs/files/projects/1e597176-a716-43f8-be36-fdbb47ecdee5?folderUrn=urn:adsk.wipprod:fs.folder:co.gneW-1t2SpuUo6Nf7Rj1vQ&amp;entityId=urn:adsk.wipprod:dm.lineage:dcczKl1hQGOV_b8vb8-Tmw&amp;viewModel=detail&amp;moduleId=folders" TargetMode="External"/><Relationship Id="rId381" Type="http://schemas.openxmlformats.org/officeDocument/2006/relationships/hyperlink" Target="https://acc.autodesk.com/docs/files/projects/1e597176-a716-43f8-be36-fdbb47ecdee5?folderUrn=urn:adsk.wipprod:fs.folder:co.412vmwRUS5WvAkIPx4HNUw" TargetMode="External"/><Relationship Id="rId380" Type="http://schemas.openxmlformats.org/officeDocument/2006/relationships/hyperlink" Target="https://acc.autodesk.com/docs/files/projects/1e597176-a716-43f8-be36-fdbb47ecdee5?folderUrn=urn:adsk.wipprod:fs.folder:co.412vmwRUS5WvAkIPx4HNUw&amp;entityId=urn:adsk.wipprod:dm.lineage:ZM7w2uGpRAqcvFi9ySKKGQ&amp;viewModel=detail&amp;moduleId=folders" TargetMode="External"/><Relationship Id="rId139" Type="http://schemas.openxmlformats.org/officeDocument/2006/relationships/hyperlink" Target="https://acc.autodesk.com/docs/files/projects/1e597176-a716-43f8-be36-fdbb47ecdee5?folderUrn=urn:adsk.wipprod:fs.folder:co.ZUedFvpiSlenX0IHVAo8cA" TargetMode="External"/><Relationship Id="rId138" Type="http://schemas.openxmlformats.org/officeDocument/2006/relationships/hyperlink" Target="https://acc.autodesk.com/docs/files/projects/1e597176-a716-43f8-be36-fdbb47ecdee5?folderUrn=urn:adsk.wipprod:fs.folder:co.ZUedFvpiSlenX0IHVAo8cA&amp;entityId=urn:adsk.wipprod:dm.lineage:VzG2eerWSdShdaBZSx0hbw&amp;viewModel=detail&amp;moduleId=folders" TargetMode="External"/><Relationship Id="rId259" Type="http://schemas.openxmlformats.org/officeDocument/2006/relationships/hyperlink" Target="https://acc.autodesk.com/docs/files/projects/1e597176-a716-43f8-be36-fdbb47ecdee5?folderUrn=urn:adsk.wipprod:fs.folder:co.gneW-1t2SpuUo6Nf7Rj1vQ" TargetMode="External"/><Relationship Id="rId137" Type="http://schemas.openxmlformats.org/officeDocument/2006/relationships/hyperlink" Target="https://acc.autodesk.com/docs/files/projects/1e597176-a716-43f8-be36-fdbb47ecdee5?folderUrn=urn:adsk.wipprod:fs.folder:co.ZUedFvpiSlenX0IHVAo8cA" TargetMode="External"/><Relationship Id="rId258" Type="http://schemas.openxmlformats.org/officeDocument/2006/relationships/hyperlink" Target="https://acc.autodesk.com/docs/files/projects/1e597176-a716-43f8-be36-fdbb47ecdee5?folderUrn=urn:adsk.wipprod:fs.folder:co.gneW-1t2SpuUo6Nf7Rj1vQ&amp;entityId=urn:adsk.wipprod:dm.lineage:eAymed0tQfWASsKMGXKxLw&amp;viewModel=detail&amp;moduleId=folders" TargetMode="External"/><Relationship Id="rId379" Type="http://schemas.openxmlformats.org/officeDocument/2006/relationships/hyperlink" Target="https://acc.autodesk.com/docs/files/projects/1e597176-a716-43f8-be36-fdbb47ecdee5?folderUrn=urn:adsk.wipprod:fs.folder:co.412vmwRUS5WvAkIPx4HNUw" TargetMode="External"/><Relationship Id="rId132" Type="http://schemas.openxmlformats.org/officeDocument/2006/relationships/hyperlink" Target="https://acc.autodesk.com/docs/files/projects/1e597176-a716-43f8-be36-fdbb47ecdee5?folderUrn=urn:adsk.wipprod:fs.folder:co.ZUedFvpiSlenX0IHVAo8cA&amp;entityId=urn:adsk.wipprod:dm.lineage:R4VF9GwxSnyi1UDgiqourQ&amp;viewModel=detail&amp;moduleId=folders" TargetMode="External"/><Relationship Id="rId253" Type="http://schemas.openxmlformats.org/officeDocument/2006/relationships/hyperlink" Target="https://acc.autodesk.com/docs/files/projects/1e597176-a716-43f8-be36-fdbb47ecdee5?folderUrn=urn:adsk.wipprod:fs.folder:co.gneW-1t2SpuUo6Nf7Rj1vQ" TargetMode="External"/><Relationship Id="rId374" Type="http://schemas.openxmlformats.org/officeDocument/2006/relationships/hyperlink" Target="https://acc.autodesk.com/docs/files/projects/1e597176-a716-43f8-be36-fdbb47ecdee5?folderUrn=urn:adsk.wipprod:fs.folder:co.412vmwRUS5WvAkIPx4HNUw&amp;entityId=urn:adsk.wipprod:dm.lineage:ay-jjBgOS0KJ5pMaGRv-eQ&amp;viewModel=detail&amp;moduleId=folders" TargetMode="External"/><Relationship Id="rId131" Type="http://schemas.openxmlformats.org/officeDocument/2006/relationships/hyperlink" Target="https://acc.autodesk.com/docs/files/projects/1e597176-a716-43f8-be36-fdbb47ecdee5?folderUrn=urn:adsk.wipprod:fs.folder:co.ZUedFvpiSlenX0IHVAo8cA" TargetMode="External"/><Relationship Id="rId252" Type="http://schemas.openxmlformats.org/officeDocument/2006/relationships/hyperlink" Target="https://acc.autodesk.com/docs/files/projects/1e597176-a716-43f8-be36-fdbb47ecdee5?folderUrn=urn:adsk.wipprod:fs.folder:co.gneW-1t2SpuUo6Nf7Rj1vQ&amp;entityId=urn:adsk.wipprod:dm.lineage:XaCbWEgAT5q6ZJ0kdappFw&amp;viewModel=detail&amp;moduleId=folders" TargetMode="External"/><Relationship Id="rId373" Type="http://schemas.openxmlformats.org/officeDocument/2006/relationships/hyperlink" Target="https://acc.autodesk.com/docs/files/projects/1e597176-a716-43f8-be36-fdbb47ecdee5?folderUrn=urn:adsk.wipprod:fs.folder:co.412vmwRUS5WvAkIPx4HNUw" TargetMode="External"/><Relationship Id="rId130" Type="http://schemas.openxmlformats.org/officeDocument/2006/relationships/hyperlink" Target="https://acc.autodesk.com/docs/files/projects/1e597176-a716-43f8-be36-fdbb47ecdee5?folderUrn=urn:adsk.wipprod:fs.folder:co.ZUedFvpiSlenX0IHVAo8cA&amp;entityId=urn:adsk.wipprod:dm.lineage:CV6GEsRrQf-4u4TLFQD0Ag&amp;viewModel=detail&amp;moduleId=folders" TargetMode="External"/><Relationship Id="rId251" Type="http://schemas.openxmlformats.org/officeDocument/2006/relationships/hyperlink" Target="https://acc.autodesk.com/docs/files/projects/1e597176-a716-43f8-be36-fdbb47ecdee5?folderUrn=urn:adsk.wipprod:fs.folder:co.gneW-1t2SpuUo6Nf7Rj1vQ" TargetMode="External"/><Relationship Id="rId372" Type="http://schemas.openxmlformats.org/officeDocument/2006/relationships/hyperlink" Target="https://acc.autodesk.com/docs/files/projects/1e597176-a716-43f8-be36-fdbb47ecdee5?folderUrn=urn:adsk.wipprod:fs.folder:co.412vmwRUS5WvAkIPx4HNUw&amp;entityId=urn:adsk.wipprod:dm.lineage:t5ler3dLS-iqUvtw-cuHvg&amp;viewModel=detail&amp;moduleId=folders" TargetMode="External"/><Relationship Id="rId250" Type="http://schemas.openxmlformats.org/officeDocument/2006/relationships/hyperlink" Target="https://acc.autodesk.com/docs/files/projects/1e597176-a716-43f8-be36-fdbb47ecdee5?folderUrn=urn:adsk.wipprod:fs.folder:co.gneW-1t2SpuUo6Nf7Rj1vQ&amp;entityId=urn:adsk.wipprod:dm.lineage:CxrrIKXIT-KrqcDNkQ46Dg&amp;viewModel=detail&amp;moduleId=folders" TargetMode="External"/><Relationship Id="rId371" Type="http://schemas.openxmlformats.org/officeDocument/2006/relationships/hyperlink" Target="https://acc.autodesk.com/docs/files/projects/1e597176-a716-43f8-be36-fdbb47ecdee5?folderUrn=urn:adsk.wipprod:fs.folder:co.412vmwRUS5WvAkIPx4HNUw" TargetMode="External"/><Relationship Id="rId136" Type="http://schemas.openxmlformats.org/officeDocument/2006/relationships/hyperlink" Target="https://acc.autodesk.com/docs/files/projects/1e597176-a716-43f8-be36-fdbb47ecdee5?folderUrn=urn:adsk.wipprod:fs.folder:co.ZUedFvpiSlenX0IHVAo8cA&amp;entityId=urn:adsk.wipprod:dm.lineage:KHHHqXblQ6mODCela4Ke4g&amp;viewModel=detail&amp;moduleId=folders" TargetMode="External"/><Relationship Id="rId257" Type="http://schemas.openxmlformats.org/officeDocument/2006/relationships/hyperlink" Target="https://acc.autodesk.com/docs/files/projects/1e597176-a716-43f8-be36-fdbb47ecdee5?folderUrn=urn:adsk.wipprod:fs.folder:co.gneW-1t2SpuUo6Nf7Rj1vQ" TargetMode="External"/><Relationship Id="rId378" Type="http://schemas.openxmlformats.org/officeDocument/2006/relationships/hyperlink" Target="https://acc.autodesk.com/docs/files/projects/1e597176-a716-43f8-be36-fdbb47ecdee5?folderUrn=urn:adsk.wipprod:fs.folder:co.412vmwRUS5WvAkIPx4HNUw&amp;entityId=urn:adsk.wipprod:dm.lineage:2wG8QHiJSpy2eX6Kt61LZw&amp;viewModel=detail&amp;moduleId=folders" TargetMode="External"/><Relationship Id="rId135" Type="http://schemas.openxmlformats.org/officeDocument/2006/relationships/hyperlink" Target="https://acc.autodesk.com/docs/files/projects/1e597176-a716-43f8-be36-fdbb47ecdee5?folderUrn=urn:adsk.wipprod:fs.folder:co.ZUedFvpiSlenX0IHVAo8cA" TargetMode="External"/><Relationship Id="rId256" Type="http://schemas.openxmlformats.org/officeDocument/2006/relationships/hyperlink" Target="https://acc.autodesk.com/docs/files/projects/1e597176-a716-43f8-be36-fdbb47ecdee5?folderUrn=urn:adsk.wipprod:fs.folder:co.gneW-1t2SpuUo6Nf7Rj1vQ&amp;entityId=urn:adsk.wipprod:dm.lineage:POcrEgTgT06ZxRpfRtXECA&amp;viewModel=detail&amp;moduleId=folders" TargetMode="External"/><Relationship Id="rId377" Type="http://schemas.openxmlformats.org/officeDocument/2006/relationships/hyperlink" Target="https://acc.autodesk.com/docs/files/projects/1e597176-a716-43f8-be36-fdbb47ecdee5?folderUrn=urn:adsk.wipprod:fs.folder:co.412vmwRUS5WvAkIPx4HNUw" TargetMode="External"/><Relationship Id="rId134" Type="http://schemas.openxmlformats.org/officeDocument/2006/relationships/hyperlink" Target="https://acc.autodesk.com/docs/files/projects/1e597176-a716-43f8-be36-fdbb47ecdee5?folderUrn=urn:adsk.wipprod:fs.folder:co.ZUedFvpiSlenX0IHVAo8cA&amp;entityId=urn:adsk.wipprod:dm.lineage:0oIML3-vTN2RbO9g3rVtzQ&amp;viewModel=detail&amp;moduleId=folders" TargetMode="External"/><Relationship Id="rId255" Type="http://schemas.openxmlformats.org/officeDocument/2006/relationships/hyperlink" Target="https://acc.autodesk.com/docs/files/projects/1e597176-a716-43f8-be36-fdbb47ecdee5?folderUrn=urn:adsk.wipprod:fs.folder:co.gneW-1t2SpuUo6Nf7Rj1vQ" TargetMode="External"/><Relationship Id="rId376" Type="http://schemas.openxmlformats.org/officeDocument/2006/relationships/hyperlink" Target="https://acc.autodesk.com/docs/files/projects/1e597176-a716-43f8-be36-fdbb47ecdee5?folderUrn=urn:adsk.wipprod:fs.folder:co.412vmwRUS5WvAkIPx4HNUw&amp;entityId=urn:adsk.wipprod:dm.lineage:DfTrENUXT62Mc-Nz-Quuqg&amp;viewModel=detail&amp;moduleId=folders" TargetMode="External"/><Relationship Id="rId133" Type="http://schemas.openxmlformats.org/officeDocument/2006/relationships/hyperlink" Target="https://acc.autodesk.com/docs/files/projects/1e597176-a716-43f8-be36-fdbb47ecdee5?folderUrn=urn:adsk.wipprod:fs.folder:co.ZUedFvpiSlenX0IHVAo8cA" TargetMode="External"/><Relationship Id="rId254" Type="http://schemas.openxmlformats.org/officeDocument/2006/relationships/hyperlink" Target="https://acc.autodesk.com/docs/files/projects/1e597176-a716-43f8-be36-fdbb47ecdee5?folderUrn=urn:adsk.wipprod:fs.folder:co.gneW-1t2SpuUo6Nf7Rj1vQ&amp;entityId=urn:adsk.wipprod:dm.lineage:M1EXhnvjTgSW_wk0hFWvSg&amp;viewModel=detail&amp;moduleId=folders" TargetMode="External"/><Relationship Id="rId375" Type="http://schemas.openxmlformats.org/officeDocument/2006/relationships/hyperlink" Target="https://acc.autodesk.com/docs/files/projects/1e597176-a716-43f8-be36-fdbb47ecdee5?folderUrn=urn:adsk.wipprod:fs.folder:co.412vmwRUS5WvAkIPx4HNUw" TargetMode="External"/><Relationship Id="rId172" Type="http://schemas.openxmlformats.org/officeDocument/2006/relationships/hyperlink" Target="https://acc.autodesk.com/docs/files/projects/1e597176-a716-43f8-be36-fdbb47ecdee5?folderUrn=urn:adsk.wipprod:fs.folder:co.BtADxt2wTy-hdvOnJPUroQ&amp;entityId=urn:adsk.wipprod:dm.lineage:QbBiL8qcQvmErAM42bxXPg&amp;viewModel=detail&amp;moduleId=folders" TargetMode="External"/><Relationship Id="rId293" Type="http://schemas.openxmlformats.org/officeDocument/2006/relationships/hyperlink" Target="https://acc.autodesk.com/docs/files/projects/1e597176-a716-43f8-be36-fdbb47ecdee5?folderUrn=urn:adsk.wipprod:fs.folder:co.FxNM7TmRQoCV0Idg7eQ7qQ" TargetMode="External"/><Relationship Id="rId171" Type="http://schemas.openxmlformats.org/officeDocument/2006/relationships/hyperlink" Target="https://acc.autodesk.com/docs/files/projects/1e597176-a716-43f8-be36-fdbb47ecdee5?folderUrn=urn:adsk.wipprod:fs.folder:co.BtADxt2wTy-hdvOnJPUroQ" TargetMode="External"/><Relationship Id="rId292" Type="http://schemas.openxmlformats.org/officeDocument/2006/relationships/hyperlink" Target="https://acc.autodesk.com/docs/files/projects/1e597176-a716-43f8-be36-fdbb47ecdee5?folderUrn=urn:adsk.wipprod:fs.folder:co.FxNM7TmRQoCV0Idg7eQ7qQ&amp;entityId=urn:adsk.wipprod:dm.lineage:2RU-d2ofSbSsYOVeMPYgog&amp;viewModel=detail&amp;moduleId=folders" TargetMode="External"/><Relationship Id="rId170" Type="http://schemas.openxmlformats.org/officeDocument/2006/relationships/hyperlink" Target="https://acc.autodesk.com/docs/files/projects/1e597176-a716-43f8-be36-fdbb47ecdee5?folderUrn=urn:adsk.wipprod:fs.folder:co.BtADxt2wTy-hdvOnJPUroQ&amp;entityId=urn:adsk.wipprod:dm.lineage:w6c2_4SIRSq_M5Vrstc20g&amp;viewModel=detail&amp;moduleId=folders" TargetMode="External"/><Relationship Id="rId291" Type="http://schemas.openxmlformats.org/officeDocument/2006/relationships/hyperlink" Target="https://acc.autodesk.com/docs/files/projects/1e597176-a716-43f8-be36-fdbb47ecdee5?folderUrn=urn:adsk.wipprod:fs.folder:co.FxNM7TmRQoCV0Idg7eQ7qQ" TargetMode="External"/><Relationship Id="rId290" Type="http://schemas.openxmlformats.org/officeDocument/2006/relationships/hyperlink" Target="https://acc.autodesk.com/docs/files/projects/1e597176-a716-43f8-be36-fdbb47ecdee5?folderUrn=urn:adsk.wipprod:fs.folder:co.FxNM7TmRQoCV0Idg7eQ7qQ&amp;entityId=urn:adsk.wipprod:dm.lineage:83pZOulhQVG-NDRlTJIkdw&amp;viewModel=detail&amp;moduleId=folders" TargetMode="External"/><Relationship Id="rId165" Type="http://schemas.openxmlformats.org/officeDocument/2006/relationships/hyperlink" Target="https://acc.autodesk.com/docs/files/projects/1e597176-a716-43f8-be36-fdbb47ecdee5?folderUrn=urn:adsk.wipprod:fs.folder:co.BtADxt2wTy-hdvOnJPUroQ" TargetMode="External"/><Relationship Id="rId286" Type="http://schemas.openxmlformats.org/officeDocument/2006/relationships/hyperlink" Target="https://acc.autodesk.com/docs/files/projects/1e597176-a716-43f8-be36-fdbb47ecdee5?folderUrn=urn:adsk.wipprod:fs.folder:co.FxNM7TmRQoCV0Idg7eQ7qQ&amp;entityId=urn:adsk.wipprod:dm.lineage:74gD6nSkRaSj3HjIFRuotw&amp;viewModel=detail&amp;moduleId=folders" TargetMode="External"/><Relationship Id="rId164" Type="http://schemas.openxmlformats.org/officeDocument/2006/relationships/hyperlink" Target="https://acc.autodesk.com/docs/files/projects/1e597176-a716-43f8-be36-fdbb47ecdee5?folderUrn=urn:adsk.wipprod:fs.folder:co.BtADxt2wTy-hdvOnJPUroQ&amp;entityId=urn:adsk.wipprod:dm.lineage:Y3G1NVauTLuFl2a85Z9cXQ&amp;viewModel=detail&amp;moduleId=folders" TargetMode="External"/><Relationship Id="rId285" Type="http://schemas.openxmlformats.org/officeDocument/2006/relationships/hyperlink" Target="https://acc.autodesk.com/docs/files/projects/1e597176-a716-43f8-be36-fdbb47ecdee5?folderUrn=urn:adsk.wipprod:fs.folder:co.FxNM7TmRQoCV0Idg7eQ7qQ" TargetMode="External"/><Relationship Id="rId163" Type="http://schemas.openxmlformats.org/officeDocument/2006/relationships/hyperlink" Target="https://acc.autodesk.com/docs/files/projects/1e597176-a716-43f8-be36-fdbb47ecdee5?folderUrn=urn:adsk.wipprod:fs.folder:co.BtADxt2wTy-hdvOnJPUroQ" TargetMode="External"/><Relationship Id="rId284" Type="http://schemas.openxmlformats.org/officeDocument/2006/relationships/hyperlink" Target="https://acc.autodesk.com/docs/files/projects/1e597176-a716-43f8-be36-fdbb47ecdee5?folderUrn=urn:adsk.wipprod:fs.folder:co.FxNM7TmRQoCV0Idg7eQ7qQ&amp;entityId=urn:adsk.wipprod:dm.lineage:e7m6tP3SSySkToLL1Fl41w&amp;viewModel=detail&amp;moduleId=folders" TargetMode="External"/><Relationship Id="rId162" Type="http://schemas.openxmlformats.org/officeDocument/2006/relationships/hyperlink" Target="https://acc.autodesk.com/docs/files/projects/1e597176-a716-43f8-be36-fdbb47ecdee5?folderUrn=urn:adsk.wipprod:fs.folder:co.BtADxt2wTy-hdvOnJPUroQ&amp;entityId=urn:adsk.wipprod:dm.lineage:sDpF5Y90ROKZhI8R7fVb4g&amp;viewModel=detail&amp;moduleId=folders" TargetMode="External"/><Relationship Id="rId283" Type="http://schemas.openxmlformats.org/officeDocument/2006/relationships/hyperlink" Target="https://acc.autodesk.com/docs/files/projects/1e597176-a716-43f8-be36-fdbb47ecdee5?folderUrn=urn:adsk.wipprod:fs.folder:co.FxNM7TmRQoCV0Idg7eQ7qQ" TargetMode="External"/><Relationship Id="rId169" Type="http://schemas.openxmlformats.org/officeDocument/2006/relationships/hyperlink" Target="https://acc.autodesk.com/docs/files/projects/1e597176-a716-43f8-be36-fdbb47ecdee5?folderUrn=urn:adsk.wipprod:fs.folder:co.BtADxt2wTy-hdvOnJPUroQ" TargetMode="External"/><Relationship Id="rId168" Type="http://schemas.openxmlformats.org/officeDocument/2006/relationships/hyperlink" Target="https://acc.autodesk.com/docs/files/projects/1e597176-a716-43f8-be36-fdbb47ecdee5?folderUrn=urn:adsk.wipprod:fs.folder:co.BtADxt2wTy-hdvOnJPUroQ&amp;entityId=urn:adsk.wipprod:dm.lineage:MTWI2DqgR7OjetkiAHV4gQ&amp;viewModel=detail&amp;moduleId=folders" TargetMode="External"/><Relationship Id="rId289" Type="http://schemas.openxmlformats.org/officeDocument/2006/relationships/hyperlink" Target="https://acc.autodesk.com/docs/files/projects/1e597176-a716-43f8-be36-fdbb47ecdee5?folderUrn=urn:adsk.wipprod:fs.folder:co.FxNM7TmRQoCV0Idg7eQ7qQ" TargetMode="External"/><Relationship Id="rId167" Type="http://schemas.openxmlformats.org/officeDocument/2006/relationships/hyperlink" Target="https://acc.autodesk.com/docs/files/projects/1e597176-a716-43f8-be36-fdbb47ecdee5?folderUrn=urn:adsk.wipprod:fs.folder:co.BtADxt2wTy-hdvOnJPUroQ" TargetMode="External"/><Relationship Id="rId288" Type="http://schemas.openxmlformats.org/officeDocument/2006/relationships/hyperlink" Target="https://acc.autodesk.com/docs/files/projects/1e597176-a716-43f8-be36-fdbb47ecdee5?folderUrn=urn:adsk.wipprod:fs.folder:co.FxNM7TmRQoCV0Idg7eQ7qQ&amp;entityId=urn:adsk.wipprod:dm.lineage:69pDim4aRvWD9dBFRJkp3w&amp;viewModel=detail&amp;moduleId=folders" TargetMode="External"/><Relationship Id="rId166" Type="http://schemas.openxmlformats.org/officeDocument/2006/relationships/hyperlink" Target="https://acc.autodesk.com/docs/files/projects/1e597176-a716-43f8-be36-fdbb47ecdee5?folderUrn=urn:adsk.wipprod:fs.folder:co.BtADxt2wTy-hdvOnJPUroQ&amp;entityId=urn:adsk.wipprod:dm.lineage:pPQB1oJbRWKMN92jiNjOLw&amp;viewModel=detail&amp;moduleId=folders" TargetMode="External"/><Relationship Id="rId287" Type="http://schemas.openxmlformats.org/officeDocument/2006/relationships/hyperlink" Target="https://acc.autodesk.com/docs/files/projects/1e597176-a716-43f8-be36-fdbb47ecdee5?folderUrn=urn:adsk.wipprod:fs.folder:co.FxNM7TmRQoCV0Idg7eQ7qQ" TargetMode="External"/><Relationship Id="rId161" Type="http://schemas.openxmlformats.org/officeDocument/2006/relationships/hyperlink" Target="https://acc.autodesk.com/docs/files/projects/1e597176-a716-43f8-be36-fdbb47ecdee5?folderUrn=urn:adsk.wipprod:fs.folder:co.BtADxt2wTy-hdvOnJPUroQ" TargetMode="External"/><Relationship Id="rId282" Type="http://schemas.openxmlformats.org/officeDocument/2006/relationships/hyperlink" Target="https://acc.autodesk.com/docs/files/projects/1e597176-a716-43f8-be36-fdbb47ecdee5?folderUrn=urn:adsk.wipprod:fs.folder:co.FxNM7TmRQoCV0Idg7eQ7qQ&amp;entityId=urn:adsk.wipprod:dm.lineage:gMZANgCnQPOwhcvtMPi6Kg&amp;viewModel=detail&amp;moduleId=folders" TargetMode="External"/><Relationship Id="rId160" Type="http://schemas.openxmlformats.org/officeDocument/2006/relationships/hyperlink" Target="https://acc.autodesk.com/docs/files/projects/1e597176-a716-43f8-be36-fdbb47ecdee5?folderUrn=urn:adsk.wipprod:fs.folder:co.BtADxt2wTy-hdvOnJPUroQ&amp;entityId=urn:adsk.wipprod:dm.lineage:cBnipkdbQ-SPBGCsEGUkig&amp;viewModel=detail&amp;moduleId=folders" TargetMode="External"/><Relationship Id="rId281" Type="http://schemas.openxmlformats.org/officeDocument/2006/relationships/hyperlink" Target="https://acc.autodesk.com/docs/files/projects/1e597176-a716-43f8-be36-fdbb47ecdee5?folderUrn=urn:adsk.wipprod:fs.folder:co.FxNM7TmRQoCV0Idg7eQ7qQ" TargetMode="External"/><Relationship Id="rId280" Type="http://schemas.openxmlformats.org/officeDocument/2006/relationships/hyperlink" Target="https://acc.autodesk.com/docs/files/projects/1e597176-a716-43f8-be36-fdbb47ecdee5?folderUrn=urn:adsk.wipprod:fs.folder:co.FxNM7TmRQoCV0Idg7eQ7qQ&amp;entityId=urn:adsk.wipprod:dm.lineage:S0DJKeRJRtSIFJTlQ9vnog&amp;viewModel=detail&amp;moduleId=folders" TargetMode="External"/><Relationship Id="rId159" Type="http://schemas.openxmlformats.org/officeDocument/2006/relationships/hyperlink" Target="https://acc.autodesk.com/docs/files/projects/1e597176-a716-43f8-be36-fdbb47ecdee5?folderUrn=urn:adsk.wipprod:fs.folder:co.BtADxt2wTy-hdvOnJPUroQ" TargetMode="External"/><Relationship Id="rId154" Type="http://schemas.openxmlformats.org/officeDocument/2006/relationships/hyperlink" Target="https://acc.autodesk.com/docs/files/projects/1e597176-a716-43f8-be36-fdbb47ecdee5?folderUrn=urn:adsk.wipprod:fs.folder:co.7NiVimFoQNGaJytOMwaTgQ&amp;entityId=urn:adsk.wipprod:dm.lineage:3Nx_UoVfR9SapbNMF7e6Cg&amp;viewModel=detail&amp;moduleId=folders" TargetMode="External"/><Relationship Id="rId275" Type="http://schemas.openxmlformats.org/officeDocument/2006/relationships/hyperlink" Target="https://acc.autodesk.com/docs/files/projects/1e597176-a716-43f8-be36-fdbb47ecdee5?folderUrn=urn:adsk.wipprod:fs.folder:co.FxNM7TmRQoCV0Idg7eQ7qQ" TargetMode="External"/><Relationship Id="rId396" Type="http://schemas.openxmlformats.org/officeDocument/2006/relationships/hyperlink" Target="https://acc.autodesk.com/docs/files/projects/1e597176-a716-43f8-be36-fdbb47ecdee5?folderUrn=urn:adsk.wipprod:fs.folder:co.412vmwRUS5WvAkIPx4HNUw&amp;entityId=urn:adsk.wipprod:dm.lineage:0AyB66q4SDWGrECE63Ne3Q&amp;viewModel=detail&amp;moduleId=folders" TargetMode="External"/><Relationship Id="rId153" Type="http://schemas.openxmlformats.org/officeDocument/2006/relationships/hyperlink" Target="https://acc.autodesk.com/docs/files/projects/1e597176-a716-43f8-be36-fdbb47ecdee5?folderUrn=urn:adsk.wipprod:fs.folder:co.7NiVimFoQNGaJytOMwaTgQ" TargetMode="External"/><Relationship Id="rId274" Type="http://schemas.openxmlformats.org/officeDocument/2006/relationships/hyperlink" Target="https://acc.autodesk.com/docs/files/projects/1e597176-a716-43f8-be36-fdbb47ecdee5?folderUrn=urn:adsk.wipprod:fs.folder:co.FxNM7TmRQoCV0Idg7eQ7qQ&amp;entityId=urn:adsk.wipprod:dm.lineage:SfCujn22TduduntALZyfLg&amp;viewModel=detail&amp;moduleId=folders" TargetMode="External"/><Relationship Id="rId395" Type="http://schemas.openxmlformats.org/officeDocument/2006/relationships/hyperlink" Target="https://acc.autodesk.com/docs/files/projects/1e597176-a716-43f8-be36-fdbb47ecdee5?folderUrn=urn:adsk.wipprod:fs.folder:co.412vmwRUS5WvAkIPx4HNUw" TargetMode="External"/><Relationship Id="rId152" Type="http://schemas.openxmlformats.org/officeDocument/2006/relationships/hyperlink" Target="https://acc.autodesk.com/docs/files/projects/1e597176-a716-43f8-be36-fdbb47ecdee5?folderUrn=urn:adsk.wipprod:fs.folder:co.7NiVimFoQNGaJytOMwaTgQ&amp;entityId=urn:adsk.wipprod:dm.lineage:Pq6sqIKXRhON0PxREvhadw&amp;viewModel=detail&amp;moduleId=folders" TargetMode="External"/><Relationship Id="rId273" Type="http://schemas.openxmlformats.org/officeDocument/2006/relationships/hyperlink" Target="https://acc.autodesk.com/docs/files/projects/1e597176-a716-43f8-be36-fdbb47ecdee5?folderUrn=urn:adsk.wipprod:fs.folder:co.FxNM7TmRQoCV0Idg7eQ7qQ" TargetMode="External"/><Relationship Id="rId394" Type="http://schemas.openxmlformats.org/officeDocument/2006/relationships/hyperlink" Target="https://acc.autodesk.com/docs/files/projects/1e597176-a716-43f8-be36-fdbb47ecdee5?folderUrn=urn:adsk.wipprod:fs.folder:co.412vmwRUS5WvAkIPx4HNUw&amp;entityId=urn:adsk.wipprod:dm.lineage:RDbtiHQ5QZag0YYZ3LZwUA&amp;viewModel=detail&amp;moduleId=folders" TargetMode="External"/><Relationship Id="rId151" Type="http://schemas.openxmlformats.org/officeDocument/2006/relationships/hyperlink" Target="https://acc.autodesk.com/docs/files/projects/1e597176-a716-43f8-be36-fdbb47ecdee5?folderUrn=urn:adsk.wipprod:fs.folder:co.7NiVimFoQNGaJytOMwaTgQ" TargetMode="External"/><Relationship Id="rId272" Type="http://schemas.openxmlformats.org/officeDocument/2006/relationships/hyperlink" Target="https://acc.autodesk.com/docs/files/projects/1e597176-a716-43f8-be36-fdbb47ecdee5?folderUrn=urn:adsk.wipprod:fs.folder:co.FxNM7TmRQoCV0Idg7eQ7qQ&amp;entityId=urn:adsk.wipprod:dm.lineage:5ZPXg947TZSo71_SblyOAA&amp;viewModel=detail&amp;moduleId=folders" TargetMode="External"/><Relationship Id="rId393" Type="http://schemas.openxmlformats.org/officeDocument/2006/relationships/hyperlink" Target="https://acc.autodesk.com/docs/files/projects/1e597176-a716-43f8-be36-fdbb47ecdee5?folderUrn=urn:adsk.wipprod:fs.folder:co.412vmwRUS5WvAkIPx4HNUw" TargetMode="External"/><Relationship Id="rId158" Type="http://schemas.openxmlformats.org/officeDocument/2006/relationships/hyperlink" Target="https://acc.autodesk.com/docs/files/projects/1e597176-a716-43f8-be36-fdbb47ecdee5?folderUrn=urn:adsk.wipprod:fs.folder:co.BtADxt2wTy-hdvOnJPUroQ&amp;entityId=urn:adsk.wipprod:dm.lineage:HNB5bqrdRYSuwKqy9aIA1w&amp;viewModel=detail&amp;moduleId=folders" TargetMode="External"/><Relationship Id="rId279" Type="http://schemas.openxmlformats.org/officeDocument/2006/relationships/hyperlink" Target="https://acc.autodesk.com/docs/files/projects/1e597176-a716-43f8-be36-fdbb47ecdee5?folderUrn=urn:adsk.wipprod:fs.folder:co.FxNM7TmRQoCV0Idg7eQ7qQ" TargetMode="External"/><Relationship Id="rId157" Type="http://schemas.openxmlformats.org/officeDocument/2006/relationships/hyperlink" Target="https://acc.autodesk.com/docs/files/projects/1e597176-a716-43f8-be36-fdbb47ecdee5?folderUrn=urn:adsk.wipprod:fs.folder:co.BtADxt2wTy-hdvOnJPUroQ" TargetMode="External"/><Relationship Id="rId278" Type="http://schemas.openxmlformats.org/officeDocument/2006/relationships/hyperlink" Target="https://acc.autodesk.com/docs/files/projects/1e597176-a716-43f8-be36-fdbb47ecdee5?folderUrn=urn:adsk.wipprod:fs.folder:co.FxNM7TmRQoCV0Idg7eQ7qQ&amp;entityId=urn:adsk.wipprod:dm.lineage:Wdp5BUrxTM2QOm1nWv8tYA&amp;viewModel=detail&amp;moduleId=folders" TargetMode="External"/><Relationship Id="rId399" Type="http://schemas.openxmlformats.org/officeDocument/2006/relationships/hyperlink" Target="https://acc.autodesk.com/docs/files/projects/1e597176-a716-43f8-be36-fdbb47ecdee5?folderUrn=urn:adsk.wipprod:fs.folder:co.412vmwRUS5WvAkIPx4HNUw" TargetMode="External"/><Relationship Id="rId156" Type="http://schemas.openxmlformats.org/officeDocument/2006/relationships/hyperlink" Target="https://acc.autodesk.com/docs/files/projects/1e597176-a716-43f8-be36-fdbb47ecdee5?folderUrn=urn:adsk.wipprod:fs.folder:co.7NiVimFoQNGaJytOMwaTgQ&amp;entityId=urn:adsk.wipprod:dm.lineage:hf4VdC6KQnOok0vAF7unlQ&amp;viewModel=detail&amp;moduleId=folders" TargetMode="External"/><Relationship Id="rId277" Type="http://schemas.openxmlformats.org/officeDocument/2006/relationships/hyperlink" Target="https://acc.autodesk.com/docs/files/projects/1e597176-a716-43f8-be36-fdbb47ecdee5?folderUrn=urn:adsk.wipprod:fs.folder:co.FxNM7TmRQoCV0Idg7eQ7qQ" TargetMode="External"/><Relationship Id="rId398" Type="http://schemas.openxmlformats.org/officeDocument/2006/relationships/hyperlink" Target="https://acc.autodesk.com/docs/files/projects/1e597176-a716-43f8-be36-fdbb47ecdee5?folderUrn=urn:adsk.wipprod:fs.folder:co.412vmwRUS5WvAkIPx4HNUw&amp;entityId=urn:adsk.wipprod:dm.lineage:nhPH0XoaQYuIb1rGrQpcDQ&amp;viewModel=detail&amp;moduleId=folders" TargetMode="External"/><Relationship Id="rId155" Type="http://schemas.openxmlformats.org/officeDocument/2006/relationships/hyperlink" Target="https://acc.autodesk.com/docs/files/projects/1e597176-a716-43f8-be36-fdbb47ecdee5?folderUrn=urn:adsk.wipprod:fs.folder:co.7NiVimFoQNGaJytOMwaTgQ" TargetMode="External"/><Relationship Id="rId276" Type="http://schemas.openxmlformats.org/officeDocument/2006/relationships/hyperlink" Target="https://acc.autodesk.com/docs/files/projects/1e597176-a716-43f8-be36-fdbb47ecdee5?folderUrn=urn:adsk.wipprod:fs.folder:co.FxNM7TmRQoCV0Idg7eQ7qQ&amp;entityId=urn:adsk.wipprod:dm.lineage:IN_ms85uSG6qJ5kCNUXMdA&amp;viewModel=detail&amp;moduleId=folders" TargetMode="External"/><Relationship Id="rId397" Type="http://schemas.openxmlformats.org/officeDocument/2006/relationships/hyperlink" Target="https://acc.autodesk.com/docs/files/projects/1e597176-a716-43f8-be36-fdbb47ecdee5?folderUrn=urn:adsk.wipprod:fs.folder:co.412vmwRUS5WvAkIPx4HNUw" TargetMode="External"/><Relationship Id="rId40" Type="http://schemas.openxmlformats.org/officeDocument/2006/relationships/hyperlink" Target="https://acc.autodesk.com/docs/files/projects/1e597176-a716-43f8-be36-fdbb47ecdee5?folderUrn=urn:adsk.wipprod:fs.folder:co.Qy7tJjVUQXqthtbCwFzLqw&amp;entityId=urn:adsk.wipprod:dm.lineage:LLWH9J1uTWeJzOnD8BP3SA&amp;viewModel=detail&amp;moduleId=folders" TargetMode="External"/><Relationship Id="rId42" Type="http://schemas.openxmlformats.org/officeDocument/2006/relationships/hyperlink" Target="https://acc.autodesk.com/docs/files/projects/1e597176-a716-43f8-be36-fdbb47ecdee5?folderUrn=urn:adsk.wipprod:fs.folder:co.wJHjelD6T-iDsdI_TUgOIw&amp;entityId=urn:adsk.wipprod:dm.lineage:gfqiG4PERj6ge9S6qgMqQQ&amp;viewModel=detail&amp;moduleId=folders" TargetMode="External"/><Relationship Id="rId41" Type="http://schemas.openxmlformats.org/officeDocument/2006/relationships/hyperlink" Target="https://acc.autodesk.com/docs/files/projects/1e597176-a716-43f8-be36-fdbb47ecdee5?folderUrn=urn:adsk.wipprod:fs.folder:co.wJHjelD6T-iDsdI_TUgOIw" TargetMode="External"/><Relationship Id="rId44" Type="http://schemas.openxmlformats.org/officeDocument/2006/relationships/hyperlink" Target="https://acc.autodesk.com/docs/files/projects/1e597176-a716-43f8-be36-fdbb47ecdee5?folderUrn=urn:adsk.wipprod:fs.folder:co.wJHjelD6T-iDsdI_TUgOIw&amp;entityId=urn:adsk.wipprod:dm.lineage:6Vl20pFRQLuU5ZqdzCzCEA&amp;viewModel=detail&amp;moduleId=folders" TargetMode="External"/><Relationship Id="rId43" Type="http://schemas.openxmlformats.org/officeDocument/2006/relationships/hyperlink" Target="https://acc.autodesk.com/docs/files/projects/1e597176-a716-43f8-be36-fdbb47ecdee5?folderUrn=urn:adsk.wipprod:fs.folder:co.wJHjelD6T-iDsdI_TUgOIw" TargetMode="External"/><Relationship Id="rId46" Type="http://schemas.openxmlformats.org/officeDocument/2006/relationships/hyperlink" Target="https://acc.autodesk.com/docs/files/projects/1e597176-a716-43f8-be36-fdbb47ecdee5?folderUrn=urn:adsk.wipprod:fs.folder:co.wJHjelD6T-iDsdI_TUgOIw&amp;entityId=urn:adsk.wipprod:dm.lineage:KxHBFUekQNWqp_zlBWSyAw&amp;viewModel=detail&amp;moduleId=folders" TargetMode="External"/><Relationship Id="rId45" Type="http://schemas.openxmlformats.org/officeDocument/2006/relationships/hyperlink" Target="https://acc.autodesk.com/docs/files/projects/1e597176-a716-43f8-be36-fdbb47ecdee5?folderUrn=urn:adsk.wipprod:fs.folder:co.wJHjelD6T-iDsdI_TUgOIw" TargetMode="External"/><Relationship Id="rId48" Type="http://schemas.openxmlformats.org/officeDocument/2006/relationships/hyperlink" Target="https://acc.autodesk.com/docs/files/projects/1e597176-a716-43f8-be36-fdbb47ecdee5?folderUrn=urn:adsk.wipprod:fs.folder:co.wJHjelD6T-iDsdI_TUgOIw&amp;entityId=urn:adsk.wipprod:dm.lineage:vApp2jyITsy0l7l0wqngXA&amp;viewModel=detail&amp;moduleId=folders" TargetMode="External"/><Relationship Id="rId47" Type="http://schemas.openxmlformats.org/officeDocument/2006/relationships/hyperlink" Target="https://acc.autodesk.com/docs/files/projects/1e597176-a716-43f8-be36-fdbb47ecdee5?folderUrn=urn:adsk.wipprod:fs.folder:co.wJHjelD6T-iDsdI_TUgOIw" TargetMode="External"/><Relationship Id="rId49" Type="http://schemas.openxmlformats.org/officeDocument/2006/relationships/hyperlink" Target="https://acc.autodesk.com/docs/files/projects/1e597176-a716-43f8-be36-fdbb47ecdee5?folderUrn=urn:adsk.wipprod:fs.folder:co.wJHjelD6T-iDsdI_TUgOIw" TargetMode="External"/><Relationship Id="rId31" Type="http://schemas.openxmlformats.org/officeDocument/2006/relationships/hyperlink" Target="https://acc.autodesk.com/docs/files/projects/1e597176-a716-43f8-be36-fdbb47ecdee5?folderUrn=urn:adsk.wipprod:fs.folder:co.Qy7tJjVUQXqthtbCwFzLqw" TargetMode="External"/><Relationship Id="rId30" Type="http://schemas.openxmlformats.org/officeDocument/2006/relationships/hyperlink" Target="https://acc.autodesk.com/docs/files/projects/1e597176-a716-43f8-be36-fdbb47ecdee5?folderUrn=urn:adsk.wipprod:fs.folder:co.Qy7tJjVUQXqthtbCwFzLqw&amp;entityId=urn:adsk.wipprod:dm.lineage:e4zSKvv8RtKKKBefGXQkZw&amp;viewModel=detail&amp;moduleId=folders" TargetMode="External"/><Relationship Id="rId33" Type="http://schemas.openxmlformats.org/officeDocument/2006/relationships/hyperlink" Target="https://acc.autodesk.com/docs/files/projects/1e597176-a716-43f8-be36-fdbb47ecdee5?folderUrn=urn:adsk.wipprod:fs.folder:co.Qy7tJjVUQXqthtbCwFzLqw" TargetMode="External"/><Relationship Id="rId32" Type="http://schemas.openxmlformats.org/officeDocument/2006/relationships/hyperlink" Target="https://acc.autodesk.com/docs/files/projects/1e597176-a716-43f8-be36-fdbb47ecdee5?folderUrn=urn:adsk.wipprod:fs.folder:co.Qy7tJjVUQXqthtbCwFzLqw&amp;entityId=urn:adsk.wipprod:dm.lineage:KGEmJdPbRDKtVgqiCxUI1A&amp;viewModel=detail&amp;moduleId=folders" TargetMode="External"/><Relationship Id="rId35" Type="http://schemas.openxmlformats.org/officeDocument/2006/relationships/hyperlink" Target="https://acc.autodesk.com/docs/files/projects/1e597176-a716-43f8-be36-fdbb47ecdee5?folderUrn=urn:adsk.wipprod:fs.folder:co.Qy7tJjVUQXqthtbCwFzLqw" TargetMode="External"/><Relationship Id="rId34" Type="http://schemas.openxmlformats.org/officeDocument/2006/relationships/hyperlink" Target="https://acc.autodesk.com/docs/files/projects/1e597176-a716-43f8-be36-fdbb47ecdee5?folderUrn=urn:adsk.wipprod:fs.folder:co.Qy7tJjVUQXqthtbCwFzLqw&amp;entityId=urn:adsk.wipprod:dm.lineage:zXg0d-ATTfaQ-QtvuBQACw&amp;viewModel=detail&amp;moduleId=folders" TargetMode="External"/><Relationship Id="rId37" Type="http://schemas.openxmlformats.org/officeDocument/2006/relationships/hyperlink" Target="https://acc.autodesk.com/docs/files/projects/1e597176-a716-43f8-be36-fdbb47ecdee5?folderUrn=urn:adsk.wipprod:fs.folder:co.Qy7tJjVUQXqthtbCwFzLqw" TargetMode="External"/><Relationship Id="rId36" Type="http://schemas.openxmlformats.org/officeDocument/2006/relationships/hyperlink" Target="https://acc.autodesk.com/docs/files/projects/1e597176-a716-43f8-be36-fdbb47ecdee5?folderUrn=urn:adsk.wipprod:fs.folder:co.Qy7tJjVUQXqthtbCwFzLqw&amp;entityId=urn:adsk.wipprod:dm.lineage:ZDY7G0Z3SGaVgeOdyWOiLw&amp;viewModel=detail&amp;moduleId=folders" TargetMode="External"/><Relationship Id="rId39" Type="http://schemas.openxmlformats.org/officeDocument/2006/relationships/hyperlink" Target="https://acc.autodesk.com/docs/files/projects/1e597176-a716-43f8-be36-fdbb47ecdee5?folderUrn=urn:adsk.wipprod:fs.folder:co.Qy7tJjVUQXqthtbCwFzLqw" TargetMode="External"/><Relationship Id="rId38" Type="http://schemas.openxmlformats.org/officeDocument/2006/relationships/hyperlink" Target="https://acc.autodesk.com/docs/files/projects/1e597176-a716-43f8-be36-fdbb47ecdee5?folderUrn=urn:adsk.wipprod:fs.folder:co.Qy7tJjVUQXqthtbCwFzLqw&amp;entityId=urn:adsk.wipprod:dm.lineage:h1hHrO5pQ-i2qXd8FIEMlw&amp;viewModel=detail&amp;moduleId=folders" TargetMode="External"/><Relationship Id="rId20" Type="http://schemas.openxmlformats.org/officeDocument/2006/relationships/hyperlink" Target="https://acc.autodesk.com/docs/files/projects/1e597176-a716-43f8-be36-fdbb47ecdee5?folderUrn=urn:adsk.wipprod:fs.folder:co.Qy7tJjVUQXqthtbCwFzLqw&amp;entityId=urn:adsk.wipprod:dm.lineage:4W8Cf3JrRwqHUazhIlTTAg&amp;viewModel=detail&amp;moduleId=folders" TargetMode="External"/><Relationship Id="rId22" Type="http://schemas.openxmlformats.org/officeDocument/2006/relationships/hyperlink" Target="https://acc.autodesk.com/docs/files/projects/1e597176-a716-43f8-be36-fdbb47ecdee5?folderUrn=urn:adsk.wipprod:fs.folder:co.Qy7tJjVUQXqthtbCwFzLqw&amp;entityId=urn:adsk.wipprod:dm.lineage:7mKVI18ERaGW_4kHprFDlw&amp;viewModel=detail&amp;moduleId=folders" TargetMode="External"/><Relationship Id="rId21" Type="http://schemas.openxmlformats.org/officeDocument/2006/relationships/hyperlink" Target="https://acc.autodesk.com/docs/files/projects/1e597176-a716-43f8-be36-fdbb47ecdee5?folderUrn=urn:adsk.wipprod:fs.folder:co.Qy7tJjVUQXqthtbCwFzLqw" TargetMode="External"/><Relationship Id="rId24" Type="http://schemas.openxmlformats.org/officeDocument/2006/relationships/hyperlink" Target="https://acc.autodesk.com/docs/files/projects/1e597176-a716-43f8-be36-fdbb47ecdee5?folderUrn=urn:adsk.wipprod:fs.folder:co.Qy7tJjVUQXqthtbCwFzLqw&amp;entityId=urn:adsk.wipprod:dm.lineage:cQS_xft6TIiy7qhkJ36zuw&amp;viewModel=detail&amp;moduleId=folders" TargetMode="External"/><Relationship Id="rId23" Type="http://schemas.openxmlformats.org/officeDocument/2006/relationships/hyperlink" Target="https://acc.autodesk.com/docs/files/projects/1e597176-a716-43f8-be36-fdbb47ecdee5?folderUrn=urn:adsk.wipprod:fs.folder:co.Qy7tJjVUQXqthtbCwFzLqw" TargetMode="External"/><Relationship Id="rId409" Type="http://schemas.openxmlformats.org/officeDocument/2006/relationships/hyperlink" Target="https://acc.autodesk.com/docs/files/projects/1e597176-a716-43f8-be36-fdbb47ecdee5?folderUrn=urn:adsk.wipprod:fs.folder:co.3hoTHM-8TmiCBb87zdnAhg" TargetMode="External"/><Relationship Id="rId404" Type="http://schemas.openxmlformats.org/officeDocument/2006/relationships/hyperlink" Target="https://acc.autodesk.com/docs/files/projects/1e597176-a716-43f8-be36-fdbb47ecdee5?folderUrn=urn:adsk.wipprod:fs.folder:co.412vmwRUS5WvAkIPx4HNUw&amp;entityId=urn:adsk.wipprod:dm.lineage:76-92tORTVybOn2Sua3BqQ&amp;viewModel=detail&amp;moduleId=folders" TargetMode="External"/><Relationship Id="rId403" Type="http://schemas.openxmlformats.org/officeDocument/2006/relationships/hyperlink" Target="https://acc.autodesk.com/docs/files/projects/1e597176-a716-43f8-be36-fdbb47ecdee5?folderUrn=urn:adsk.wipprod:fs.folder:co.412vmwRUS5WvAkIPx4HNUw" TargetMode="External"/><Relationship Id="rId402" Type="http://schemas.openxmlformats.org/officeDocument/2006/relationships/hyperlink" Target="https://acc.autodesk.com/docs/files/projects/1e597176-a716-43f8-be36-fdbb47ecdee5?folderUrn=urn:adsk.wipprod:fs.folder:co.412vmwRUS5WvAkIPx4HNUw&amp;entityId=urn:adsk.wipprod:dm.lineage:pH5u8lOmQtGzRH4EuzUzTw&amp;viewModel=detail&amp;moduleId=folders" TargetMode="External"/><Relationship Id="rId401" Type="http://schemas.openxmlformats.org/officeDocument/2006/relationships/hyperlink" Target="https://acc.autodesk.com/docs/files/projects/1e597176-a716-43f8-be36-fdbb47ecdee5?folderUrn=urn:adsk.wipprod:fs.folder:co.412vmwRUS5WvAkIPx4HNUw" TargetMode="External"/><Relationship Id="rId408" Type="http://schemas.openxmlformats.org/officeDocument/2006/relationships/hyperlink" Target="https://acc.autodesk.com/docs/files/projects/1e597176-a716-43f8-be36-fdbb47ecdee5?folderUrn=urn:adsk.wipprod:fs.folder:co.3hoTHM-8TmiCBb87zdnAhg&amp;entityId=urn:adsk.wipprod:dm.lineage:8xcq0-OxToSvmjLUqDWm9w&amp;viewModel=detail&amp;moduleId=folders" TargetMode="External"/><Relationship Id="rId407" Type="http://schemas.openxmlformats.org/officeDocument/2006/relationships/hyperlink" Target="https://acc.autodesk.com/docs/files/projects/1e597176-a716-43f8-be36-fdbb47ecdee5?folderUrn=urn:adsk.wipprod:fs.folder:co.3hoTHM-8TmiCBb87zdnAhg" TargetMode="External"/><Relationship Id="rId406" Type="http://schemas.openxmlformats.org/officeDocument/2006/relationships/hyperlink" Target="https://acc.autodesk.com/docs/files/projects/1e597176-a716-43f8-be36-fdbb47ecdee5?folderUrn=urn:adsk.wipprod:fs.folder:co.3hoTHM-8TmiCBb87zdnAhg&amp;entityId=urn:adsk.wipprod:dm.lineage:UWstoNgdRrme2VBgnfGLtA&amp;viewModel=detail&amp;moduleId=folders" TargetMode="External"/><Relationship Id="rId405" Type="http://schemas.openxmlformats.org/officeDocument/2006/relationships/hyperlink" Target="https://acc.autodesk.com/docs/files/projects/1e597176-a716-43f8-be36-fdbb47ecdee5?folderUrn=urn:adsk.wipprod:fs.folder:co.3hoTHM-8TmiCBb87zdnAhg" TargetMode="External"/><Relationship Id="rId26" Type="http://schemas.openxmlformats.org/officeDocument/2006/relationships/hyperlink" Target="https://acc.autodesk.com/docs/files/projects/1e597176-a716-43f8-be36-fdbb47ecdee5?folderUrn=urn:adsk.wipprod:fs.folder:co.Qy7tJjVUQXqthtbCwFzLqw&amp;entityId=urn:adsk.wipprod:dm.lineage:2XLeVGSsTuSwGfAXs56How&amp;viewModel=detail&amp;moduleId=folders" TargetMode="External"/><Relationship Id="rId25" Type="http://schemas.openxmlformats.org/officeDocument/2006/relationships/hyperlink" Target="https://acc.autodesk.com/docs/files/projects/1e597176-a716-43f8-be36-fdbb47ecdee5?folderUrn=urn:adsk.wipprod:fs.folder:co.Qy7tJjVUQXqthtbCwFzLqw" TargetMode="External"/><Relationship Id="rId28" Type="http://schemas.openxmlformats.org/officeDocument/2006/relationships/hyperlink" Target="https://acc.autodesk.com/docs/files/projects/1e597176-a716-43f8-be36-fdbb47ecdee5?folderUrn=urn:adsk.wipprod:fs.folder:co.Qy7tJjVUQXqthtbCwFzLqw&amp;entityId=urn:adsk.wipprod:dm.lineage:uFczsVAySCGnFh2zF-bipw&amp;viewModel=detail&amp;moduleId=folders" TargetMode="External"/><Relationship Id="rId27" Type="http://schemas.openxmlformats.org/officeDocument/2006/relationships/hyperlink" Target="https://acc.autodesk.com/docs/files/projects/1e597176-a716-43f8-be36-fdbb47ecdee5?folderUrn=urn:adsk.wipprod:fs.folder:co.Qy7tJjVUQXqthtbCwFzLqw" TargetMode="External"/><Relationship Id="rId400" Type="http://schemas.openxmlformats.org/officeDocument/2006/relationships/hyperlink" Target="https://acc.autodesk.com/docs/files/projects/1e597176-a716-43f8-be36-fdbb47ecdee5?folderUrn=urn:adsk.wipprod:fs.folder:co.412vmwRUS5WvAkIPx4HNUw&amp;entityId=urn:adsk.wipprod:dm.lineage:a0V6Y0e3TkSoGHRLKa6Iww&amp;viewModel=detail&amp;moduleId=folders" TargetMode="External"/><Relationship Id="rId29" Type="http://schemas.openxmlformats.org/officeDocument/2006/relationships/hyperlink" Target="https://acc.autodesk.com/docs/files/projects/1e597176-a716-43f8-be36-fdbb47ecdee5?folderUrn=urn:adsk.wipprod:fs.folder:co.Qy7tJjVUQXqthtbCwFzLqw" TargetMode="External"/><Relationship Id="rId11" Type="http://schemas.openxmlformats.org/officeDocument/2006/relationships/hyperlink" Target="https://acc.autodesk.com/docs/files/projects/1e597176-a716-43f8-be36-fdbb47ecdee5?folderUrn=urn:adsk.wipprod:fs.folder:co.Qy7tJjVUQXqthtbCwFzLqw" TargetMode="External"/><Relationship Id="rId10" Type="http://schemas.openxmlformats.org/officeDocument/2006/relationships/hyperlink" Target="https://acc.autodesk.com/docs/files/projects/1e597176-a716-43f8-be36-fdbb47ecdee5?folderUrn=urn:adsk.wipprod:fs.folder:co.Qy7tJjVUQXqthtbCwFzLqw&amp;entityId=urn:adsk.wipprod:dm.lineage:qxjfV1fnT7K3UP-EyMdt3A&amp;viewModel=detail&amp;moduleId=folders" TargetMode="External"/><Relationship Id="rId13" Type="http://schemas.openxmlformats.org/officeDocument/2006/relationships/hyperlink" Target="https://acc.autodesk.com/docs/files/projects/1e597176-a716-43f8-be36-fdbb47ecdee5?folderUrn=urn:adsk.wipprod:fs.folder:co.Qy7tJjVUQXqthtbCwFzLqw" TargetMode="External"/><Relationship Id="rId12" Type="http://schemas.openxmlformats.org/officeDocument/2006/relationships/hyperlink" Target="https://acc.autodesk.com/docs/files/projects/1e597176-a716-43f8-be36-fdbb47ecdee5?folderUrn=urn:adsk.wipprod:fs.folder:co.Qy7tJjVUQXqthtbCwFzLqw&amp;entityId=urn:adsk.wipprod:dm.lineage:99ZNe-xtTfKX5MnUO9Kbnw&amp;viewModel=detail&amp;moduleId=folders" TargetMode="External"/><Relationship Id="rId15" Type="http://schemas.openxmlformats.org/officeDocument/2006/relationships/hyperlink" Target="https://acc.autodesk.com/docs/files/projects/1e597176-a716-43f8-be36-fdbb47ecdee5?folderUrn=urn:adsk.wipprod:fs.folder:co.Qy7tJjVUQXqthtbCwFzLqw" TargetMode="External"/><Relationship Id="rId14" Type="http://schemas.openxmlformats.org/officeDocument/2006/relationships/hyperlink" Target="https://acc.autodesk.com/docs/files/projects/1e597176-a716-43f8-be36-fdbb47ecdee5?folderUrn=urn:adsk.wipprod:fs.folder:co.Qy7tJjVUQXqthtbCwFzLqw&amp;entityId=urn:adsk.wipprod:dm.lineage:A60j88ZmRLOnsrVJuAvUzw&amp;viewModel=detail&amp;moduleId=folders" TargetMode="External"/><Relationship Id="rId17" Type="http://schemas.openxmlformats.org/officeDocument/2006/relationships/hyperlink" Target="https://acc.autodesk.com/docs/files/projects/1e597176-a716-43f8-be36-fdbb47ecdee5?folderUrn=urn:adsk.wipprod:fs.folder:co.Qy7tJjVUQXqthtbCwFzLqw" TargetMode="External"/><Relationship Id="rId16" Type="http://schemas.openxmlformats.org/officeDocument/2006/relationships/hyperlink" Target="https://acc.autodesk.com/docs/files/projects/1e597176-a716-43f8-be36-fdbb47ecdee5?folderUrn=urn:adsk.wipprod:fs.folder:co.Qy7tJjVUQXqthtbCwFzLqw&amp;entityId=urn:adsk.wipprod:dm.lineage:GjubL2bNRGuIYf0RZSQcHw&amp;viewModel=detail&amp;moduleId=folders" TargetMode="External"/><Relationship Id="rId19" Type="http://schemas.openxmlformats.org/officeDocument/2006/relationships/hyperlink" Target="https://acc.autodesk.com/docs/files/projects/1e597176-a716-43f8-be36-fdbb47ecdee5?folderUrn=urn:adsk.wipprod:fs.folder:co.Qy7tJjVUQXqthtbCwFzLqw" TargetMode="External"/><Relationship Id="rId18" Type="http://schemas.openxmlformats.org/officeDocument/2006/relationships/hyperlink" Target="https://acc.autodesk.com/docs/files/projects/1e597176-a716-43f8-be36-fdbb47ecdee5?folderUrn=urn:adsk.wipprod:fs.folder:co.Qy7tJjVUQXqthtbCwFzLqw&amp;entityId=urn:adsk.wipprod:dm.lineage:-o0Itu5rSFGCeBsXAcACPw&amp;viewModel=detail&amp;moduleId=folders" TargetMode="External"/><Relationship Id="rId84" Type="http://schemas.openxmlformats.org/officeDocument/2006/relationships/hyperlink" Target="https://acc.autodesk.com/docs/files/projects/1e597176-a716-43f8-be36-fdbb47ecdee5?folderUrn=urn:adsk.wipprod:fs.folder:co.Itzia5npTcCaCtKM9vy6zg&amp;entityId=urn:adsk.wipprod:dm.lineage:cxEh2Vy3TNOMoRo47B8NFw&amp;viewModel=detail&amp;moduleId=folders" TargetMode="External"/><Relationship Id="rId83" Type="http://schemas.openxmlformats.org/officeDocument/2006/relationships/hyperlink" Target="https://acc.autodesk.com/docs/files/projects/1e597176-a716-43f8-be36-fdbb47ecdee5?folderUrn=urn:adsk.wipprod:fs.folder:co.Itzia5npTcCaCtKM9vy6zg" TargetMode="External"/><Relationship Id="rId86" Type="http://schemas.openxmlformats.org/officeDocument/2006/relationships/hyperlink" Target="https://acc.autodesk.com/docs/files/projects/1e597176-a716-43f8-be36-fdbb47ecdee5?folderUrn=urn:adsk.wipprod:fs.folder:co.Itzia5npTcCaCtKM9vy6zg&amp;entityId=urn:adsk.wipprod:dm.lineage:ZEpgXAOkTAuUcXt4fFai_w&amp;viewModel=detail&amp;moduleId=folders" TargetMode="External"/><Relationship Id="rId85" Type="http://schemas.openxmlformats.org/officeDocument/2006/relationships/hyperlink" Target="https://acc.autodesk.com/docs/files/projects/1e597176-a716-43f8-be36-fdbb47ecdee5?folderUrn=urn:adsk.wipprod:fs.folder:co.Itzia5npTcCaCtKM9vy6zg" TargetMode="External"/><Relationship Id="rId88" Type="http://schemas.openxmlformats.org/officeDocument/2006/relationships/hyperlink" Target="https://acc.autodesk.com/docs/files/projects/1e597176-a716-43f8-be36-fdbb47ecdee5?folderUrn=urn:adsk.wipprod:fs.folder:co.Itzia5npTcCaCtKM9vy6zg&amp;entityId=urn:adsk.wipprod:dm.lineage:_qVZX_VWRNScfvGG1u2bhw&amp;viewModel=detail&amp;moduleId=folders" TargetMode="External"/><Relationship Id="rId87" Type="http://schemas.openxmlformats.org/officeDocument/2006/relationships/hyperlink" Target="https://acc.autodesk.com/docs/files/projects/1e597176-a716-43f8-be36-fdbb47ecdee5?folderUrn=urn:adsk.wipprod:fs.folder:co.Itzia5npTcCaCtKM9vy6zg" TargetMode="External"/><Relationship Id="rId89" Type="http://schemas.openxmlformats.org/officeDocument/2006/relationships/hyperlink" Target="https://acc.autodesk.com/docs/files/projects/1e597176-a716-43f8-be36-fdbb47ecdee5?folderUrn=urn:adsk.wipprod:fs.folder:co.Itzia5npTcCaCtKM9vy6zg" TargetMode="External"/><Relationship Id="rId80" Type="http://schemas.openxmlformats.org/officeDocument/2006/relationships/hyperlink" Target="https://acc.autodesk.com/docs/files/projects/1e597176-a716-43f8-be36-fdbb47ecdee5?folderUrn=urn:adsk.wipprod:fs.folder:co.Itzia5npTcCaCtKM9vy6zg&amp;entityId=urn:adsk.wipprod:dm.lineage:9weVgxQaQHmMCCfIaPJe7w&amp;viewModel=detail&amp;moduleId=folders" TargetMode="External"/><Relationship Id="rId82" Type="http://schemas.openxmlformats.org/officeDocument/2006/relationships/hyperlink" Target="https://acc.autodesk.com/docs/files/projects/1e597176-a716-43f8-be36-fdbb47ecdee5?folderUrn=urn:adsk.wipprod:fs.folder:co.Itzia5npTcCaCtKM9vy6zg&amp;entityId=urn:adsk.wipprod:dm.lineage:_K4INpQuQjSEm8WO2_r6CA&amp;viewModel=detail&amp;moduleId=folders" TargetMode="External"/><Relationship Id="rId81" Type="http://schemas.openxmlformats.org/officeDocument/2006/relationships/hyperlink" Target="https://acc.autodesk.com/docs/files/projects/1e597176-a716-43f8-be36-fdbb47ecdee5?folderUrn=urn:adsk.wipprod:fs.folder:co.Itzia5npTcCaCtKM9vy6zg" TargetMode="External"/><Relationship Id="rId73" Type="http://schemas.openxmlformats.org/officeDocument/2006/relationships/hyperlink" Target="https://acc.autodesk.com/docs/files/projects/1e597176-a716-43f8-be36-fdbb47ecdee5?folderUrn=urn:adsk.wipprod:fs.folder:co.Itzia5npTcCaCtKM9vy6zg" TargetMode="External"/><Relationship Id="rId72" Type="http://schemas.openxmlformats.org/officeDocument/2006/relationships/hyperlink" Target="https://acc.autodesk.com/docs/files/projects/1e597176-a716-43f8-be36-fdbb47ecdee5?folderUrn=urn:adsk.wipprod:fs.folder:co.Itzia5npTcCaCtKM9vy6zg&amp;entityId=urn:adsk.wipprod:dm.lineage:hU7xGnddQvWNMK0VXSwiPQ&amp;viewModel=detail&amp;moduleId=folders" TargetMode="External"/><Relationship Id="rId75" Type="http://schemas.openxmlformats.org/officeDocument/2006/relationships/hyperlink" Target="https://acc.autodesk.com/docs/files/projects/1e597176-a716-43f8-be36-fdbb47ecdee5?folderUrn=urn:adsk.wipprod:fs.folder:co.Itzia5npTcCaCtKM9vy6zg" TargetMode="External"/><Relationship Id="rId74" Type="http://schemas.openxmlformats.org/officeDocument/2006/relationships/hyperlink" Target="https://acc.autodesk.com/docs/files/projects/1e597176-a716-43f8-be36-fdbb47ecdee5?folderUrn=urn:adsk.wipprod:fs.folder:co.Itzia5npTcCaCtKM9vy6zg&amp;entityId=urn:adsk.wipprod:dm.lineage:BR0EksulRDm-J9CZGQRsRg&amp;viewModel=detail&amp;moduleId=folders" TargetMode="External"/><Relationship Id="rId77" Type="http://schemas.openxmlformats.org/officeDocument/2006/relationships/hyperlink" Target="https://acc.autodesk.com/docs/files/projects/1e597176-a716-43f8-be36-fdbb47ecdee5?folderUrn=urn:adsk.wipprod:fs.folder:co.Itzia5npTcCaCtKM9vy6zg" TargetMode="External"/><Relationship Id="rId76" Type="http://schemas.openxmlformats.org/officeDocument/2006/relationships/hyperlink" Target="https://acc.autodesk.com/docs/files/projects/1e597176-a716-43f8-be36-fdbb47ecdee5?folderUrn=urn:adsk.wipprod:fs.folder:co.Itzia5npTcCaCtKM9vy6zg&amp;entityId=urn:adsk.wipprod:dm.lineage:rJq-PQ5TRXOL6cDaHVyf9g&amp;viewModel=detail&amp;moduleId=folders" TargetMode="External"/><Relationship Id="rId79" Type="http://schemas.openxmlformats.org/officeDocument/2006/relationships/hyperlink" Target="https://acc.autodesk.com/docs/files/projects/1e597176-a716-43f8-be36-fdbb47ecdee5?folderUrn=urn:adsk.wipprod:fs.folder:co.Itzia5npTcCaCtKM9vy6zg" TargetMode="External"/><Relationship Id="rId78" Type="http://schemas.openxmlformats.org/officeDocument/2006/relationships/hyperlink" Target="https://acc.autodesk.com/docs/files/projects/1e597176-a716-43f8-be36-fdbb47ecdee5?folderUrn=urn:adsk.wipprod:fs.folder:co.Itzia5npTcCaCtKM9vy6zg&amp;entityId=urn:adsk.wipprod:dm.lineage:WanSXtdCQlaI8g-UzVJcTg&amp;viewModel=detail&amp;moduleId=folders" TargetMode="External"/><Relationship Id="rId71" Type="http://schemas.openxmlformats.org/officeDocument/2006/relationships/hyperlink" Target="https://acc.autodesk.com/docs/files/projects/1e597176-a716-43f8-be36-fdbb47ecdee5?folderUrn=urn:adsk.wipprod:fs.folder:co.Itzia5npTcCaCtKM9vy6zg" TargetMode="External"/><Relationship Id="rId70" Type="http://schemas.openxmlformats.org/officeDocument/2006/relationships/hyperlink" Target="https://acc.autodesk.com/docs/files/projects/1e597176-a716-43f8-be36-fdbb47ecdee5?folderUrn=urn:adsk.wipprod:fs.folder:co.Itzia5npTcCaCtKM9vy6zg&amp;entityId=urn:adsk.wipprod:dm.lineage:RGrj_jt6QTOGqDQ-pyKt2g&amp;viewModel=detail&amp;moduleId=folders" TargetMode="External"/><Relationship Id="rId62" Type="http://schemas.openxmlformats.org/officeDocument/2006/relationships/hyperlink" Target="https://acc.autodesk.com/docs/files/projects/1e597176-a716-43f8-be36-fdbb47ecdee5?folderUrn=urn:adsk.wipprod:fs.folder:co.Itzia5npTcCaCtKM9vy6zg&amp;entityId=urn:adsk.wipprod:dm.lineage:03_PmTnoTCuM0YYCZgDCmA&amp;viewModel=detail&amp;moduleId=folders" TargetMode="External"/><Relationship Id="rId61" Type="http://schemas.openxmlformats.org/officeDocument/2006/relationships/hyperlink" Target="https://acc.autodesk.com/docs/files/projects/1e597176-a716-43f8-be36-fdbb47ecdee5?folderUrn=urn:adsk.wipprod:fs.folder:co.Itzia5npTcCaCtKM9vy6zg" TargetMode="External"/><Relationship Id="rId64" Type="http://schemas.openxmlformats.org/officeDocument/2006/relationships/hyperlink" Target="https://acc.autodesk.com/docs/files/projects/1e597176-a716-43f8-be36-fdbb47ecdee5?folderUrn=urn:adsk.wipprod:fs.folder:co.Itzia5npTcCaCtKM9vy6zg&amp;entityId=urn:adsk.wipprod:dm.lineage:KslZNVZHSEWpQ5NYj-BHzw&amp;viewModel=detail&amp;moduleId=folders" TargetMode="External"/><Relationship Id="rId63" Type="http://schemas.openxmlformats.org/officeDocument/2006/relationships/hyperlink" Target="https://acc.autodesk.com/docs/files/projects/1e597176-a716-43f8-be36-fdbb47ecdee5?folderUrn=urn:adsk.wipprod:fs.folder:co.Itzia5npTcCaCtKM9vy6zg" TargetMode="External"/><Relationship Id="rId66" Type="http://schemas.openxmlformats.org/officeDocument/2006/relationships/hyperlink" Target="https://acc.autodesk.com/docs/files/projects/1e597176-a716-43f8-be36-fdbb47ecdee5?folderUrn=urn:adsk.wipprod:fs.folder:co.Itzia5npTcCaCtKM9vy6zg&amp;entityId=urn:adsk.wipprod:dm.lineage:Riqn7pFHTcGF5xD0WMCbEA&amp;viewModel=detail&amp;moduleId=folders" TargetMode="External"/><Relationship Id="rId65" Type="http://schemas.openxmlformats.org/officeDocument/2006/relationships/hyperlink" Target="https://acc.autodesk.com/docs/files/projects/1e597176-a716-43f8-be36-fdbb47ecdee5?folderUrn=urn:adsk.wipprod:fs.folder:co.Itzia5npTcCaCtKM9vy6zg" TargetMode="External"/><Relationship Id="rId68" Type="http://schemas.openxmlformats.org/officeDocument/2006/relationships/hyperlink" Target="https://acc.autodesk.com/docs/files/projects/1e597176-a716-43f8-be36-fdbb47ecdee5?folderUrn=urn:adsk.wipprod:fs.folder:co.Itzia5npTcCaCtKM9vy6zg&amp;entityId=urn:adsk.wipprod:dm.lineage:5QWAfd5ETpKc-YrSDiqbsA&amp;viewModel=detail&amp;moduleId=folders" TargetMode="External"/><Relationship Id="rId67" Type="http://schemas.openxmlformats.org/officeDocument/2006/relationships/hyperlink" Target="https://acc.autodesk.com/docs/files/projects/1e597176-a716-43f8-be36-fdbb47ecdee5?folderUrn=urn:adsk.wipprod:fs.folder:co.Itzia5npTcCaCtKM9vy6zg" TargetMode="External"/><Relationship Id="rId60" Type="http://schemas.openxmlformats.org/officeDocument/2006/relationships/hyperlink" Target="https://acc.autodesk.com/docs/files/projects/1e597176-a716-43f8-be36-fdbb47ecdee5?folderUrn=urn:adsk.wipprod:fs.folder:co.Itzia5npTcCaCtKM9vy6zg&amp;entityId=urn:adsk.wipprod:dm.lineage:wKvIUVprTv2Rg1fTsTajxw&amp;viewModel=detail&amp;moduleId=folders" TargetMode="External"/><Relationship Id="rId69" Type="http://schemas.openxmlformats.org/officeDocument/2006/relationships/hyperlink" Target="https://acc.autodesk.com/docs/files/projects/1e597176-a716-43f8-be36-fdbb47ecdee5?folderUrn=urn:adsk.wipprod:fs.folder:co.Itzia5npTcCaCtKM9vy6zg" TargetMode="External"/><Relationship Id="rId51" Type="http://schemas.openxmlformats.org/officeDocument/2006/relationships/hyperlink" Target="https://acc.autodesk.com/docs/files/projects/1e597176-a716-43f8-be36-fdbb47ecdee5?folderUrn=urn:adsk.wipprod:fs.folder:co.wJHjelD6T-iDsdI_TUgOIw" TargetMode="External"/><Relationship Id="rId50" Type="http://schemas.openxmlformats.org/officeDocument/2006/relationships/hyperlink" Target="https://acc.autodesk.com/docs/files/projects/1e597176-a716-43f8-be36-fdbb47ecdee5?folderUrn=urn:adsk.wipprod:fs.folder:co.wJHjelD6T-iDsdI_TUgOIw&amp;entityId=urn:adsk.wipprod:dm.lineage:clVkLtSqQGSo-5LvEzqZaA&amp;viewModel=detail&amp;moduleId=folders" TargetMode="External"/><Relationship Id="rId53" Type="http://schemas.openxmlformats.org/officeDocument/2006/relationships/hyperlink" Target="https://acc.autodesk.com/docs/files/projects/1e597176-a716-43f8-be36-fdbb47ecdee5?folderUrn=urn:adsk.wipprod:fs.folder:co.wJHjelD6T-iDsdI_TUgOIw" TargetMode="External"/><Relationship Id="rId52" Type="http://schemas.openxmlformats.org/officeDocument/2006/relationships/hyperlink" Target="https://acc.autodesk.com/docs/files/projects/1e597176-a716-43f8-be36-fdbb47ecdee5?folderUrn=urn:adsk.wipprod:fs.folder:co.wJHjelD6T-iDsdI_TUgOIw&amp;entityId=urn:adsk.wipprod:dm.lineage:59TyTcuiTNO_khn0aiWbMw&amp;viewModel=detail&amp;moduleId=folders" TargetMode="External"/><Relationship Id="rId55" Type="http://schemas.openxmlformats.org/officeDocument/2006/relationships/hyperlink" Target="https://acc.autodesk.com/docs/files/projects/1e597176-a716-43f8-be36-fdbb47ecdee5?folderUrn=urn:adsk.wipprod:fs.folder:co.wJHjelD6T-iDsdI_TUgOIw" TargetMode="External"/><Relationship Id="rId54" Type="http://schemas.openxmlformats.org/officeDocument/2006/relationships/hyperlink" Target="https://acc.autodesk.com/docs/files/projects/1e597176-a716-43f8-be36-fdbb47ecdee5?folderUrn=urn:adsk.wipprod:fs.folder:co.wJHjelD6T-iDsdI_TUgOIw&amp;entityId=urn:adsk.wipprod:dm.lineage:GJoCKGiJRDObkSpQVIv48A&amp;viewModel=detail&amp;moduleId=folders" TargetMode="External"/><Relationship Id="rId57" Type="http://schemas.openxmlformats.org/officeDocument/2006/relationships/hyperlink" Target="https://acc.autodesk.com/docs/files/projects/1e597176-a716-43f8-be36-fdbb47ecdee5?folderUrn=urn:adsk.wipprod:fs.folder:co.wJHjelD6T-iDsdI_TUgOIw" TargetMode="External"/><Relationship Id="rId56" Type="http://schemas.openxmlformats.org/officeDocument/2006/relationships/hyperlink" Target="https://acc.autodesk.com/docs/files/projects/1e597176-a716-43f8-be36-fdbb47ecdee5?folderUrn=urn:adsk.wipprod:fs.folder:co.wJHjelD6T-iDsdI_TUgOIw&amp;entityId=urn:adsk.wipprod:dm.lineage:vQRM5_43S9iNYF9U3nUgZQ&amp;viewModel=detail&amp;moduleId=folders" TargetMode="External"/><Relationship Id="rId59" Type="http://schemas.openxmlformats.org/officeDocument/2006/relationships/hyperlink" Target="https://acc.autodesk.com/docs/files/projects/1e597176-a716-43f8-be36-fdbb47ecdee5?folderUrn=urn:adsk.wipprod:fs.folder:co.Itzia5npTcCaCtKM9vy6zg" TargetMode="External"/><Relationship Id="rId58" Type="http://schemas.openxmlformats.org/officeDocument/2006/relationships/hyperlink" Target="https://acc.autodesk.com/docs/files/projects/1e597176-a716-43f8-be36-fdbb47ecdee5?folderUrn=urn:adsk.wipprod:fs.folder:co.wJHjelD6T-iDsdI_TUgOIw&amp;entityId=urn:adsk.wipprod:dm.lineage:_9GyfK2oQaCB9yu_ITzxxA&amp;viewModel=detail&amp;moduleId=folders" TargetMode="External"/><Relationship Id="rId107" Type="http://schemas.openxmlformats.org/officeDocument/2006/relationships/hyperlink" Target="https://acc.autodesk.com/docs/files/projects/1e597176-a716-43f8-be36-fdbb47ecdee5?folderUrn=urn:adsk.wipprod:fs.folder:co.M8BwkpPFTwm0h2gRoHD-sQ" TargetMode="External"/><Relationship Id="rId228" Type="http://schemas.openxmlformats.org/officeDocument/2006/relationships/hyperlink" Target="https://acc.autodesk.com/docs/files/projects/1e597176-a716-43f8-be36-fdbb47ecdee5?folderUrn=urn:adsk.wipprod:fs.folder:co.gneW-1t2SpuUo6Nf7Rj1vQ&amp;entityId=urn:adsk.wipprod:dm.lineage:RFQ6CwuGSGW7jgyAV5zLeA&amp;viewModel=detail&amp;moduleId=folders" TargetMode="External"/><Relationship Id="rId349" Type="http://schemas.openxmlformats.org/officeDocument/2006/relationships/hyperlink" Target="https://acc.autodesk.com/docs/files/projects/1e597176-a716-43f8-be36-fdbb47ecdee5?folderUrn=urn:adsk.wipprod:fs.folder:co.bz21ao8BRRyrw6m_EIgMPw" TargetMode="External"/><Relationship Id="rId106" Type="http://schemas.openxmlformats.org/officeDocument/2006/relationships/hyperlink" Target="https://acc.autodesk.com/docs/files/projects/1e597176-a716-43f8-be36-fdbb47ecdee5?folderUrn=urn:adsk.wipprod:fs.folder:co.QsHNp-BFTfm5i1BggS3Kgw&amp;entityId=urn:adsk.wipprod:dm.lineage:FkrO_dJwSiWVC8ZN5YUS1A&amp;viewModel=detail&amp;moduleId=folders" TargetMode="External"/><Relationship Id="rId227" Type="http://schemas.openxmlformats.org/officeDocument/2006/relationships/hyperlink" Target="https://acc.autodesk.com/docs/files/projects/1e597176-a716-43f8-be36-fdbb47ecdee5?folderUrn=urn:adsk.wipprod:fs.folder:co.gneW-1t2SpuUo6Nf7Rj1vQ" TargetMode="External"/><Relationship Id="rId348" Type="http://schemas.openxmlformats.org/officeDocument/2006/relationships/hyperlink" Target="https://acc.autodesk.com/docs/files/projects/1e597176-a716-43f8-be36-fdbb47ecdee5?folderUrn=urn:adsk.wipprod:fs.folder:co.bz21ao8BRRyrw6m_EIgMPw&amp;entityId=urn:adsk.wipprod:dm.lineage:jFYwGpaKTHyD8F_rE56EYg&amp;viewModel=detail&amp;moduleId=folders" TargetMode="External"/><Relationship Id="rId105" Type="http://schemas.openxmlformats.org/officeDocument/2006/relationships/hyperlink" Target="https://acc.autodesk.com/docs/files/projects/1e597176-a716-43f8-be36-fdbb47ecdee5?folderUrn=urn:adsk.wipprod:fs.folder:co.QsHNp-BFTfm5i1BggS3Kgw" TargetMode="External"/><Relationship Id="rId226" Type="http://schemas.openxmlformats.org/officeDocument/2006/relationships/hyperlink" Target="https://acc.autodesk.com/docs/files/projects/1e597176-a716-43f8-be36-fdbb47ecdee5?folderUrn=urn:adsk.wipprod:fs.folder:co.gneW-1t2SpuUo6Nf7Rj1vQ&amp;entityId=urn:adsk.wipprod:dm.lineage:8WbC_kKZSImTHAmJYsuKdQ&amp;viewModel=detail&amp;moduleId=folders" TargetMode="External"/><Relationship Id="rId347" Type="http://schemas.openxmlformats.org/officeDocument/2006/relationships/hyperlink" Target="https://acc.autodesk.com/docs/files/projects/1e597176-a716-43f8-be36-fdbb47ecdee5?folderUrn=urn:adsk.wipprod:fs.folder:co.bz21ao8BRRyrw6m_EIgMPw" TargetMode="External"/><Relationship Id="rId104" Type="http://schemas.openxmlformats.org/officeDocument/2006/relationships/hyperlink" Target="https://acc.autodesk.com/docs/files/projects/1e597176-a716-43f8-be36-fdbb47ecdee5?folderUrn=urn:adsk.wipprod:fs.folder:co.QsHNp-BFTfm5i1BggS3Kgw&amp;entityId=urn:adsk.wipprod:dm.lineage:wEBWQlO8Q0KKklbV9V0uGg&amp;viewModel=detail&amp;moduleId=folders" TargetMode="External"/><Relationship Id="rId225" Type="http://schemas.openxmlformats.org/officeDocument/2006/relationships/hyperlink" Target="https://acc.autodesk.com/docs/files/projects/1e597176-a716-43f8-be36-fdbb47ecdee5?folderUrn=urn:adsk.wipprod:fs.folder:co.gneW-1t2SpuUo6Nf7Rj1vQ" TargetMode="External"/><Relationship Id="rId346" Type="http://schemas.openxmlformats.org/officeDocument/2006/relationships/hyperlink" Target="https://acc.autodesk.com/docs/files/projects/1e597176-a716-43f8-be36-fdbb47ecdee5?folderUrn=urn:adsk.wipprod:fs.folder:co.bz21ao8BRRyrw6m_EIgMPw&amp;entityId=urn:adsk.wipprod:dm.lineage:CGF7kt-kS6yaQWm8vSnOwg&amp;viewModel=detail&amp;moduleId=folders" TargetMode="External"/><Relationship Id="rId109" Type="http://schemas.openxmlformats.org/officeDocument/2006/relationships/hyperlink" Target="https://acc.autodesk.com/docs/files/projects/1e597176-a716-43f8-be36-fdbb47ecdee5?folderUrn=urn:adsk.wipprod:fs.folder:co.M8BwkpPFTwm0h2gRoHD-sQ" TargetMode="External"/><Relationship Id="rId108" Type="http://schemas.openxmlformats.org/officeDocument/2006/relationships/hyperlink" Target="https://acc.autodesk.com/docs/files/projects/1e597176-a716-43f8-be36-fdbb47ecdee5?folderUrn=urn:adsk.wipprod:fs.folder:co.M8BwkpPFTwm0h2gRoHD-sQ&amp;entityId=urn:adsk.wipprod:dm.lineage:gq4Ukki5SHKzwklsna6NXA&amp;viewModel=detail&amp;moduleId=folders" TargetMode="External"/><Relationship Id="rId229" Type="http://schemas.openxmlformats.org/officeDocument/2006/relationships/hyperlink" Target="https://acc.autodesk.com/docs/files/projects/1e597176-a716-43f8-be36-fdbb47ecdee5?folderUrn=urn:adsk.wipprod:fs.folder:co.gneW-1t2SpuUo6Nf7Rj1vQ" TargetMode="External"/><Relationship Id="rId220" Type="http://schemas.openxmlformats.org/officeDocument/2006/relationships/hyperlink" Target="https://acc.autodesk.com/docs/files/projects/1e597176-a716-43f8-be36-fdbb47ecdee5?folderUrn=urn:adsk.wipprod:fs.folder:co.gneW-1t2SpuUo6Nf7Rj1vQ&amp;entityId=urn:adsk.wipprod:dm.lineage:UkgaDgJDRA2ROu-cPwyXuA&amp;viewModel=detail&amp;moduleId=folders" TargetMode="External"/><Relationship Id="rId341" Type="http://schemas.openxmlformats.org/officeDocument/2006/relationships/hyperlink" Target="https://acc.autodesk.com/docs/files/projects/1e597176-a716-43f8-be36-fdbb47ecdee5?folderUrn=urn:adsk.wipprod:fs.folder:co.bz21ao8BRRyrw6m_EIgMPw" TargetMode="External"/><Relationship Id="rId340" Type="http://schemas.openxmlformats.org/officeDocument/2006/relationships/hyperlink" Target="https://acc.autodesk.com/docs/files/projects/1e597176-a716-43f8-be36-fdbb47ecdee5?folderUrn=urn:adsk.wipprod:fs.folder:co.bz21ao8BRRyrw6m_EIgMPw&amp;entityId=urn:adsk.wipprod:dm.lineage:gNLQbgUpRIGMTIkVRYPdbw&amp;viewModel=detail&amp;moduleId=folders" TargetMode="External"/><Relationship Id="rId103" Type="http://schemas.openxmlformats.org/officeDocument/2006/relationships/hyperlink" Target="https://acc.autodesk.com/docs/files/projects/1e597176-a716-43f8-be36-fdbb47ecdee5?folderUrn=urn:adsk.wipprod:fs.folder:co.QsHNp-BFTfm5i1BggS3Kgw" TargetMode="External"/><Relationship Id="rId224" Type="http://schemas.openxmlformats.org/officeDocument/2006/relationships/hyperlink" Target="https://acc.autodesk.com/docs/files/projects/1e597176-a716-43f8-be36-fdbb47ecdee5?folderUrn=urn:adsk.wipprod:fs.folder:co.gneW-1t2SpuUo6Nf7Rj1vQ&amp;entityId=urn:adsk.wipprod:dm.lineage:V-CY0Qv9Sv6z7x3zxwdFjw&amp;viewModel=detail&amp;moduleId=folders" TargetMode="External"/><Relationship Id="rId345" Type="http://schemas.openxmlformats.org/officeDocument/2006/relationships/hyperlink" Target="https://acc.autodesk.com/docs/files/projects/1e597176-a716-43f8-be36-fdbb47ecdee5?folderUrn=urn:adsk.wipprod:fs.folder:co.bz21ao8BRRyrw6m_EIgMPw" TargetMode="External"/><Relationship Id="rId102" Type="http://schemas.openxmlformats.org/officeDocument/2006/relationships/hyperlink" Target="https://acc.autodesk.com/docs/files/projects/1e597176-a716-43f8-be36-fdbb47ecdee5?folderUrn=urn:adsk.wipprod:fs.folder:co.QsHNp-BFTfm5i1BggS3Kgw&amp;entityId=urn:adsk.wipprod:dm.lineage:bOlRFScMRwC_Pp_XhYkdRQ&amp;viewModel=detail&amp;moduleId=folders" TargetMode="External"/><Relationship Id="rId223" Type="http://schemas.openxmlformats.org/officeDocument/2006/relationships/hyperlink" Target="https://acc.autodesk.com/docs/files/projects/1e597176-a716-43f8-be36-fdbb47ecdee5?folderUrn=urn:adsk.wipprod:fs.folder:co.gneW-1t2SpuUo6Nf7Rj1vQ" TargetMode="External"/><Relationship Id="rId344" Type="http://schemas.openxmlformats.org/officeDocument/2006/relationships/hyperlink" Target="https://acc.autodesk.com/docs/files/projects/1e597176-a716-43f8-be36-fdbb47ecdee5?folderUrn=urn:adsk.wipprod:fs.folder:co.bz21ao8BRRyrw6m_EIgMPw&amp;entityId=urn:adsk.wipprod:dm.lineage:ZpDEQeHiTlW3YBZhAnti7A&amp;viewModel=detail&amp;moduleId=folders" TargetMode="External"/><Relationship Id="rId101" Type="http://schemas.openxmlformats.org/officeDocument/2006/relationships/hyperlink" Target="https://acc.autodesk.com/docs/files/projects/1e597176-a716-43f8-be36-fdbb47ecdee5?folderUrn=urn:adsk.wipprod:fs.folder:co.QsHNp-BFTfm5i1BggS3Kgw" TargetMode="External"/><Relationship Id="rId222" Type="http://schemas.openxmlformats.org/officeDocument/2006/relationships/hyperlink" Target="https://acc.autodesk.com/docs/files/projects/1e597176-a716-43f8-be36-fdbb47ecdee5?folderUrn=urn:adsk.wipprod:fs.folder:co.gneW-1t2SpuUo6Nf7Rj1vQ&amp;entityId=urn:adsk.wipprod:dm.lineage:xNpREAEBQPOi6omBOMubew&amp;viewModel=detail&amp;moduleId=folders" TargetMode="External"/><Relationship Id="rId343" Type="http://schemas.openxmlformats.org/officeDocument/2006/relationships/hyperlink" Target="https://acc.autodesk.com/docs/files/projects/1e597176-a716-43f8-be36-fdbb47ecdee5?folderUrn=urn:adsk.wipprod:fs.folder:co.bz21ao8BRRyrw6m_EIgMPw" TargetMode="External"/><Relationship Id="rId100" Type="http://schemas.openxmlformats.org/officeDocument/2006/relationships/hyperlink" Target="https://acc.autodesk.com/docs/files/projects/1e597176-a716-43f8-be36-fdbb47ecdee5?folderUrn=urn:adsk.wipprod:fs.folder:co.QsHNp-BFTfm5i1BggS3Kgw&amp;entityId=urn:adsk.wipprod:dm.lineage:vpo0rGV7TwqHoDbrMGQdew&amp;viewModel=detail&amp;moduleId=folders" TargetMode="External"/><Relationship Id="rId221" Type="http://schemas.openxmlformats.org/officeDocument/2006/relationships/hyperlink" Target="https://acc.autodesk.com/docs/files/projects/1e597176-a716-43f8-be36-fdbb47ecdee5?folderUrn=urn:adsk.wipprod:fs.folder:co.gneW-1t2SpuUo6Nf7Rj1vQ" TargetMode="External"/><Relationship Id="rId342" Type="http://schemas.openxmlformats.org/officeDocument/2006/relationships/hyperlink" Target="https://acc.autodesk.com/docs/files/projects/1e597176-a716-43f8-be36-fdbb47ecdee5?folderUrn=urn:adsk.wipprod:fs.folder:co.bz21ao8BRRyrw6m_EIgMPw&amp;entityId=urn:adsk.wipprod:dm.lineage:pOdaaGY_RfWRX0i39ramsw&amp;viewModel=detail&amp;moduleId=folders" TargetMode="External"/><Relationship Id="rId217" Type="http://schemas.openxmlformats.org/officeDocument/2006/relationships/hyperlink" Target="https://acc.autodesk.com/docs/files/projects/1e597176-a716-43f8-be36-fdbb47ecdee5?folderUrn=urn:adsk.wipprod:fs.folder:co.BtADxt2wTy-hdvOnJPUroQ" TargetMode="External"/><Relationship Id="rId338" Type="http://schemas.openxmlformats.org/officeDocument/2006/relationships/hyperlink" Target="https://acc.autodesk.com/docs/files/projects/1e597176-a716-43f8-be36-fdbb47ecdee5?folderUrn=urn:adsk.wipprod:fs.folder:co.bz21ao8BRRyrw6m_EIgMPw&amp;entityId=urn:adsk.wipprod:dm.lineage:v9ohU20WRt-2UZwXWJEyuQ&amp;viewModel=detail&amp;moduleId=folders" TargetMode="External"/><Relationship Id="rId216" Type="http://schemas.openxmlformats.org/officeDocument/2006/relationships/hyperlink" Target="https://acc.autodesk.com/docs/files/projects/1e597176-a716-43f8-be36-fdbb47ecdee5?folderUrn=urn:adsk.wipprod:fs.folder:co.BtADxt2wTy-hdvOnJPUroQ&amp;entityId=urn:adsk.wipprod:dm.lineage:Yw5J0or-TquM1WuKxHD4Ug&amp;viewModel=detail&amp;moduleId=folders" TargetMode="External"/><Relationship Id="rId337" Type="http://schemas.openxmlformats.org/officeDocument/2006/relationships/hyperlink" Target="https://acc.autodesk.com/docs/files/projects/1e597176-a716-43f8-be36-fdbb47ecdee5?folderUrn=urn:adsk.wipprod:fs.folder:co.bz21ao8BRRyrw6m_EIgMPw" TargetMode="External"/><Relationship Id="rId215" Type="http://schemas.openxmlformats.org/officeDocument/2006/relationships/hyperlink" Target="https://acc.autodesk.com/docs/files/projects/1e597176-a716-43f8-be36-fdbb47ecdee5?folderUrn=urn:adsk.wipprod:fs.folder:co.BtADxt2wTy-hdvOnJPUroQ" TargetMode="External"/><Relationship Id="rId336" Type="http://schemas.openxmlformats.org/officeDocument/2006/relationships/hyperlink" Target="https://acc.autodesk.com/docs/files/projects/1e597176-a716-43f8-be36-fdbb47ecdee5?folderUrn=urn:adsk.wipprod:fs.folder:co.bz21ao8BRRyrw6m_EIgMPw&amp;entityId=urn:adsk.wipprod:dm.lineage:Xw2ob5fnRMOaePbZmLDKMg&amp;viewModel=detail&amp;moduleId=folders" TargetMode="External"/><Relationship Id="rId214" Type="http://schemas.openxmlformats.org/officeDocument/2006/relationships/hyperlink" Target="https://acc.autodesk.com/docs/files/projects/1e597176-a716-43f8-be36-fdbb47ecdee5?folderUrn=urn:adsk.wipprod:fs.folder:co.BtADxt2wTy-hdvOnJPUroQ&amp;entityId=urn:adsk.wipprod:dm.lineage:B-53FD36Rf6VIBdeVUL-xw&amp;viewModel=detail&amp;moduleId=folders" TargetMode="External"/><Relationship Id="rId335" Type="http://schemas.openxmlformats.org/officeDocument/2006/relationships/hyperlink" Target="https://acc.autodesk.com/docs/files/projects/1e597176-a716-43f8-be36-fdbb47ecdee5?folderUrn=urn:adsk.wipprod:fs.folder:co.bz21ao8BRRyrw6m_EIgMPw" TargetMode="External"/><Relationship Id="rId219" Type="http://schemas.openxmlformats.org/officeDocument/2006/relationships/hyperlink" Target="https://acc.autodesk.com/docs/files/projects/1e597176-a716-43f8-be36-fdbb47ecdee5?folderUrn=urn:adsk.wipprod:fs.folder:co.gneW-1t2SpuUo6Nf7Rj1vQ" TargetMode="External"/><Relationship Id="rId218" Type="http://schemas.openxmlformats.org/officeDocument/2006/relationships/hyperlink" Target="https://acc.autodesk.com/docs/files/projects/1e597176-a716-43f8-be36-fdbb47ecdee5?folderUrn=urn:adsk.wipprod:fs.folder:co.BtADxt2wTy-hdvOnJPUroQ&amp;entityId=urn:adsk.wipprod:dm.lineage:qPtzX1BpROyBwZy59HI7vQ&amp;viewModel=detail&amp;moduleId=folders" TargetMode="External"/><Relationship Id="rId339" Type="http://schemas.openxmlformats.org/officeDocument/2006/relationships/hyperlink" Target="https://acc.autodesk.com/docs/files/projects/1e597176-a716-43f8-be36-fdbb47ecdee5?folderUrn=urn:adsk.wipprod:fs.folder:co.bz21ao8BRRyrw6m_EIgMPw" TargetMode="External"/><Relationship Id="rId330" Type="http://schemas.openxmlformats.org/officeDocument/2006/relationships/hyperlink" Target="https://acc.autodesk.com/docs/files/projects/1e597176-a716-43f8-be36-fdbb47ecdee5?folderUrn=urn:adsk.wipprod:fs.folder:co.FxNM7TmRQoCV0Idg7eQ7qQ&amp;entityId=urn:adsk.wipprod:dm.lineage:m1HYjkfETfSrYMF90HR5sQ&amp;viewModel=detail&amp;moduleId=folders" TargetMode="External"/><Relationship Id="rId213" Type="http://schemas.openxmlformats.org/officeDocument/2006/relationships/hyperlink" Target="https://acc.autodesk.com/docs/files/projects/1e597176-a716-43f8-be36-fdbb47ecdee5?folderUrn=urn:adsk.wipprod:fs.folder:co.BtADxt2wTy-hdvOnJPUroQ" TargetMode="External"/><Relationship Id="rId334" Type="http://schemas.openxmlformats.org/officeDocument/2006/relationships/hyperlink" Target="https://acc.autodesk.com/docs/files/projects/1e597176-a716-43f8-be36-fdbb47ecdee5?folderUrn=urn:adsk.wipprod:fs.folder:co.bz21ao8BRRyrw6m_EIgMPw&amp;entityId=urn:adsk.wipprod:dm.lineage:sHQyG4fDTZu13Pv21V-C_g&amp;viewModel=detail&amp;moduleId=folders" TargetMode="External"/><Relationship Id="rId212" Type="http://schemas.openxmlformats.org/officeDocument/2006/relationships/hyperlink" Target="https://acc.autodesk.com/docs/files/projects/1e597176-a716-43f8-be36-fdbb47ecdee5?folderUrn=urn:adsk.wipprod:fs.folder:co.BtADxt2wTy-hdvOnJPUroQ&amp;entityId=urn:adsk.wipprod:dm.lineage:hwlMc86vS6WT6pSUDpmKHg&amp;viewModel=detail&amp;moduleId=folders" TargetMode="External"/><Relationship Id="rId333" Type="http://schemas.openxmlformats.org/officeDocument/2006/relationships/hyperlink" Target="https://acc.autodesk.com/docs/files/projects/1e597176-a716-43f8-be36-fdbb47ecdee5?folderUrn=urn:adsk.wipprod:fs.folder:co.bz21ao8BRRyrw6m_EIgMPw" TargetMode="External"/><Relationship Id="rId211" Type="http://schemas.openxmlformats.org/officeDocument/2006/relationships/hyperlink" Target="https://acc.autodesk.com/docs/files/projects/1e597176-a716-43f8-be36-fdbb47ecdee5?folderUrn=urn:adsk.wipprod:fs.folder:co.BtADxt2wTy-hdvOnJPUroQ" TargetMode="External"/><Relationship Id="rId332" Type="http://schemas.openxmlformats.org/officeDocument/2006/relationships/hyperlink" Target="https://acc.autodesk.com/docs/files/projects/1e597176-a716-43f8-be36-fdbb47ecdee5?folderUrn=urn:adsk.wipprod:fs.folder:co.bz21ao8BRRyrw6m_EIgMPw&amp;entityId=urn:adsk.wipprod:dm.lineage:XaGsXTFcRwCim6rASUy8Dw&amp;viewModel=detail&amp;moduleId=folders" TargetMode="External"/><Relationship Id="rId210" Type="http://schemas.openxmlformats.org/officeDocument/2006/relationships/hyperlink" Target="https://acc.autodesk.com/docs/files/projects/1e597176-a716-43f8-be36-fdbb47ecdee5?folderUrn=urn:adsk.wipprod:fs.folder:co.BtADxt2wTy-hdvOnJPUroQ&amp;entityId=urn:adsk.wipprod:dm.lineage:X4K88Uq9THmxHV__oyWbUw&amp;viewModel=detail&amp;moduleId=folders" TargetMode="External"/><Relationship Id="rId331" Type="http://schemas.openxmlformats.org/officeDocument/2006/relationships/hyperlink" Target="https://acc.autodesk.com/docs/files/projects/1e597176-a716-43f8-be36-fdbb47ecdee5?folderUrn=urn:adsk.wipprod:fs.folder:co.bz21ao8BRRyrw6m_EIgMPw" TargetMode="External"/><Relationship Id="rId370" Type="http://schemas.openxmlformats.org/officeDocument/2006/relationships/hyperlink" Target="https://acc.autodesk.com/docs/files/projects/1e597176-a716-43f8-be36-fdbb47ecdee5?folderUrn=urn:adsk.wipprod:fs.folder:co.412vmwRUS5WvAkIPx4HNUw&amp;entityId=urn:adsk.wipprod:dm.lineage:lmfeflz9TyaSc0asKsvJbQ&amp;viewModel=detail&amp;moduleId=folders" TargetMode="External"/><Relationship Id="rId129" Type="http://schemas.openxmlformats.org/officeDocument/2006/relationships/hyperlink" Target="https://acc.autodesk.com/docs/files/projects/1e597176-a716-43f8-be36-fdbb47ecdee5?folderUrn=urn:adsk.wipprod:fs.folder:co.ZUedFvpiSlenX0IHVAo8cA" TargetMode="External"/><Relationship Id="rId128" Type="http://schemas.openxmlformats.org/officeDocument/2006/relationships/hyperlink" Target="https://acc.autodesk.com/docs/files/projects/1e597176-a716-43f8-be36-fdbb47ecdee5?folderUrn=urn:adsk.wipprod:fs.folder:co.ZUedFvpiSlenX0IHVAo8cA&amp;entityId=urn:adsk.wipprod:dm.lineage:1YD9NM1aT4C_HatW7rD20Q&amp;viewModel=detail&amp;moduleId=folders" TargetMode="External"/><Relationship Id="rId249" Type="http://schemas.openxmlformats.org/officeDocument/2006/relationships/hyperlink" Target="https://acc.autodesk.com/docs/files/projects/1e597176-a716-43f8-be36-fdbb47ecdee5?folderUrn=urn:adsk.wipprod:fs.folder:co.gneW-1t2SpuUo6Nf7Rj1vQ" TargetMode="External"/><Relationship Id="rId127" Type="http://schemas.openxmlformats.org/officeDocument/2006/relationships/hyperlink" Target="https://acc.autodesk.com/docs/files/projects/1e597176-a716-43f8-be36-fdbb47ecdee5?folderUrn=urn:adsk.wipprod:fs.folder:co.ZUedFvpiSlenX0IHVAo8cA" TargetMode="External"/><Relationship Id="rId248" Type="http://schemas.openxmlformats.org/officeDocument/2006/relationships/hyperlink" Target="https://acc.autodesk.com/docs/files/projects/1e597176-a716-43f8-be36-fdbb47ecdee5?folderUrn=urn:adsk.wipprod:fs.folder:co.gneW-1t2SpuUo6Nf7Rj1vQ&amp;entityId=urn:adsk.wipprod:dm.lineage:p1L2QcnqRgGTgMkh2RO4Cw&amp;viewModel=detail&amp;moduleId=folders" TargetMode="External"/><Relationship Id="rId369" Type="http://schemas.openxmlformats.org/officeDocument/2006/relationships/hyperlink" Target="https://acc.autodesk.com/docs/files/projects/1e597176-a716-43f8-be36-fdbb47ecdee5?folderUrn=urn:adsk.wipprod:fs.folder:co.412vmwRUS5WvAkIPx4HNUw" TargetMode="External"/><Relationship Id="rId126" Type="http://schemas.openxmlformats.org/officeDocument/2006/relationships/hyperlink" Target="https://acc.autodesk.com/docs/files/projects/1e597176-a716-43f8-be36-fdbb47ecdee5?folderUrn=urn:adsk.wipprod:fs.folder:co.ZUedFvpiSlenX0IHVAo8cA&amp;entityId=urn:adsk.wipprod:dm.lineage:h6FWJdF0RLWRk4jfM8G2IQ&amp;viewModel=detail&amp;moduleId=folders" TargetMode="External"/><Relationship Id="rId247" Type="http://schemas.openxmlformats.org/officeDocument/2006/relationships/hyperlink" Target="https://acc.autodesk.com/docs/files/projects/1e597176-a716-43f8-be36-fdbb47ecdee5?folderUrn=urn:adsk.wipprod:fs.folder:co.gneW-1t2SpuUo6Nf7Rj1vQ" TargetMode="External"/><Relationship Id="rId368" Type="http://schemas.openxmlformats.org/officeDocument/2006/relationships/hyperlink" Target="https://acc.autodesk.com/docs/files/projects/1e597176-a716-43f8-be36-fdbb47ecdee5?folderUrn=urn:adsk.wipprod:fs.folder:co.412vmwRUS5WvAkIPx4HNUw&amp;entityId=urn:adsk.wipprod:dm.lineage:4OSe8S5YTOeFKzzOBYKRzg&amp;viewModel=detail&amp;moduleId=folders" TargetMode="External"/><Relationship Id="rId121" Type="http://schemas.openxmlformats.org/officeDocument/2006/relationships/hyperlink" Target="https://acc.autodesk.com/docs/files/projects/1e597176-a716-43f8-be36-fdbb47ecdee5?folderUrn=urn:adsk.wipprod:fs.folder:co.P6KU4gmUR526k4wTa-dzMQ" TargetMode="External"/><Relationship Id="rId242" Type="http://schemas.openxmlformats.org/officeDocument/2006/relationships/hyperlink" Target="https://acc.autodesk.com/docs/files/projects/1e597176-a716-43f8-be36-fdbb47ecdee5?folderUrn=urn:adsk.wipprod:fs.folder:co.gneW-1t2SpuUo6Nf7Rj1vQ&amp;entityId=urn:adsk.wipprod:dm.lineage:J3s39Eb2S8KUV2C50i6Ktg&amp;viewModel=detail&amp;moduleId=folders" TargetMode="External"/><Relationship Id="rId363" Type="http://schemas.openxmlformats.org/officeDocument/2006/relationships/hyperlink" Target="https://acc.autodesk.com/docs/files/projects/1e597176-a716-43f8-be36-fdbb47ecdee5?folderUrn=urn:adsk.wipprod:fs.folder:co.412vmwRUS5WvAkIPx4HNUw" TargetMode="External"/><Relationship Id="rId120" Type="http://schemas.openxmlformats.org/officeDocument/2006/relationships/hyperlink" Target="https://acc.autodesk.com/docs/files/projects/1e597176-a716-43f8-be36-fdbb47ecdee5?folderUrn=urn:adsk.wipprod:fs.folder:co.P6KU4gmUR526k4wTa-dzMQ&amp;entityId=urn:adsk.wipprod:dm.lineage:BXjY90CLQe2-247m9-9LwA&amp;viewModel=detail&amp;moduleId=folders" TargetMode="External"/><Relationship Id="rId241" Type="http://schemas.openxmlformats.org/officeDocument/2006/relationships/hyperlink" Target="https://acc.autodesk.com/docs/files/projects/1e597176-a716-43f8-be36-fdbb47ecdee5?folderUrn=urn:adsk.wipprod:fs.folder:co.gneW-1t2SpuUo6Nf7Rj1vQ" TargetMode="External"/><Relationship Id="rId362" Type="http://schemas.openxmlformats.org/officeDocument/2006/relationships/hyperlink" Target="https://acc.autodesk.com/docs/files/projects/1e597176-a716-43f8-be36-fdbb47ecdee5?folderUrn=urn:adsk.wipprod:fs.folder:co.412vmwRUS5WvAkIPx4HNUw&amp;entityId=urn:adsk.wipprod:dm.lineage:ROw1dUdUSb6CDhTB3IWUbg&amp;viewModel=detail&amp;moduleId=folders" TargetMode="External"/><Relationship Id="rId240" Type="http://schemas.openxmlformats.org/officeDocument/2006/relationships/hyperlink" Target="https://acc.autodesk.com/docs/files/projects/1e597176-a716-43f8-be36-fdbb47ecdee5?folderUrn=urn:adsk.wipprod:fs.folder:co.gneW-1t2SpuUo6Nf7Rj1vQ&amp;entityId=urn:adsk.wipprod:dm.lineage:mpMBjFEzQKWaUhATHl4IPQ&amp;viewModel=detail&amp;moduleId=folders" TargetMode="External"/><Relationship Id="rId361" Type="http://schemas.openxmlformats.org/officeDocument/2006/relationships/hyperlink" Target="https://acc.autodesk.com/docs/files/projects/1e597176-a716-43f8-be36-fdbb47ecdee5?folderUrn=urn:adsk.wipprod:fs.folder:co.412vmwRUS5WvAkIPx4HNUw" TargetMode="External"/><Relationship Id="rId360" Type="http://schemas.openxmlformats.org/officeDocument/2006/relationships/hyperlink" Target="https://acc.autodesk.com/docs/files/projects/1e597176-a716-43f8-be36-fdbb47ecdee5?folderUrn=urn:adsk.wipprod:fs.folder:co.412vmwRUS5WvAkIPx4HNUw&amp;entityId=urn:adsk.wipprod:dm.lineage:YfjfC5sHRY6xLjBEtfTEnQ&amp;viewModel=detail&amp;moduleId=folders" TargetMode="External"/><Relationship Id="rId125" Type="http://schemas.openxmlformats.org/officeDocument/2006/relationships/hyperlink" Target="https://acc.autodesk.com/docs/files/projects/1e597176-a716-43f8-be36-fdbb47ecdee5?folderUrn=urn:adsk.wipprod:fs.folder:co.ZUedFvpiSlenX0IHVAo8cA" TargetMode="External"/><Relationship Id="rId246" Type="http://schemas.openxmlformats.org/officeDocument/2006/relationships/hyperlink" Target="https://acc.autodesk.com/docs/files/projects/1e597176-a716-43f8-be36-fdbb47ecdee5?folderUrn=urn:adsk.wipprod:fs.folder:co.gneW-1t2SpuUo6Nf7Rj1vQ&amp;entityId=urn:adsk.wipprod:dm.lineage:DOGxse0pQYm0ztr8IANLog&amp;viewModel=detail&amp;moduleId=folders" TargetMode="External"/><Relationship Id="rId367" Type="http://schemas.openxmlformats.org/officeDocument/2006/relationships/hyperlink" Target="https://acc.autodesk.com/docs/files/projects/1e597176-a716-43f8-be36-fdbb47ecdee5?folderUrn=urn:adsk.wipprod:fs.folder:co.412vmwRUS5WvAkIPx4HNUw" TargetMode="External"/><Relationship Id="rId124" Type="http://schemas.openxmlformats.org/officeDocument/2006/relationships/hyperlink" Target="https://acc.autodesk.com/docs/files/projects/1e597176-a716-43f8-be36-fdbb47ecdee5?folderUrn=urn:adsk.wipprod:fs.folder:co.P6KU4gmUR526k4wTa-dzMQ&amp;entityId=urn:adsk.wipprod:dm.lineage:Vx0uQ0CITJuVLsgqVdGAPA&amp;viewModel=detail&amp;moduleId=folders" TargetMode="External"/><Relationship Id="rId245" Type="http://schemas.openxmlformats.org/officeDocument/2006/relationships/hyperlink" Target="https://acc.autodesk.com/docs/files/projects/1e597176-a716-43f8-be36-fdbb47ecdee5?folderUrn=urn:adsk.wipprod:fs.folder:co.gneW-1t2SpuUo6Nf7Rj1vQ" TargetMode="External"/><Relationship Id="rId366" Type="http://schemas.openxmlformats.org/officeDocument/2006/relationships/hyperlink" Target="https://acc.autodesk.com/docs/files/projects/1e597176-a716-43f8-be36-fdbb47ecdee5?folderUrn=urn:adsk.wipprod:fs.folder:co.412vmwRUS5WvAkIPx4HNUw&amp;entityId=urn:adsk.wipprod:dm.lineage:Tz9dctAmSWSQjmDRDR3fzA&amp;viewModel=detail&amp;moduleId=folders" TargetMode="External"/><Relationship Id="rId123" Type="http://schemas.openxmlformats.org/officeDocument/2006/relationships/hyperlink" Target="https://acc.autodesk.com/docs/files/projects/1e597176-a716-43f8-be36-fdbb47ecdee5?folderUrn=urn:adsk.wipprod:fs.folder:co.P6KU4gmUR526k4wTa-dzMQ" TargetMode="External"/><Relationship Id="rId244" Type="http://schemas.openxmlformats.org/officeDocument/2006/relationships/hyperlink" Target="https://acc.autodesk.com/docs/files/projects/1e597176-a716-43f8-be36-fdbb47ecdee5?folderUrn=urn:adsk.wipprod:fs.folder:co.gneW-1t2SpuUo6Nf7Rj1vQ&amp;entityId=urn:adsk.wipprod:dm.lineage:hOi-9RscRWiDu5YvBT823Q&amp;viewModel=detail&amp;moduleId=folders" TargetMode="External"/><Relationship Id="rId365" Type="http://schemas.openxmlformats.org/officeDocument/2006/relationships/hyperlink" Target="https://acc.autodesk.com/docs/files/projects/1e597176-a716-43f8-be36-fdbb47ecdee5?folderUrn=urn:adsk.wipprod:fs.folder:co.412vmwRUS5WvAkIPx4HNUw" TargetMode="External"/><Relationship Id="rId122" Type="http://schemas.openxmlformats.org/officeDocument/2006/relationships/hyperlink" Target="https://acc.autodesk.com/docs/files/projects/1e597176-a716-43f8-be36-fdbb47ecdee5?folderUrn=urn:adsk.wipprod:fs.folder:co.P6KU4gmUR526k4wTa-dzMQ&amp;entityId=urn:adsk.wipprod:dm.lineage:VpucPsUIQAS83fr-tU9BBA&amp;viewModel=detail&amp;moduleId=folders" TargetMode="External"/><Relationship Id="rId243" Type="http://schemas.openxmlformats.org/officeDocument/2006/relationships/hyperlink" Target="https://acc.autodesk.com/docs/files/projects/1e597176-a716-43f8-be36-fdbb47ecdee5?folderUrn=urn:adsk.wipprod:fs.folder:co.gneW-1t2SpuUo6Nf7Rj1vQ" TargetMode="External"/><Relationship Id="rId364" Type="http://schemas.openxmlformats.org/officeDocument/2006/relationships/hyperlink" Target="https://acc.autodesk.com/docs/files/projects/1e597176-a716-43f8-be36-fdbb47ecdee5?folderUrn=urn:adsk.wipprod:fs.folder:co.412vmwRUS5WvAkIPx4HNUw&amp;entityId=urn:adsk.wipprod:dm.lineage:YMlbHfAQSxy07T8UsQTL9A&amp;viewModel=detail&amp;moduleId=folders" TargetMode="External"/><Relationship Id="rId95" Type="http://schemas.openxmlformats.org/officeDocument/2006/relationships/hyperlink" Target="https://acc.autodesk.com/docs/files/projects/1e597176-a716-43f8-be36-fdbb47ecdee5?folderUrn=urn:adsk.wipprod:fs.folder:co.Itzia5npTcCaCtKM9vy6zg" TargetMode="External"/><Relationship Id="rId94" Type="http://schemas.openxmlformats.org/officeDocument/2006/relationships/hyperlink" Target="https://acc.autodesk.com/docs/files/projects/1e597176-a716-43f8-be36-fdbb47ecdee5?folderUrn=urn:adsk.wipprod:fs.folder:co.Itzia5npTcCaCtKM9vy6zg&amp;entityId=urn:adsk.wipprod:dm.lineage:vk393uX7RAqoDuqLm9-e3w&amp;viewModel=detail&amp;moduleId=folders" TargetMode="External"/><Relationship Id="rId97" Type="http://schemas.openxmlformats.org/officeDocument/2006/relationships/hyperlink" Target="https://acc.autodesk.com/docs/files/projects/1e597176-a716-43f8-be36-fdbb47ecdee5?folderUrn=urn:adsk.wipprod:fs.folder:co.Itzia5npTcCaCtKM9vy6zg" TargetMode="External"/><Relationship Id="rId96" Type="http://schemas.openxmlformats.org/officeDocument/2006/relationships/hyperlink" Target="https://acc.autodesk.com/docs/files/projects/1e597176-a716-43f8-be36-fdbb47ecdee5?folderUrn=urn:adsk.wipprod:fs.folder:co.Itzia5npTcCaCtKM9vy6zg&amp;entityId=urn:adsk.wipprod:dm.lineage:e0ojgxQES7-wkPCd6qc1Mg&amp;viewModel=detail&amp;moduleId=folders" TargetMode="External"/><Relationship Id="rId99" Type="http://schemas.openxmlformats.org/officeDocument/2006/relationships/hyperlink" Target="https://acc.autodesk.com/docs/files/projects/1e597176-a716-43f8-be36-fdbb47ecdee5?folderUrn=urn:adsk.wipprod:fs.folder:co.QsHNp-BFTfm5i1BggS3Kgw" TargetMode="External"/><Relationship Id="rId98" Type="http://schemas.openxmlformats.org/officeDocument/2006/relationships/hyperlink" Target="https://acc.autodesk.com/docs/files/projects/1e597176-a716-43f8-be36-fdbb47ecdee5?folderUrn=urn:adsk.wipprod:fs.folder:co.Itzia5npTcCaCtKM9vy6zg&amp;entityId=urn:adsk.wipprod:dm.lineage:bUWaUEK7R6q6G2RcIJI1GQ&amp;viewModel=detail&amp;moduleId=folders" TargetMode="External"/><Relationship Id="rId91" Type="http://schemas.openxmlformats.org/officeDocument/2006/relationships/hyperlink" Target="https://acc.autodesk.com/docs/files/projects/1e597176-a716-43f8-be36-fdbb47ecdee5?folderUrn=urn:adsk.wipprod:fs.folder:co.Itzia5npTcCaCtKM9vy6zg" TargetMode="External"/><Relationship Id="rId90" Type="http://schemas.openxmlformats.org/officeDocument/2006/relationships/hyperlink" Target="https://acc.autodesk.com/docs/files/projects/1e597176-a716-43f8-be36-fdbb47ecdee5?folderUrn=urn:adsk.wipprod:fs.folder:co.Itzia5npTcCaCtKM9vy6zg&amp;entityId=urn:adsk.wipprod:dm.lineage:F9nqGxToR9GE6_M2ieDrYw&amp;viewModel=detail&amp;moduleId=folders" TargetMode="External"/><Relationship Id="rId93" Type="http://schemas.openxmlformats.org/officeDocument/2006/relationships/hyperlink" Target="https://acc.autodesk.com/docs/files/projects/1e597176-a716-43f8-be36-fdbb47ecdee5?folderUrn=urn:adsk.wipprod:fs.folder:co.Itzia5npTcCaCtKM9vy6zg" TargetMode="External"/><Relationship Id="rId92" Type="http://schemas.openxmlformats.org/officeDocument/2006/relationships/hyperlink" Target="https://acc.autodesk.com/docs/files/projects/1e597176-a716-43f8-be36-fdbb47ecdee5?folderUrn=urn:adsk.wipprod:fs.folder:co.Itzia5npTcCaCtKM9vy6zg&amp;entityId=urn:adsk.wipprod:dm.lineage:dk1ZfQ5TSwC-8_NtKmxKqQ&amp;viewModel=detail&amp;moduleId=folders" TargetMode="External"/><Relationship Id="rId118" Type="http://schemas.openxmlformats.org/officeDocument/2006/relationships/hyperlink" Target="https://acc.autodesk.com/docs/files/projects/1e597176-a716-43f8-be36-fdbb47ecdee5?folderUrn=urn:adsk.wipprod:fs.folder:co.P6KU4gmUR526k4wTa-dzMQ&amp;entityId=urn:adsk.wipprod:dm.lineage:VAd67o_WQLqlAMS4UCumHQ&amp;viewModel=detail&amp;moduleId=folders" TargetMode="External"/><Relationship Id="rId239" Type="http://schemas.openxmlformats.org/officeDocument/2006/relationships/hyperlink" Target="https://acc.autodesk.com/docs/files/projects/1e597176-a716-43f8-be36-fdbb47ecdee5?folderUrn=urn:adsk.wipprod:fs.folder:co.gneW-1t2SpuUo6Nf7Rj1vQ" TargetMode="External"/><Relationship Id="rId117" Type="http://schemas.openxmlformats.org/officeDocument/2006/relationships/hyperlink" Target="https://acc.autodesk.com/docs/files/projects/1e597176-a716-43f8-be36-fdbb47ecdee5?folderUrn=urn:adsk.wipprod:fs.folder:co.P6KU4gmUR526k4wTa-dzMQ" TargetMode="External"/><Relationship Id="rId238" Type="http://schemas.openxmlformats.org/officeDocument/2006/relationships/hyperlink" Target="https://acc.autodesk.com/docs/files/projects/1e597176-a716-43f8-be36-fdbb47ecdee5?folderUrn=urn:adsk.wipprod:fs.folder:co.gneW-1t2SpuUo6Nf7Rj1vQ&amp;entityId=urn:adsk.wipprod:dm.lineage:3F-NPRwOQ3-t_-d9TWfrFQ&amp;viewModel=detail&amp;moduleId=folders" TargetMode="External"/><Relationship Id="rId359" Type="http://schemas.openxmlformats.org/officeDocument/2006/relationships/hyperlink" Target="https://acc.autodesk.com/docs/files/projects/1e597176-a716-43f8-be36-fdbb47ecdee5?folderUrn=urn:adsk.wipprod:fs.folder:co.412vmwRUS5WvAkIPx4HNUw" TargetMode="External"/><Relationship Id="rId116" Type="http://schemas.openxmlformats.org/officeDocument/2006/relationships/hyperlink" Target="https://acc.autodesk.com/docs/files/projects/1e597176-a716-43f8-be36-fdbb47ecdee5?folderUrn=urn:adsk.wipprod:fs.folder:co.P6KU4gmUR526k4wTa-dzMQ&amp;entityId=urn:adsk.wipprod:dm.lineage:EzRughBuRLyVlyfGYsN2RA&amp;viewModel=detail&amp;moduleId=folders" TargetMode="External"/><Relationship Id="rId237" Type="http://schemas.openxmlformats.org/officeDocument/2006/relationships/hyperlink" Target="https://acc.autodesk.com/docs/files/projects/1e597176-a716-43f8-be36-fdbb47ecdee5?folderUrn=urn:adsk.wipprod:fs.folder:co.gneW-1t2SpuUo6Nf7Rj1vQ" TargetMode="External"/><Relationship Id="rId358" Type="http://schemas.openxmlformats.org/officeDocument/2006/relationships/hyperlink" Target="https://acc.autodesk.com/docs/files/projects/1e597176-a716-43f8-be36-fdbb47ecdee5?folderUrn=urn:adsk.wipprod:fs.folder:co.412vmwRUS5WvAkIPx4HNUw&amp;entityId=urn:adsk.wipprod:dm.lineage:-L851NZ7QQK1Len5enymtg&amp;viewModel=detail&amp;moduleId=folders" TargetMode="External"/><Relationship Id="rId115" Type="http://schemas.openxmlformats.org/officeDocument/2006/relationships/hyperlink" Target="https://acc.autodesk.com/docs/files/projects/1e597176-a716-43f8-be36-fdbb47ecdee5?folderUrn=urn:adsk.wipprod:fs.folder:co.P6KU4gmUR526k4wTa-dzMQ" TargetMode="External"/><Relationship Id="rId236" Type="http://schemas.openxmlformats.org/officeDocument/2006/relationships/hyperlink" Target="https://acc.autodesk.com/docs/files/projects/1e597176-a716-43f8-be36-fdbb47ecdee5?folderUrn=urn:adsk.wipprod:fs.folder:co.gneW-1t2SpuUo6Nf7Rj1vQ&amp;entityId=urn:adsk.wipprod:dm.lineage:tddyO0YVTje8U3ZF0yUdGw&amp;viewModel=detail&amp;moduleId=folders" TargetMode="External"/><Relationship Id="rId357" Type="http://schemas.openxmlformats.org/officeDocument/2006/relationships/hyperlink" Target="https://acc.autodesk.com/docs/files/projects/1e597176-a716-43f8-be36-fdbb47ecdee5?folderUrn=urn:adsk.wipprod:fs.folder:co.412vmwRUS5WvAkIPx4HNUw" TargetMode="External"/><Relationship Id="rId119" Type="http://schemas.openxmlformats.org/officeDocument/2006/relationships/hyperlink" Target="https://acc.autodesk.com/docs/files/projects/1e597176-a716-43f8-be36-fdbb47ecdee5?folderUrn=urn:adsk.wipprod:fs.folder:co.P6KU4gmUR526k4wTa-dzMQ" TargetMode="External"/><Relationship Id="rId110" Type="http://schemas.openxmlformats.org/officeDocument/2006/relationships/hyperlink" Target="https://acc.autodesk.com/docs/files/projects/1e597176-a716-43f8-be36-fdbb47ecdee5?folderUrn=urn:adsk.wipprod:fs.folder:co.M8BwkpPFTwm0h2gRoHD-sQ&amp;entityId=urn:adsk.wipprod:dm.lineage:QxSznMmGRniPM-6boQRqag&amp;viewModel=detail&amp;moduleId=folders" TargetMode="External"/><Relationship Id="rId231" Type="http://schemas.openxmlformats.org/officeDocument/2006/relationships/hyperlink" Target="https://acc.autodesk.com/docs/files/projects/1e597176-a716-43f8-be36-fdbb47ecdee5?folderUrn=urn:adsk.wipprod:fs.folder:co.gneW-1t2SpuUo6Nf7Rj1vQ" TargetMode="External"/><Relationship Id="rId352" Type="http://schemas.openxmlformats.org/officeDocument/2006/relationships/hyperlink" Target="https://acc.autodesk.com/docs/files/projects/1e597176-a716-43f8-be36-fdbb47ecdee5?folderUrn=urn:adsk.wipprod:fs.folder:co.bz21ao8BRRyrw6m_EIgMPw&amp;entityId=urn:adsk.wipprod:dm.lineage:yfuRfzH7RiGxq3dSiEvUpg&amp;viewModel=detail&amp;moduleId=folders" TargetMode="External"/><Relationship Id="rId230" Type="http://schemas.openxmlformats.org/officeDocument/2006/relationships/hyperlink" Target="https://acc.autodesk.com/docs/files/projects/1e597176-a716-43f8-be36-fdbb47ecdee5?folderUrn=urn:adsk.wipprod:fs.folder:co.gneW-1t2SpuUo6Nf7Rj1vQ&amp;entityId=urn:adsk.wipprod:dm.lineage:hazvYksCRxSWQVAIwoMjyg&amp;viewModel=detail&amp;moduleId=folders" TargetMode="External"/><Relationship Id="rId351" Type="http://schemas.openxmlformats.org/officeDocument/2006/relationships/hyperlink" Target="https://acc.autodesk.com/docs/files/projects/1e597176-a716-43f8-be36-fdbb47ecdee5?folderUrn=urn:adsk.wipprod:fs.folder:co.bz21ao8BRRyrw6m_EIgMPw" TargetMode="External"/><Relationship Id="rId350" Type="http://schemas.openxmlformats.org/officeDocument/2006/relationships/hyperlink" Target="https://acc.autodesk.com/docs/files/projects/1e597176-a716-43f8-be36-fdbb47ecdee5?folderUrn=urn:adsk.wipprod:fs.folder:co.bz21ao8BRRyrw6m_EIgMPw&amp;entityId=urn:adsk.wipprod:dm.lineage:ji7u3d3BRja0VcrX_JeMqA&amp;viewModel=detail&amp;moduleId=folders" TargetMode="External"/><Relationship Id="rId114" Type="http://schemas.openxmlformats.org/officeDocument/2006/relationships/hyperlink" Target="https://acc.autodesk.com/docs/files/projects/1e597176-a716-43f8-be36-fdbb47ecdee5?folderUrn=urn:adsk.wipprod:fs.folder:co.M8BwkpPFTwm0h2gRoHD-sQ&amp;entityId=urn:adsk.wipprod:dm.lineage:ahG9QMT7Ts-DHBHhfGX_hQ&amp;viewModel=detail&amp;moduleId=folders" TargetMode="External"/><Relationship Id="rId235" Type="http://schemas.openxmlformats.org/officeDocument/2006/relationships/hyperlink" Target="https://acc.autodesk.com/docs/files/projects/1e597176-a716-43f8-be36-fdbb47ecdee5?folderUrn=urn:adsk.wipprod:fs.folder:co.gneW-1t2SpuUo6Nf7Rj1vQ" TargetMode="External"/><Relationship Id="rId356" Type="http://schemas.openxmlformats.org/officeDocument/2006/relationships/hyperlink" Target="https://acc.autodesk.com/docs/files/projects/1e597176-a716-43f8-be36-fdbb47ecdee5?folderUrn=urn:adsk.wipprod:fs.folder:co.bz21ao8BRRyrw6m_EIgMPw&amp;entityId=urn:adsk.wipprod:dm.lineage:dl0bSi3ORjK97yho4q0cvg&amp;viewModel=detail&amp;moduleId=folders" TargetMode="External"/><Relationship Id="rId113" Type="http://schemas.openxmlformats.org/officeDocument/2006/relationships/hyperlink" Target="https://acc.autodesk.com/docs/files/projects/1e597176-a716-43f8-be36-fdbb47ecdee5?folderUrn=urn:adsk.wipprod:fs.folder:co.M8BwkpPFTwm0h2gRoHD-sQ" TargetMode="External"/><Relationship Id="rId234" Type="http://schemas.openxmlformats.org/officeDocument/2006/relationships/hyperlink" Target="https://acc.autodesk.com/docs/files/projects/1e597176-a716-43f8-be36-fdbb47ecdee5?folderUrn=urn:adsk.wipprod:fs.folder:co.gneW-1t2SpuUo6Nf7Rj1vQ&amp;entityId=urn:adsk.wipprod:dm.lineage:oyzj_WN6QgC69Tpef8ZJ_g&amp;viewModel=detail&amp;moduleId=folders" TargetMode="External"/><Relationship Id="rId355" Type="http://schemas.openxmlformats.org/officeDocument/2006/relationships/hyperlink" Target="https://acc.autodesk.com/docs/files/projects/1e597176-a716-43f8-be36-fdbb47ecdee5?folderUrn=urn:adsk.wipprod:fs.folder:co.bz21ao8BRRyrw6m_EIgMPw" TargetMode="External"/><Relationship Id="rId112" Type="http://schemas.openxmlformats.org/officeDocument/2006/relationships/hyperlink" Target="https://acc.autodesk.com/docs/files/projects/1e597176-a716-43f8-be36-fdbb47ecdee5?folderUrn=urn:adsk.wipprod:fs.folder:co.M8BwkpPFTwm0h2gRoHD-sQ&amp;entityId=urn:adsk.wipprod:dm.lineage:amLhyfY0SjuQXlfOt_eryg&amp;viewModel=detail&amp;moduleId=folders" TargetMode="External"/><Relationship Id="rId233" Type="http://schemas.openxmlformats.org/officeDocument/2006/relationships/hyperlink" Target="https://acc.autodesk.com/docs/files/projects/1e597176-a716-43f8-be36-fdbb47ecdee5?folderUrn=urn:adsk.wipprod:fs.folder:co.gneW-1t2SpuUo6Nf7Rj1vQ" TargetMode="External"/><Relationship Id="rId354" Type="http://schemas.openxmlformats.org/officeDocument/2006/relationships/hyperlink" Target="https://acc.autodesk.com/docs/files/projects/1e597176-a716-43f8-be36-fdbb47ecdee5?folderUrn=urn:adsk.wipprod:fs.folder:co.bz21ao8BRRyrw6m_EIgMPw&amp;entityId=urn:adsk.wipprod:dm.lineage:yueTjGQnT9mrr5aW-8hwJA&amp;viewModel=detail&amp;moduleId=folders" TargetMode="External"/><Relationship Id="rId111" Type="http://schemas.openxmlformats.org/officeDocument/2006/relationships/hyperlink" Target="https://acc.autodesk.com/docs/files/projects/1e597176-a716-43f8-be36-fdbb47ecdee5?folderUrn=urn:adsk.wipprod:fs.folder:co.M8BwkpPFTwm0h2gRoHD-sQ" TargetMode="External"/><Relationship Id="rId232" Type="http://schemas.openxmlformats.org/officeDocument/2006/relationships/hyperlink" Target="https://acc.autodesk.com/docs/files/projects/1e597176-a716-43f8-be36-fdbb47ecdee5?folderUrn=urn:adsk.wipprod:fs.folder:co.gneW-1t2SpuUo6Nf7Rj1vQ&amp;entityId=urn:adsk.wipprod:dm.lineage:lFeq4-trQmuB5DP1GimbCQ&amp;viewModel=detail&amp;moduleId=folders" TargetMode="External"/><Relationship Id="rId353" Type="http://schemas.openxmlformats.org/officeDocument/2006/relationships/hyperlink" Target="https://acc.autodesk.com/docs/files/projects/1e597176-a716-43f8-be36-fdbb47ecdee5?folderUrn=urn:adsk.wipprod:fs.folder:co.bz21ao8BRRyrw6m_EIgMPw" TargetMode="External"/><Relationship Id="rId305" Type="http://schemas.openxmlformats.org/officeDocument/2006/relationships/hyperlink" Target="https://acc.autodesk.com/docs/files/projects/1e597176-a716-43f8-be36-fdbb47ecdee5?folderUrn=urn:adsk.wipprod:fs.folder:co.FxNM7TmRQoCV0Idg7eQ7qQ" TargetMode="External"/><Relationship Id="rId426" Type="http://schemas.openxmlformats.org/officeDocument/2006/relationships/hyperlink" Target="https://acc.autodesk.com/docs/files/projects/1e597176-a716-43f8-be36-fdbb47ecdee5?folderUrn=urn:adsk.wipprod:fs.folder:co.n7NyBqMQSDeL5nGLUmdk7A&amp;entityId=urn:adsk.wipprod:dm.lineage:62ES28VNRm2fBDVMyW7ztw&amp;viewModel=detail&amp;moduleId=folders" TargetMode="External"/><Relationship Id="rId304" Type="http://schemas.openxmlformats.org/officeDocument/2006/relationships/hyperlink" Target="https://acc.autodesk.com/docs/files/projects/1e597176-a716-43f8-be36-fdbb47ecdee5?folderUrn=urn:adsk.wipprod:fs.folder:co.FxNM7TmRQoCV0Idg7eQ7qQ&amp;entityId=urn:adsk.wipprod:dm.lineage:jwjmY-i1RBCC5RiIJ1qNDA&amp;viewModel=detail&amp;moduleId=folders" TargetMode="External"/><Relationship Id="rId425" Type="http://schemas.openxmlformats.org/officeDocument/2006/relationships/hyperlink" Target="https://acc.autodesk.com/docs/files/projects/1e597176-a716-43f8-be36-fdbb47ecdee5?folderUrn=urn:adsk.wipprod:fs.folder:co.n7NyBqMQSDeL5nGLUmdk7A" TargetMode="External"/><Relationship Id="rId303" Type="http://schemas.openxmlformats.org/officeDocument/2006/relationships/hyperlink" Target="https://acc.autodesk.com/docs/files/projects/1e597176-a716-43f8-be36-fdbb47ecdee5?folderUrn=urn:adsk.wipprod:fs.folder:co.FxNM7TmRQoCV0Idg7eQ7qQ" TargetMode="External"/><Relationship Id="rId424" Type="http://schemas.openxmlformats.org/officeDocument/2006/relationships/hyperlink" Target="https://acc.autodesk.com/docs/files/projects/1e597176-a716-43f8-be36-fdbb47ecdee5?folderUrn=urn:adsk.wipprod:fs.folder:co.n7NyBqMQSDeL5nGLUmdk7A&amp;entityId=urn:adsk.wipprod:dm.lineage:y5N5UplJStCxdM4Nq7WLzg&amp;viewModel=detail&amp;moduleId=folders" TargetMode="External"/><Relationship Id="rId302" Type="http://schemas.openxmlformats.org/officeDocument/2006/relationships/hyperlink" Target="https://acc.autodesk.com/docs/files/projects/1e597176-a716-43f8-be36-fdbb47ecdee5?folderUrn=urn:adsk.wipprod:fs.folder:co.FxNM7TmRQoCV0Idg7eQ7qQ&amp;entityId=urn:adsk.wipprod:dm.lineage:cR17Y7COT2GVseB1mFPvrw&amp;viewModel=detail&amp;moduleId=folders" TargetMode="External"/><Relationship Id="rId423" Type="http://schemas.openxmlformats.org/officeDocument/2006/relationships/hyperlink" Target="https://acc.autodesk.com/docs/files/projects/1e597176-a716-43f8-be36-fdbb47ecdee5?folderUrn=urn:adsk.wipprod:fs.folder:co.n7NyBqMQSDeL5nGLUmdk7A" TargetMode="External"/><Relationship Id="rId309" Type="http://schemas.openxmlformats.org/officeDocument/2006/relationships/hyperlink" Target="https://acc.autodesk.com/docs/files/projects/1e597176-a716-43f8-be36-fdbb47ecdee5?folderUrn=urn:adsk.wipprod:fs.folder:co.FxNM7TmRQoCV0Idg7eQ7qQ" TargetMode="External"/><Relationship Id="rId308" Type="http://schemas.openxmlformats.org/officeDocument/2006/relationships/hyperlink" Target="https://acc.autodesk.com/docs/files/projects/1e597176-a716-43f8-be36-fdbb47ecdee5?folderUrn=urn:adsk.wipprod:fs.folder:co.FxNM7TmRQoCV0Idg7eQ7qQ&amp;entityId=urn:adsk.wipprod:dm.lineage:EcLp_VKzQou1x97toKnLnw&amp;viewModel=detail&amp;moduleId=folders" TargetMode="External"/><Relationship Id="rId429" Type="http://schemas.openxmlformats.org/officeDocument/2006/relationships/hyperlink" Target="https://acc.autodesk.com/docs/files/projects/1e597176-a716-43f8-be36-fdbb47ecdee5?folderUrn=urn:adsk.wipprod:fs.folder:co.n7NyBqMQSDeL5nGLUmdk7A" TargetMode="External"/><Relationship Id="rId307" Type="http://schemas.openxmlformats.org/officeDocument/2006/relationships/hyperlink" Target="https://acc.autodesk.com/docs/files/projects/1e597176-a716-43f8-be36-fdbb47ecdee5?folderUrn=urn:adsk.wipprod:fs.folder:co.FxNM7TmRQoCV0Idg7eQ7qQ" TargetMode="External"/><Relationship Id="rId428" Type="http://schemas.openxmlformats.org/officeDocument/2006/relationships/hyperlink" Target="https://acc.autodesk.com/docs/files/projects/1e597176-a716-43f8-be36-fdbb47ecdee5?folderUrn=urn:adsk.wipprod:fs.folder:co.n7NyBqMQSDeL5nGLUmdk7A&amp;entityId=urn:adsk.wipprod:dm.lineage:JZsxrLdMQHq7fhaPEXTkuA&amp;viewModel=detail&amp;moduleId=folders" TargetMode="External"/><Relationship Id="rId306" Type="http://schemas.openxmlformats.org/officeDocument/2006/relationships/hyperlink" Target="https://acc.autodesk.com/docs/files/projects/1e597176-a716-43f8-be36-fdbb47ecdee5?folderUrn=urn:adsk.wipprod:fs.folder:co.FxNM7TmRQoCV0Idg7eQ7qQ&amp;entityId=urn:adsk.wipprod:dm.lineage:R7AU8hcsSfKp1anG8lhHrg&amp;viewModel=detail&amp;moduleId=folders" TargetMode="External"/><Relationship Id="rId427" Type="http://schemas.openxmlformats.org/officeDocument/2006/relationships/hyperlink" Target="https://acc.autodesk.com/docs/files/projects/1e597176-a716-43f8-be36-fdbb47ecdee5?folderUrn=urn:adsk.wipprod:fs.folder:co.n7NyBqMQSDeL5nGLUmdk7A" TargetMode="External"/><Relationship Id="rId301" Type="http://schemas.openxmlformats.org/officeDocument/2006/relationships/hyperlink" Target="https://acc.autodesk.com/docs/files/projects/1e597176-a716-43f8-be36-fdbb47ecdee5?folderUrn=urn:adsk.wipprod:fs.folder:co.FxNM7TmRQoCV0Idg7eQ7qQ" TargetMode="External"/><Relationship Id="rId422" Type="http://schemas.openxmlformats.org/officeDocument/2006/relationships/hyperlink" Target="https://acc.autodesk.com/docs/files/projects/1e597176-a716-43f8-be36-fdbb47ecdee5?folderUrn=urn:adsk.wipprod:fs.folder:co.3hoTHM-8TmiCBb87zdnAhg&amp;entityId=urn:adsk.wipprod:dm.lineage:aEupkExLTim4BpeWtPmWYg&amp;viewModel=detail&amp;moduleId=folders" TargetMode="External"/><Relationship Id="rId300" Type="http://schemas.openxmlformats.org/officeDocument/2006/relationships/hyperlink" Target="https://acc.autodesk.com/docs/files/projects/1e597176-a716-43f8-be36-fdbb47ecdee5?folderUrn=urn:adsk.wipprod:fs.folder:co.FxNM7TmRQoCV0Idg7eQ7qQ&amp;entityId=urn:adsk.wipprod:dm.lineage:qgcs4WYZRw6R2ha2YSOBWw&amp;viewModel=detail&amp;moduleId=folders" TargetMode="External"/><Relationship Id="rId421" Type="http://schemas.openxmlformats.org/officeDocument/2006/relationships/hyperlink" Target="https://acc.autodesk.com/docs/files/projects/1e597176-a716-43f8-be36-fdbb47ecdee5?folderUrn=urn:adsk.wipprod:fs.folder:co.3hoTHM-8TmiCBb87zdnAhg" TargetMode="External"/><Relationship Id="rId420" Type="http://schemas.openxmlformats.org/officeDocument/2006/relationships/hyperlink" Target="https://acc.autodesk.com/docs/files/projects/1e597176-a716-43f8-be36-fdbb47ecdee5?folderUrn=urn:adsk.wipprod:fs.folder:co.3hoTHM-8TmiCBb87zdnAhg&amp;entityId=urn:adsk.wipprod:dm.lineage:ZRWBwPZjR_WwUP8fZGOFbQ&amp;viewModel=detail&amp;moduleId=folders" TargetMode="External"/><Relationship Id="rId415" Type="http://schemas.openxmlformats.org/officeDocument/2006/relationships/hyperlink" Target="https://acc.autodesk.com/docs/files/projects/1e597176-a716-43f8-be36-fdbb47ecdee5?folderUrn=urn:adsk.wipprod:fs.folder:co.3hoTHM-8TmiCBb87zdnAhg" TargetMode="External"/><Relationship Id="rId414" Type="http://schemas.openxmlformats.org/officeDocument/2006/relationships/hyperlink" Target="https://acc.autodesk.com/docs/files/projects/1e597176-a716-43f8-be36-fdbb47ecdee5?folderUrn=urn:adsk.wipprod:fs.folder:co.3hoTHM-8TmiCBb87zdnAhg&amp;entityId=urn:adsk.wipprod:dm.lineage:dA4uOpxKRCKNIgyfYS2_lw&amp;viewModel=detail&amp;moduleId=folders" TargetMode="External"/><Relationship Id="rId413" Type="http://schemas.openxmlformats.org/officeDocument/2006/relationships/hyperlink" Target="https://acc.autodesk.com/docs/files/projects/1e597176-a716-43f8-be36-fdbb47ecdee5?folderUrn=urn:adsk.wipprod:fs.folder:co.3hoTHM-8TmiCBb87zdnAhg" TargetMode="External"/><Relationship Id="rId412" Type="http://schemas.openxmlformats.org/officeDocument/2006/relationships/hyperlink" Target="https://acc.autodesk.com/docs/files/projects/1e597176-a716-43f8-be36-fdbb47ecdee5?folderUrn=urn:adsk.wipprod:fs.folder:co.3hoTHM-8TmiCBb87zdnAhg&amp;entityId=urn:adsk.wipprod:dm.lineage:GfZb0xX4RleY8ZW-gekDwg&amp;viewModel=detail&amp;moduleId=folders" TargetMode="External"/><Relationship Id="rId419" Type="http://schemas.openxmlformats.org/officeDocument/2006/relationships/hyperlink" Target="https://acc.autodesk.com/docs/files/projects/1e597176-a716-43f8-be36-fdbb47ecdee5?folderUrn=urn:adsk.wipprod:fs.folder:co.3hoTHM-8TmiCBb87zdnAhg" TargetMode="External"/><Relationship Id="rId418" Type="http://schemas.openxmlformats.org/officeDocument/2006/relationships/hyperlink" Target="https://acc.autodesk.com/docs/files/projects/1e597176-a716-43f8-be36-fdbb47ecdee5?folderUrn=urn:adsk.wipprod:fs.folder:co.3hoTHM-8TmiCBb87zdnAhg&amp;entityId=urn:adsk.wipprod:dm.lineage:Byjj3RpeRuOdpGmTxIZ2yw&amp;viewModel=detail&amp;moduleId=folders" TargetMode="External"/><Relationship Id="rId417" Type="http://schemas.openxmlformats.org/officeDocument/2006/relationships/hyperlink" Target="https://acc.autodesk.com/docs/files/projects/1e597176-a716-43f8-be36-fdbb47ecdee5?folderUrn=urn:adsk.wipprod:fs.folder:co.3hoTHM-8TmiCBb87zdnAhg" TargetMode="External"/><Relationship Id="rId416" Type="http://schemas.openxmlformats.org/officeDocument/2006/relationships/hyperlink" Target="https://acc.autodesk.com/docs/files/projects/1e597176-a716-43f8-be36-fdbb47ecdee5?folderUrn=urn:adsk.wipprod:fs.folder:co.3hoTHM-8TmiCBb87zdnAhg&amp;entityId=urn:adsk.wipprod:dm.lineage:eiaoQCiKTBKHiqeb5QAUvA&amp;viewModel=detail&amp;moduleId=folders" TargetMode="External"/><Relationship Id="rId411" Type="http://schemas.openxmlformats.org/officeDocument/2006/relationships/hyperlink" Target="https://acc.autodesk.com/docs/files/projects/1e597176-a716-43f8-be36-fdbb47ecdee5?folderUrn=urn:adsk.wipprod:fs.folder:co.3hoTHM-8TmiCBb87zdnAhg" TargetMode="External"/><Relationship Id="rId410" Type="http://schemas.openxmlformats.org/officeDocument/2006/relationships/hyperlink" Target="https://acc.autodesk.com/docs/files/projects/1e597176-a716-43f8-be36-fdbb47ecdee5?folderUrn=urn:adsk.wipprod:fs.folder:co.3hoTHM-8TmiCBb87zdnAhg&amp;entityId=urn:adsk.wipprod:dm.lineage:ZyBaJ8tXQl-2rR-B30Qghw&amp;viewModel=detail&amp;moduleId=folders" TargetMode="External"/><Relationship Id="rId206" Type="http://schemas.openxmlformats.org/officeDocument/2006/relationships/hyperlink" Target="https://acc.autodesk.com/docs/files/projects/1e597176-a716-43f8-be36-fdbb47ecdee5?folderUrn=urn:adsk.wipprod:fs.folder:co.BtADxt2wTy-hdvOnJPUroQ&amp;entityId=urn:adsk.wipprod:dm.lineage:OZlzLFNOR6ye_3MjSGCOsg&amp;viewModel=detail&amp;moduleId=folders" TargetMode="External"/><Relationship Id="rId327" Type="http://schemas.openxmlformats.org/officeDocument/2006/relationships/hyperlink" Target="https://acc.autodesk.com/docs/files/projects/1e597176-a716-43f8-be36-fdbb47ecdee5?folderUrn=urn:adsk.wipprod:fs.folder:co.FxNM7TmRQoCV0Idg7eQ7qQ" TargetMode="External"/><Relationship Id="rId205" Type="http://schemas.openxmlformats.org/officeDocument/2006/relationships/hyperlink" Target="https://acc.autodesk.com/docs/files/projects/1e597176-a716-43f8-be36-fdbb47ecdee5?folderUrn=urn:adsk.wipprod:fs.folder:co.BtADxt2wTy-hdvOnJPUroQ" TargetMode="External"/><Relationship Id="rId326" Type="http://schemas.openxmlformats.org/officeDocument/2006/relationships/hyperlink" Target="https://acc.autodesk.com/docs/files/projects/1e597176-a716-43f8-be36-fdbb47ecdee5?folderUrn=urn:adsk.wipprod:fs.folder:co.FxNM7TmRQoCV0Idg7eQ7qQ&amp;entityId=urn:adsk.wipprod:dm.lineage:FtRmeWF7T_yjEuCmisFTSg&amp;viewModel=detail&amp;moduleId=folders" TargetMode="External"/><Relationship Id="rId447" Type="http://schemas.openxmlformats.org/officeDocument/2006/relationships/drawing" Target="../drawings/drawing10.xml"/><Relationship Id="rId204" Type="http://schemas.openxmlformats.org/officeDocument/2006/relationships/hyperlink" Target="https://acc.autodesk.com/docs/files/projects/1e597176-a716-43f8-be36-fdbb47ecdee5?folderUrn=urn:adsk.wipprod:fs.folder:co.BtADxt2wTy-hdvOnJPUroQ&amp;entityId=urn:adsk.wipprod:dm.lineage:Xe0ge1RZQvKnaT0990RiVQ&amp;viewModel=detail&amp;moduleId=folders" TargetMode="External"/><Relationship Id="rId325" Type="http://schemas.openxmlformats.org/officeDocument/2006/relationships/hyperlink" Target="https://acc.autodesk.com/docs/files/projects/1e597176-a716-43f8-be36-fdbb47ecdee5?folderUrn=urn:adsk.wipprod:fs.folder:co.FxNM7TmRQoCV0Idg7eQ7qQ" TargetMode="External"/><Relationship Id="rId446" Type="http://schemas.openxmlformats.org/officeDocument/2006/relationships/hyperlink" Target="https://acc.autodesk.com/docs/files/projects/1e597176-a716-43f8-be36-fdbb47ecdee5?folderUrn=urn:adsk.wipprod:fs.folder:co._e4NGP3nTAqnnsE7qGOKUQ&amp;entityId=urn:adsk.wipprod:dm.lineage:PK0Ew6xdSkqHsSGyjHhM3w&amp;viewModel=detail&amp;moduleId=folders" TargetMode="External"/><Relationship Id="rId203" Type="http://schemas.openxmlformats.org/officeDocument/2006/relationships/hyperlink" Target="https://acc.autodesk.com/docs/files/projects/1e597176-a716-43f8-be36-fdbb47ecdee5?folderUrn=urn:adsk.wipprod:fs.folder:co.BtADxt2wTy-hdvOnJPUroQ" TargetMode="External"/><Relationship Id="rId324" Type="http://schemas.openxmlformats.org/officeDocument/2006/relationships/hyperlink" Target="https://acc.autodesk.com/docs/files/projects/1e597176-a716-43f8-be36-fdbb47ecdee5?folderUrn=urn:adsk.wipprod:fs.folder:co.FxNM7TmRQoCV0Idg7eQ7qQ&amp;entityId=urn:adsk.wipprod:dm.lineage:np-T00LySf6w0tL-QYGj6A&amp;viewModel=detail&amp;moduleId=folders" TargetMode="External"/><Relationship Id="rId445" Type="http://schemas.openxmlformats.org/officeDocument/2006/relationships/hyperlink" Target="https://acc.autodesk.com/docs/files/projects/1e597176-a716-43f8-be36-fdbb47ecdee5?folderUrn=urn:adsk.wipprod:fs.folder:co._e4NGP3nTAqnnsE7qGOKUQ" TargetMode="External"/><Relationship Id="rId209" Type="http://schemas.openxmlformats.org/officeDocument/2006/relationships/hyperlink" Target="https://acc.autodesk.com/docs/files/projects/1e597176-a716-43f8-be36-fdbb47ecdee5?folderUrn=urn:adsk.wipprod:fs.folder:co.BtADxt2wTy-hdvOnJPUroQ" TargetMode="External"/><Relationship Id="rId208" Type="http://schemas.openxmlformats.org/officeDocument/2006/relationships/hyperlink" Target="https://acc.autodesk.com/docs/files/projects/1e597176-a716-43f8-be36-fdbb47ecdee5?folderUrn=urn:adsk.wipprod:fs.folder:co.BtADxt2wTy-hdvOnJPUroQ&amp;entityId=urn:adsk.wipprod:dm.lineage:pnP-GTOnS0y6lIdr6Hm1ug&amp;viewModel=detail&amp;moduleId=folders" TargetMode="External"/><Relationship Id="rId329" Type="http://schemas.openxmlformats.org/officeDocument/2006/relationships/hyperlink" Target="https://acc.autodesk.com/docs/files/projects/1e597176-a716-43f8-be36-fdbb47ecdee5?folderUrn=urn:adsk.wipprod:fs.folder:co.FxNM7TmRQoCV0Idg7eQ7qQ" TargetMode="External"/><Relationship Id="rId207" Type="http://schemas.openxmlformats.org/officeDocument/2006/relationships/hyperlink" Target="https://acc.autodesk.com/docs/files/projects/1e597176-a716-43f8-be36-fdbb47ecdee5?folderUrn=urn:adsk.wipprod:fs.folder:co.BtADxt2wTy-hdvOnJPUroQ" TargetMode="External"/><Relationship Id="rId328" Type="http://schemas.openxmlformats.org/officeDocument/2006/relationships/hyperlink" Target="https://acc.autodesk.com/docs/files/projects/1e597176-a716-43f8-be36-fdbb47ecdee5?folderUrn=urn:adsk.wipprod:fs.folder:co.FxNM7TmRQoCV0Idg7eQ7qQ&amp;entityId=urn:adsk.wipprod:dm.lineage:LwzcFHQnSTWa4hLDItv9Lg&amp;viewModel=detail&amp;moduleId=folders" TargetMode="External"/><Relationship Id="rId440" Type="http://schemas.openxmlformats.org/officeDocument/2006/relationships/hyperlink" Target="https://acc.autodesk.com/docs/files/projects/1e597176-a716-43f8-be36-fdbb47ecdee5?folderUrn=urn:adsk.wipprod:fs.folder:co._e4NGP3nTAqnnsE7qGOKUQ&amp;entityId=urn:adsk.wipprod:dm.lineage:vujasY1fQDyCtj9k5sTTXA&amp;viewModel=detail&amp;moduleId=folders" TargetMode="External"/><Relationship Id="rId202" Type="http://schemas.openxmlformats.org/officeDocument/2006/relationships/hyperlink" Target="https://acc.autodesk.com/docs/files/projects/1e597176-a716-43f8-be36-fdbb47ecdee5?folderUrn=urn:adsk.wipprod:fs.folder:co.BtADxt2wTy-hdvOnJPUroQ&amp;entityId=urn:adsk.wipprod:dm.lineage:a29XPfgtTUOc0-Ter74jZw&amp;viewModel=detail&amp;moduleId=folders" TargetMode="External"/><Relationship Id="rId323" Type="http://schemas.openxmlformats.org/officeDocument/2006/relationships/hyperlink" Target="https://acc.autodesk.com/docs/files/projects/1e597176-a716-43f8-be36-fdbb47ecdee5?folderUrn=urn:adsk.wipprod:fs.folder:co.FxNM7TmRQoCV0Idg7eQ7qQ" TargetMode="External"/><Relationship Id="rId444" Type="http://schemas.openxmlformats.org/officeDocument/2006/relationships/hyperlink" Target="https://acc.autodesk.com/docs/files/projects/1e597176-a716-43f8-be36-fdbb47ecdee5?folderUrn=urn:adsk.wipprod:fs.folder:co._e4NGP3nTAqnnsE7qGOKUQ&amp;entityId=urn:adsk.wipprod:dm.lineage:cY4U20RdTUySvbg2DO46Sg&amp;viewModel=detail&amp;moduleId=folders" TargetMode="External"/><Relationship Id="rId201" Type="http://schemas.openxmlformats.org/officeDocument/2006/relationships/hyperlink" Target="https://acc.autodesk.com/docs/files/projects/1e597176-a716-43f8-be36-fdbb47ecdee5?folderUrn=urn:adsk.wipprod:fs.folder:co.BtADxt2wTy-hdvOnJPUroQ" TargetMode="External"/><Relationship Id="rId322" Type="http://schemas.openxmlformats.org/officeDocument/2006/relationships/hyperlink" Target="https://acc.autodesk.com/docs/files/projects/1e597176-a716-43f8-be36-fdbb47ecdee5?folderUrn=urn:adsk.wipprod:fs.folder:co.FxNM7TmRQoCV0Idg7eQ7qQ&amp;entityId=urn:adsk.wipprod:dm.lineage:ozVaFPd6R3a_eO3u_1_5kw&amp;viewModel=detail&amp;moduleId=folders" TargetMode="External"/><Relationship Id="rId443" Type="http://schemas.openxmlformats.org/officeDocument/2006/relationships/hyperlink" Target="https://acc.autodesk.com/docs/files/projects/1e597176-a716-43f8-be36-fdbb47ecdee5?folderUrn=urn:adsk.wipprod:fs.folder:co._e4NGP3nTAqnnsE7qGOKUQ" TargetMode="External"/><Relationship Id="rId200" Type="http://schemas.openxmlformats.org/officeDocument/2006/relationships/hyperlink" Target="https://acc.autodesk.com/docs/files/projects/1e597176-a716-43f8-be36-fdbb47ecdee5?folderUrn=urn:adsk.wipprod:fs.folder:co.BtADxt2wTy-hdvOnJPUroQ&amp;entityId=urn:adsk.wipprod:dm.lineage:-bWe5omaTsGBXy0h2a2LlA&amp;viewModel=detail&amp;moduleId=folders" TargetMode="External"/><Relationship Id="rId321" Type="http://schemas.openxmlformats.org/officeDocument/2006/relationships/hyperlink" Target="https://acc.autodesk.com/docs/files/projects/1e597176-a716-43f8-be36-fdbb47ecdee5?folderUrn=urn:adsk.wipprod:fs.folder:co.FxNM7TmRQoCV0Idg7eQ7qQ" TargetMode="External"/><Relationship Id="rId442" Type="http://schemas.openxmlformats.org/officeDocument/2006/relationships/hyperlink" Target="https://acc.autodesk.com/docs/files/projects/1e597176-a716-43f8-be36-fdbb47ecdee5?folderUrn=urn:adsk.wipprod:fs.folder:co._e4NGP3nTAqnnsE7qGOKUQ&amp;entityId=urn:adsk.wipprod:dm.lineage:vnUbmdpUQHKHrgaqHqwUxA&amp;viewModel=detail&amp;moduleId=folders" TargetMode="External"/><Relationship Id="rId320" Type="http://schemas.openxmlformats.org/officeDocument/2006/relationships/hyperlink" Target="https://acc.autodesk.com/docs/files/projects/1e597176-a716-43f8-be36-fdbb47ecdee5?folderUrn=urn:adsk.wipprod:fs.folder:co.FxNM7TmRQoCV0Idg7eQ7qQ&amp;entityId=urn:adsk.wipprod:dm.lineage:MV5cfC1rS4ilX1d7M4cB0w&amp;viewModel=detail&amp;moduleId=folders" TargetMode="External"/><Relationship Id="rId441" Type="http://schemas.openxmlformats.org/officeDocument/2006/relationships/hyperlink" Target="https://acc.autodesk.com/docs/files/projects/1e597176-a716-43f8-be36-fdbb47ecdee5?folderUrn=urn:adsk.wipprod:fs.folder:co._e4NGP3nTAqnnsE7qGOKUQ" TargetMode="External"/><Relationship Id="rId316" Type="http://schemas.openxmlformats.org/officeDocument/2006/relationships/hyperlink" Target="https://acc.autodesk.com/docs/files/projects/1e597176-a716-43f8-be36-fdbb47ecdee5?folderUrn=urn:adsk.wipprod:fs.folder:co.FxNM7TmRQoCV0Idg7eQ7qQ&amp;entityId=urn:adsk.wipprod:dm.lineage:egSR_lstROWZ-Z0iWMO0_g&amp;viewModel=detail&amp;moduleId=folders" TargetMode="External"/><Relationship Id="rId437" Type="http://schemas.openxmlformats.org/officeDocument/2006/relationships/hyperlink" Target="https://acc.autodesk.com/docs/files/projects/1e597176-a716-43f8-be36-fdbb47ecdee5?folderUrn=urn:adsk.wipprod:fs.folder:co._e4NGP3nTAqnnsE7qGOKUQ" TargetMode="External"/><Relationship Id="rId315" Type="http://schemas.openxmlformats.org/officeDocument/2006/relationships/hyperlink" Target="https://acc.autodesk.com/docs/files/projects/1e597176-a716-43f8-be36-fdbb47ecdee5?folderUrn=urn:adsk.wipprod:fs.folder:co.FxNM7TmRQoCV0Idg7eQ7qQ" TargetMode="External"/><Relationship Id="rId436" Type="http://schemas.openxmlformats.org/officeDocument/2006/relationships/hyperlink" Target="https://acc.autodesk.com/docs/files/projects/1e597176-a716-43f8-be36-fdbb47ecdee5?folderUrn=urn:adsk.wipprod:fs.folder:co._e4NGP3nTAqnnsE7qGOKUQ&amp;entityId=urn:adsk.wipprod:dm.lineage:yyZaUWS3Q6CyMNjaaulFKQ&amp;viewModel=detail&amp;moduleId=folders" TargetMode="External"/><Relationship Id="rId314" Type="http://schemas.openxmlformats.org/officeDocument/2006/relationships/hyperlink" Target="https://acc.autodesk.com/docs/files/projects/1e597176-a716-43f8-be36-fdbb47ecdee5?folderUrn=urn:adsk.wipprod:fs.folder:co.FxNM7TmRQoCV0Idg7eQ7qQ&amp;entityId=urn:adsk.wipprod:dm.lineage:ZTKgopOmTFOEjJoU_rfoiw&amp;viewModel=detail&amp;moduleId=folders" TargetMode="External"/><Relationship Id="rId435" Type="http://schemas.openxmlformats.org/officeDocument/2006/relationships/hyperlink" Target="https://acc.autodesk.com/docs/files/projects/1e597176-a716-43f8-be36-fdbb47ecdee5?folderUrn=urn:adsk.wipprod:fs.folder:co._e4NGP3nTAqnnsE7qGOKUQ" TargetMode="External"/><Relationship Id="rId313" Type="http://schemas.openxmlformats.org/officeDocument/2006/relationships/hyperlink" Target="https://acc.autodesk.com/docs/files/projects/1e597176-a716-43f8-be36-fdbb47ecdee5?folderUrn=urn:adsk.wipprod:fs.folder:co.FxNM7TmRQoCV0Idg7eQ7qQ" TargetMode="External"/><Relationship Id="rId434" Type="http://schemas.openxmlformats.org/officeDocument/2006/relationships/hyperlink" Target="https://acc.autodesk.com/docs/files/projects/1e597176-a716-43f8-be36-fdbb47ecdee5?folderUrn=urn:adsk.wipprod:fs.folder:co.n7NyBqMQSDeL5nGLUmdk7A&amp;entityId=urn:adsk.wipprod:dm.lineage:T95pgcedT7-lNBmv6h7ZDw&amp;viewModel=detail&amp;moduleId=folders" TargetMode="External"/><Relationship Id="rId319" Type="http://schemas.openxmlformats.org/officeDocument/2006/relationships/hyperlink" Target="https://acc.autodesk.com/docs/files/projects/1e597176-a716-43f8-be36-fdbb47ecdee5?folderUrn=urn:adsk.wipprod:fs.folder:co.FxNM7TmRQoCV0Idg7eQ7qQ" TargetMode="External"/><Relationship Id="rId318" Type="http://schemas.openxmlformats.org/officeDocument/2006/relationships/hyperlink" Target="https://acc.autodesk.com/docs/files/projects/1e597176-a716-43f8-be36-fdbb47ecdee5?folderUrn=urn:adsk.wipprod:fs.folder:co.FxNM7TmRQoCV0Idg7eQ7qQ&amp;entityId=urn:adsk.wipprod:dm.lineage:ZOAjE6gLRJmbUfw6WhzXTw&amp;viewModel=detail&amp;moduleId=folders" TargetMode="External"/><Relationship Id="rId439" Type="http://schemas.openxmlformats.org/officeDocument/2006/relationships/hyperlink" Target="https://acc.autodesk.com/docs/files/projects/1e597176-a716-43f8-be36-fdbb47ecdee5?folderUrn=urn:adsk.wipprod:fs.folder:co._e4NGP3nTAqnnsE7qGOKUQ" TargetMode="External"/><Relationship Id="rId317" Type="http://schemas.openxmlformats.org/officeDocument/2006/relationships/hyperlink" Target="https://acc.autodesk.com/docs/files/projects/1e597176-a716-43f8-be36-fdbb47ecdee5?folderUrn=urn:adsk.wipprod:fs.folder:co.FxNM7TmRQoCV0Idg7eQ7qQ" TargetMode="External"/><Relationship Id="rId438" Type="http://schemas.openxmlformats.org/officeDocument/2006/relationships/hyperlink" Target="https://acc.autodesk.com/docs/files/projects/1e597176-a716-43f8-be36-fdbb47ecdee5?folderUrn=urn:adsk.wipprod:fs.folder:co._e4NGP3nTAqnnsE7qGOKUQ&amp;entityId=urn:adsk.wipprod:dm.lineage:lAPKa1pDQaaiT1WLLQjp6A&amp;viewModel=detail&amp;moduleId=folders" TargetMode="External"/><Relationship Id="rId312" Type="http://schemas.openxmlformats.org/officeDocument/2006/relationships/hyperlink" Target="https://acc.autodesk.com/docs/files/projects/1e597176-a716-43f8-be36-fdbb47ecdee5?folderUrn=urn:adsk.wipprod:fs.folder:co.FxNM7TmRQoCV0Idg7eQ7qQ&amp;entityId=urn:adsk.wipprod:dm.lineage:4l9t_DQQRZ6z6hxYsg0IGg&amp;viewModel=detail&amp;moduleId=folders" TargetMode="External"/><Relationship Id="rId433" Type="http://schemas.openxmlformats.org/officeDocument/2006/relationships/hyperlink" Target="https://acc.autodesk.com/docs/files/projects/1e597176-a716-43f8-be36-fdbb47ecdee5?folderUrn=urn:adsk.wipprod:fs.folder:co.n7NyBqMQSDeL5nGLUmdk7A" TargetMode="External"/><Relationship Id="rId311" Type="http://schemas.openxmlformats.org/officeDocument/2006/relationships/hyperlink" Target="https://acc.autodesk.com/docs/files/projects/1e597176-a716-43f8-be36-fdbb47ecdee5?folderUrn=urn:adsk.wipprod:fs.folder:co.FxNM7TmRQoCV0Idg7eQ7qQ" TargetMode="External"/><Relationship Id="rId432" Type="http://schemas.openxmlformats.org/officeDocument/2006/relationships/hyperlink" Target="https://acc.autodesk.com/docs/files/projects/1e597176-a716-43f8-be36-fdbb47ecdee5?folderUrn=urn:adsk.wipprod:fs.folder:co.n7NyBqMQSDeL5nGLUmdk7A&amp;entityId=urn:adsk.wipprod:dm.lineage:Mq4gZGxBQrqABpmz9PLyig&amp;viewModel=detail&amp;moduleId=folders" TargetMode="External"/><Relationship Id="rId310" Type="http://schemas.openxmlformats.org/officeDocument/2006/relationships/hyperlink" Target="https://acc.autodesk.com/docs/files/projects/1e597176-a716-43f8-be36-fdbb47ecdee5?folderUrn=urn:adsk.wipprod:fs.folder:co.FxNM7TmRQoCV0Idg7eQ7qQ&amp;entityId=urn:adsk.wipprod:dm.lineage:T5pYvFjGRaedXb1Vw6JoTg&amp;viewModel=detail&amp;moduleId=folders" TargetMode="External"/><Relationship Id="rId431" Type="http://schemas.openxmlformats.org/officeDocument/2006/relationships/hyperlink" Target="https://acc.autodesk.com/docs/files/projects/1e597176-a716-43f8-be36-fdbb47ecdee5?folderUrn=urn:adsk.wipprod:fs.folder:co.n7NyBqMQSDeL5nGLUmdk7A" TargetMode="External"/><Relationship Id="rId430" Type="http://schemas.openxmlformats.org/officeDocument/2006/relationships/hyperlink" Target="https://acc.autodesk.com/docs/files/projects/1e597176-a716-43f8-be36-fdbb47ecdee5?folderUrn=urn:adsk.wipprod:fs.folder:co.n7NyBqMQSDeL5nGLUmdk7A&amp;entityId=urn:adsk.wipprod:dm.lineage:66E-mhkFR4av2u8SnsJCZg&amp;viewModel=detail&amp;moduleId=folder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Row="1"/>
  <cols>
    <col customWidth="1" hidden="1" min="1" max="1" width="5.88"/>
    <col customWidth="1" min="2" max="3" width="39.38"/>
    <col customWidth="1" min="4" max="4" width="10.88"/>
    <col customWidth="1" min="5" max="5" width="19.75"/>
    <col customWidth="1" min="6" max="6" width="10.75"/>
    <col customWidth="1" min="7" max="7" width="18.63"/>
    <col customWidth="1" min="8" max="8" width="9.38"/>
    <col customWidth="1" min="9" max="11" width="20.38"/>
    <col customWidth="1" min="12" max="12" width="18.75"/>
    <col customWidth="1" min="13" max="13" width="15.25"/>
    <col customWidth="1" min="14" max="15" width="16.25"/>
    <col customWidth="1" min="16" max="21" width="17.13"/>
    <col customWidth="1" min="22" max="22" width="22.13"/>
    <col customWidth="1" min="23" max="23" width="16.38"/>
    <col customWidth="1" min="24" max="24" width="16.25"/>
    <col customWidth="1" min="25" max="62" width="16.88"/>
    <col customWidth="1" min="63" max="64" width="16.38"/>
    <col customWidth="1" min="65" max="195" width="16.75"/>
    <col customWidth="1" min="196" max="196" width="94.0"/>
    <col customWidth="1" min="197" max="197" width="16.25"/>
    <col customWidth="1" min="198" max="198" width="51.75"/>
  </cols>
  <sheetData>
    <row r="1" ht="111.0" customHeight="1">
      <c r="A1" s="1"/>
      <c r="B1" s="2"/>
      <c r="C1" s="3"/>
      <c r="D1" s="4" t="s">
        <v>0</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6"/>
      <c r="FO1" s="5"/>
      <c r="FP1" s="5"/>
      <c r="FQ1" s="5"/>
      <c r="FR1" s="5"/>
      <c r="FS1" s="5"/>
      <c r="FT1" s="5"/>
      <c r="FU1" s="5"/>
      <c r="FV1" s="5"/>
      <c r="FW1" s="5"/>
      <c r="FX1" s="5"/>
      <c r="FY1" s="5"/>
      <c r="FZ1" s="5"/>
      <c r="GA1" s="5"/>
      <c r="GB1" s="5"/>
      <c r="GC1" s="5"/>
      <c r="GD1" s="5"/>
      <c r="GE1" s="5"/>
      <c r="GF1" s="5"/>
      <c r="GG1" s="5"/>
      <c r="GH1" s="5"/>
      <c r="GI1" s="5"/>
      <c r="GJ1" s="5"/>
      <c r="GK1" s="5"/>
      <c r="GL1" s="5"/>
      <c r="GM1" s="7"/>
      <c r="GO1" s="8"/>
      <c r="GP1" s="8"/>
    </row>
    <row r="2">
      <c r="A2" s="9"/>
      <c r="B2" s="10" t="s">
        <v>1</v>
      </c>
      <c r="C2" s="11"/>
      <c r="D2" s="12"/>
      <c r="E2" s="12"/>
      <c r="F2" s="13"/>
      <c r="G2" s="12"/>
      <c r="H2" s="12"/>
      <c r="I2" s="12"/>
      <c r="J2" s="12"/>
      <c r="K2" s="12"/>
      <c r="L2" s="12"/>
      <c r="M2" s="12"/>
      <c r="N2" s="12"/>
      <c r="O2" s="12"/>
      <c r="P2" s="12"/>
      <c r="Q2" s="12"/>
      <c r="R2" s="12"/>
      <c r="S2" s="12"/>
      <c r="T2" s="12"/>
      <c r="U2" s="12"/>
      <c r="V2" s="14" t="s">
        <v>2</v>
      </c>
      <c r="W2" s="15" t="s">
        <v>3</v>
      </c>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7"/>
      <c r="BK2" s="18" t="s">
        <v>4</v>
      </c>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7"/>
      <c r="CY2" s="18" t="s">
        <v>5</v>
      </c>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7"/>
      <c r="EI2" s="15" t="s">
        <v>6</v>
      </c>
      <c r="EJ2" s="16"/>
      <c r="EK2" s="16"/>
      <c r="EL2" s="16"/>
      <c r="EM2" s="16"/>
      <c r="EN2" s="16"/>
      <c r="EO2" s="16"/>
      <c r="EP2" s="16"/>
      <c r="EQ2" s="16"/>
      <c r="ER2" s="16"/>
      <c r="ES2" s="16"/>
      <c r="ET2" s="16"/>
      <c r="EU2" s="16"/>
      <c r="EV2" s="16"/>
      <c r="EW2" s="16"/>
      <c r="EX2" s="16"/>
      <c r="EY2" s="17"/>
      <c r="EZ2" s="15" t="s">
        <v>7</v>
      </c>
      <c r="FA2" s="17"/>
      <c r="FB2" s="15" t="s">
        <v>8</v>
      </c>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7"/>
      <c r="GN2" s="8"/>
      <c r="GO2" s="8"/>
      <c r="GP2" s="8"/>
    </row>
    <row r="3" ht="54.0" customHeight="1">
      <c r="A3" s="19"/>
      <c r="B3" s="20" t="s">
        <v>9</v>
      </c>
      <c r="C3" s="21" t="s">
        <v>10</v>
      </c>
      <c r="D3" s="22" t="s">
        <v>11</v>
      </c>
      <c r="E3" s="23" t="s">
        <v>12</v>
      </c>
      <c r="F3" s="13" t="s">
        <v>13</v>
      </c>
      <c r="G3" s="23" t="s">
        <v>14</v>
      </c>
      <c r="H3" s="24" t="s">
        <v>13</v>
      </c>
      <c r="I3" s="25" t="s">
        <v>15</v>
      </c>
      <c r="J3" s="25" t="s">
        <v>16</v>
      </c>
      <c r="K3" s="26" t="s">
        <v>17</v>
      </c>
      <c r="L3" s="26" t="s">
        <v>18</v>
      </c>
      <c r="M3" s="27" t="s">
        <v>19</v>
      </c>
      <c r="N3" s="27" t="s">
        <v>20</v>
      </c>
      <c r="O3" s="28" t="s">
        <v>21</v>
      </c>
      <c r="P3" s="27" t="s">
        <v>22</v>
      </c>
      <c r="Q3" s="27" t="s">
        <v>23</v>
      </c>
      <c r="R3" s="28" t="s">
        <v>24</v>
      </c>
      <c r="S3" s="27" t="s">
        <v>25</v>
      </c>
      <c r="T3" s="27" t="s">
        <v>26</v>
      </c>
      <c r="U3" s="28" t="s">
        <v>27</v>
      </c>
      <c r="V3" s="29" t="s">
        <v>28</v>
      </c>
      <c r="W3" s="30" t="s">
        <v>29</v>
      </c>
      <c r="X3" s="31" t="s">
        <v>30</v>
      </c>
      <c r="Y3" s="32" t="s">
        <v>31</v>
      </c>
      <c r="Z3" s="33" t="s">
        <v>32</v>
      </c>
      <c r="AA3" s="34" t="s">
        <v>33</v>
      </c>
      <c r="AB3" s="35" t="s">
        <v>34</v>
      </c>
      <c r="AC3" s="36" t="s">
        <v>35</v>
      </c>
      <c r="AD3" s="37" t="s">
        <v>36</v>
      </c>
      <c r="AE3" s="38" t="s">
        <v>37</v>
      </c>
      <c r="AF3" s="38" t="s">
        <v>38</v>
      </c>
      <c r="AG3" s="38" t="s">
        <v>39</v>
      </c>
      <c r="AH3" s="38" t="s">
        <v>40</v>
      </c>
      <c r="AI3" s="38" t="s">
        <v>41</v>
      </c>
      <c r="AJ3" s="38" t="s">
        <v>42</v>
      </c>
      <c r="AK3" s="38" t="s">
        <v>43</v>
      </c>
      <c r="AL3" s="38" t="s">
        <v>44</v>
      </c>
      <c r="AM3" s="38" t="s">
        <v>45</v>
      </c>
      <c r="AN3" s="38" t="s">
        <v>46</v>
      </c>
      <c r="AO3" s="38" t="s">
        <v>47</v>
      </c>
      <c r="AP3" s="38" t="s">
        <v>48</v>
      </c>
      <c r="AQ3" s="38" t="s">
        <v>49</v>
      </c>
      <c r="AR3" s="38" t="s">
        <v>50</v>
      </c>
      <c r="AS3" s="38" t="s">
        <v>51</v>
      </c>
      <c r="AT3" s="38" t="s">
        <v>52</v>
      </c>
      <c r="AU3" s="38" t="s">
        <v>53</v>
      </c>
      <c r="AV3" s="38" t="s">
        <v>54</v>
      </c>
      <c r="AW3" s="38" t="s">
        <v>55</v>
      </c>
      <c r="AX3" s="38" t="s">
        <v>56</v>
      </c>
      <c r="AY3" s="38" t="s">
        <v>57</v>
      </c>
      <c r="AZ3" s="38" t="s">
        <v>58</v>
      </c>
      <c r="BA3" s="38" t="s">
        <v>59</v>
      </c>
      <c r="BB3" s="38" t="s">
        <v>60</v>
      </c>
      <c r="BC3" s="38" t="s">
        <v>61</v>
      </c>
      <c r="BD3" s="38" t="s">
        <v>62</v>
      </c>
      <c r="BE3" s="38" t="s">
        <v>63</v>
      </c>
      <c r="BF3" s="38" t="s">
        <v>64</v>
      </c>
      <c r="BG3" s="38" t="s">
        <v>65</v>
      </c>
      <c r="BH3" s="38" t="s">
        <v>66</v>
      </c>
      <c r="BI3" s="38" t="s">
        <v>67</v>
      </c>
      <c r="BJ3" s="39" t="s">
        <v>68</v>
      </c>
      <c r="BK3" s="40" t="s">
        <v>29</v>
      </c>
      <c r="BL3" s="41" t="s">
        <v>30</v>
      </c>
      <c r="BM3" s="42" t="s">
        <v>31</v>
      </c>
      <c r="BN3" s="43" t="s">
        <v>32</v>
      </c>
      <c r="BO3" s="44" t="s">
        <v>33</v>
      </c>
      <c r="BP3" s="45" t="s">
        <v>34</v>
      </c>
      <c r="BQ3" s="46" t="s">
        <v>35</v>
      </c>
      <c r="BR3" s="47" t="s">
        <v>36</v>
      </c>
      <c r="BS3" s="48" t="s">
        <v>37</v>
      </c>
      <c r="BT3" s="48" t="s">
        <v>38</v>
      </c>
      <c r="BU3" s="48" t="s">
        <v>39</v>
      </c>
      <c r="BV3" s="48" t="s">
        <v>40</v>
      </c>
      <c r="BW3" s="48" t="s">
        <v>41</v>
      </c>
      <c r="BX3" s="48" t="s">
        <v>42</v>
      </c>
      <c r="BY3" s="48" t="s">
        <v>43</v>
      </c>
      <c r="BZ3" s="48" t="s">
        <v>44</v>
      </c>
      <c r="CA3" s="48" t="s">
        <v>45</v>
      </c>
      <c r="CB3" s="48" t="s">
        <v>46</v>
      </c>
      <c r="CC3" s="48" t="s">
        <v>47</v>
      </c>
      <c r="CD3" s="48" t="s">
        <v>48</v>
      </c>
      <c r="CE3" s="48" t="s">
        <v>49</v>
      </c>
      <c r="CF3" s="48" t="s">
        <v>50</v>
      </c>
      <c r="CG3" s="48" t="s">
        <v>51</v>
      </c>
      <c r="CH3" s="48" t="s">
        <v>52</v>
      </c>
      <c r="CI3" s="48" t="s">
        <v>53</v>
      </c>
      <c r="CJ3" s="48" t="s">
        <v>54</v>
      </c>
      <c r="CK3" s="48" t="s">
        <v>55</v>
      </c>
      <c r="CL3" s="48" t="s">
        <v>56</v>
      </c>
      <c r="CM3" s="48" t="s">
        <v>57</v>
      </c>
      <c r="CN3" s="48" t="s">
        <v>58</v>
      </c>
      <c r="CO3" s="48" t="s">
        <v>59</v>
      </c>
      <c r="CP3" s="38" t="s">
        <v>60</v>
      </c>
      <c r="CQ3" s="38" t="s">
        <v>61</v>
      </c>
      <c r="CR3" s="38" t="s">
        <v>62</v>
      </c>
      <c r="CS3" s="38" t="s">
        <v>63</v>
      </c>
      <c r="CT3" s="38" t="s">
        <v>64</v>
      </c>
      <c r="CU3" s="38" t="s">
        <v>65</v>
      </c>
      <c r="CV3" s="38" t="s">
        <v>66</v>
      </c>
      <c r="CW3" s="38" t="s">
        <v>67</v>
      </c>
      <c r="CX3" s="49" t="s">
        <v>68</v>
      </c>
      <c r="CY3" s="50" t="s">
        <v>29</v>
      </c>
      <c r="CZ3" s="41" t="s">
        <v>30</v>
      </c>
      <c r="DA3" s="42" t="s">
        <v>31</v>
      </c>
      <c r="DB3" s="43" t="s">
        <v>32</v>
      </c>
      <c r="DC3" s="44" t="s">
        <v>33</v>
      </c>
      <c r="DD3" s="45" t="s">
        <v>34</v>
      </c>
      <c r="DE3" s="46" t="s">
        <v>35</v>
      </c>
      <c r="DF3" s="47" t="s">
        <v>36</v>
      </c>
      <c r="DG3" s="48" t="s">
        <v>37</v>
      </c>
      <c r="DH3" s="48" t="s">
        <v>38</v>
      </c>
      <c r="DI3" s="48" t="s">
        <v>39</v>
      </c>
      <c r="DJ3" s="48" t="s">
        <v>40</v>
      </c>
      <c r="DK3" s="48" t="s">
        <v>41</v>
      </c>
      <c r="DL3" s="48" t="s">
        <v>42</v>
      </c>
      <c r="DM3" s="48" t="s">
        <v>43</v>
      </c>
      <c r="DN3" s="48" t="s">
        <v>44</v>
      </c>
      <c r="DO3" s="48" t="s">
        <v>45</v>
      </c>
      <c r="DP3" s="48" t="s">
        <v>46</v>
      </c>
      <c r="DQ3" s="48" t="s">
        <v>47</v>
      </c>
      <c r="DR3" s="48" t="s">
        <v>48</v>
      </c>
      <c r="DS3" s="48" t="s">
        <v>49</v>
      </c>
      <c r="DT3" s="48" t="s">
        <v>50</v>
      </c>
      <c r="DU3" s="48" t="s">
        <v>51</v>
      </c>
      <c r="DV3" s="48" t="s">
        <v>52</v>
      </c>
      <c r="DW3" s="48" t="s">
        <v>53</v>
      </c>
      <c r="DX3" s="48" t="s">
        <v>54</v>
      </c>
      <c r="DY3" s="48" t="s">
        <v>55</v>
      </c>
      <c r="DZ3" s="38" t="s">
        <v>56</v>
      </c>
      <c r="EA3" s="38" t="s">
        <v>57</v>
      </c>
      <c r="EB3" s="38" t="s">
        <v>58</v>
      </c>
      <c r="EC3" s="38" t="s">
        <v>59</v>
      </c>
      <c r="ED3" s="38" t="s">
        <v>60</v>
      </c>
      <c r="EE3" s="38" t="s">
        <v>61</v>
      </c>
      <c r="EF3" s="38" t="s">
        <v>62</v>
      </c>
      <c r="EG3" s="38" t="s">
        <v>63</v>
      </c>
      <c r="EH3" s="49" t="s">
        <v>68</v>
      </c>
      <c r="EI3" s="51" t="s">
        <v>29</v>
      </c>
      <c r="EJ3" s="41" t="s">
        <v>30</v>
      </c>
      <c r="EK3" s="42" t="s">
        <v>31</v>
      </c>
      <c r="EL3" s="43" t="s">
        <v>69</v>
      </c>
      <c r="EM3" s="44" t="s">
        <v>70</v>
      </c>
      <c r="EN3" s="45" t="s">
        <v>71</v>
      </c>
      <c r="EO3" s="46" t="s">
        <v>72</v>
      </c>
      <c r="EP3" s="47" t="s">
        <v>73</v>
      </c>
      <c r="EQ3" s="38" t="s">
        <v>74</v>
      </c>
      <c r="ER3" s="38" t="s">
        <v>75</v>
      </c>
      <c r="ES3" s="38" t="s">
        <v>76</v>
      </c>
      <c r="ET3" s="38" t="s">
        <v>77</v>
      </c>
      <c r="EU3" s="38" t="s">
        <v>78</v>
      </c>
      <c r="EV3" s="38" t="s">
        <v>79</v>
      </c>
      <c r="EW3" s="38" t="s">
        <v>80</v>
      </c>
      <c r="EX3" s="38" t="s">
        <v>81</v>
      </c>
      <c r="EY3" s="49" t="s">
        <v>68</v>
      </c>
      <c r="EZ3" s="50" t="s">
        <v>29</v>
      </c>
      <c r="FA3" s="49" t="s">
        <v>68</v>
      </c>
      <c r="FB3" s="51" t="s">
        <v>29</v>
      </c>
      <c r="FC3" s="41" t="s">
        <v>30</v>
      </c>
      <c r="FD3" s="42" t="s">
        <v>31</v>
      </c>
      <c r="FE3" s="52" t="s">
        <v>32</v>
      </c>
      <c r="FF3" s="53" t="s">
        <v>33</v>
      </c>
      <c r="FG3" s="54" t="s">
        <v>34</v>
      </c>
      <c r="FH3" s="55" t="s">
        <v>35</v>
      </c>
      <c r="FI3" s="56" t="s">
        <v>36</v>
      </c>
      <c r="FJ3" s="57" t="s">
        <v>37</v>
      </c>
      <c r="FK3" s="57" t="s">
        <v>38</v>
      </c>
      <c r="FL3" s="57" t="s">
        <v>39</v>
      </c>
      <c r="FM3" s="57" t="s">
        <v>40</v>
      </c>
      <c r="FN3" s="57" t="s">
        <v>41</v>
      </c>
      <c r="FO3" s="57" t="s">
        <v>42</v>
      </c>
      <c r="FP3" s="57" t="s">
        <v>43</v>
      </c>
      <c r="FQ3" s="57" t="s">
        <v>44</v>
      </c>
      <c r="FR3" s="57" t="s">
        <v>45</v>
      </c>
      <c r="FS3" s="57" t="s">
        <v>46</v>
      </c>
      <c r="FT3" s="57" t="s">
        <v>47</v>
      </c>
      <c r="FU3" s="57" t="s">
        <v>48</v>
      </c>
      <c r="FV3" s="57" t="s">
        <v>49</v>
      </c>
      <c r="FW3" s="57" t="s">
        <v>50</v>
      </c>
      <c r="FX3" s="57" t="s">
        <v>51</v>
      </c>
      <c r="FY3" s="57" t="s">
        <v>52</v>
      </c>
      <c r="FZ3" s="57" t="s">
        <v>53</v>
      </c>
      <c r="GA3" s="57" t="s">
        <v>54</v>
      </c>
      <c r="GB3" s="57" t="s">
        <v>55</v>
      </c>
      <c r="GC3" s="57" t="s">
        <v>56</v>
      </c>
      <c r="GD3" s="57" t="s">
        <v>57</v>
      </c>
      <c r="GE3" s="57" t="s">
        <v>58</v>
      </c>
      <c r="GF3" s="57" t="s">
        <v>59</v>
      </c>
      <c r="GG3" s="57" t="s">
        <v>60</v>
      </c>
      <c r="GH3" s="57" t="s">
        <v>61</v>
      </c>
      <c r="GI3" s="57" t="s">
        <v>62</v>
      </c>
      <c r="GJ3" s="57" t="s">
        <v>63</v>
      </c>
      <c r="GK3" s="57" t="s">
        <v>64</v>
      </c>
      <c r="GL3" s="57" t="s">
        <v>65</v>
      </c>
      <c r="GM3" s="58" t="s">
        <v>68</v>
      </c>
      <c r="GN3" s="59"/>
      <c r="GO3" s="59"/>
      <c r="GP3" s="59"/>
    </row>
    <row r="4" hidden="1">
      <c r="A4" s="60">
        <v>1.0</v>
      </c>
      <c r="B4" s="61" t="s">
        <v>82</v>
      </c>
      <c r="C4" s="62"/>
      <c r="D4" s="62"/>
      <c r="E4" s="62"/>
      <c r="F4" s="1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4"/>
      <c r="DQ4" s="65"/>
      <c r="DR4" s="65"/>
      <c r="DS4" s="65"/>
      <c r="DT4" s="65"/>
      <c r="DU4" s="65"/>
      <c r="DV4" s="65"/>
      <c r="DW4" s="65"/>
      <c r="DX4" s="65"/>
      <c r="DY4" s="65"/>
      <c r="DZ4" s="66"/>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7"/>
      <c r="GN4" s="68"/>
      <c r="GO4" s="68"/>
      <c r="GP4" s="68"/>
    </row>
    <row r="5" ht="16.5" customHeight="1" outlineLevel="1">
      <c r="A5" s="60">
        <v>2.0</v>
      </c>
      <c r="B5" s="69" t="s">
        <v>83</v>
      </c>
      <c r="C5" s="70" t="s">
        <v>84</v>
      </c>
      <c r="D5" s="71" t="s">
        <v>85</v>
      </c>
      <c r="E5" s="72" t="s">
        <v>86</v>
      </c>
      <c r="F5" s="73">
        <v>1130.0</v>
      </c>
      <c r="G5" s="72" t="s">
        <v>86</v>
      </c>
      <c r="H5" s="72">
        <v>1130.0</v>
      </c>
      <c r="I5" s="74" t="str">
        <f>IFERROR(VLOOKUP(C2:C144,'R22 RELATÓRIO ACC'!B:F,5,FALSE),"NOT PUBLISHED")</f>
        <v>V29</v>
      </c>
      <c r="J5" s="74" t="str">
        <f>IFERROR(VLOOKUP(C2:C144,'R22 RELATÓRIO ACC'!B:P,15,FALSE),"NOT PUBLISHED")</f>
        <v>13/04/2026</v>
      </c>
      <c r="K5" s="68" t="str">
        <f>IFERROR(VLOOKUP(B2:B188,'RELATÓRIO ACC'!B:F,5,FALSE),"NOT PUBLISHED")</f>
        <v>V3</v>
      </c>
      <c r="L5" s="75" t="str">
        <f>IFERROR(VLOOKUP(B2:B188,'RELATÓRIO ACC'!B:P,15,FALSE),"NOT PUBLISHED")</f>
        <v>03/06/2026</v>
      </c>
      <c r="M5" s="76" t="str">
        <f>IF(OR($D5="UTLS",$D5="GUAR",$D5="STIR",$D5="PUMP",$D5="SITE"),
   VLOOKUP($B5,'LOD 300 - SITE'!B:M,12,FALSE),
   VLOOKUP($B5,'LOD 300 - ADMN'!B:M,12,FALSE)
)</f>
        <v>V20</v>
      </c>
      <c r="N5" s="77" t="str">
        <f>IF(OR($D5="UTLS",$D5="GUAR",$D5="STIR",$D5="PUMP",$D5="SITE"),
   VLOOKUP($B5,'LOD 300 - SITE'!B:N,13,FALSE),
   VLOOKUP($B5,'LOD 300 - ADMN'!B:N,13,FALSE)
)</f>
        <v>04/11/2025</v>
      </c>
      <c r="O5" s="78" t="str">
        <f>IF(OR($D5="UTLS",$D5="GUAR",$D5="STIR",$D5="PUMP",$D5="SITE"),
   VLOOKUP($B5,'LOD 300 - SITE'!B:O,14,FALSE),
   VLOOKUP($B5,'LOD 300 - ADMN'!B:O,14,FALSE)
)</f>
        <v>R22</v>
      </c>
      <c r="P5" s="79" t="str">
        <f>IF(OR($D5="C345",$D5="C12A",$D5="DATA"),
   VLOOKUP($B5,'LOD 300 - COLO3'!B:M,12,FALSE),"N/A")</f>
        <v>V29</v>
      </c>
      <c r="Q5" s="80">
        <f>IF(OR($D5="C345",$D5="C12A",$D5="DATA"),
   VLOOKUP($B5,'LOD 300 - COLO3'!B:N,13,FALSE),"N/A")</f>
        <v>46125</v>
      </c>
      <c r="R5" s="76" t="str">
        <f>IF(OR($D5="C345",$D5="C12A",$D5="DATA"),
   VLOOKUP($B5,'LOD 300 - COLO3'!B:O,14,FALSE),"N/A")</f>
        <v>R22</v>
      </c>
      <c r="S5" s="79" t="str">
        <f>IF(OR($D5="C345",$D5="C12A",$D5="DATA"),
   VLOOKUP($B5,'LOD 300 - COLO4'!B:M,12,FALSE),"N/A")</f>
        <v>N/A</v>
      </c>
      <c r="T5" s="76" t="str">
        <f>IF(OR($D5="C345",$D5="C12A",$D5="DATA"),
   VLOOKUP($B5,'LOD 300 - COLO4'!B:T,13,FALSE),"N/A")</f>
        <v>N/A</v>
      </c>
      <c r="U5" s="81">
        <f>IF(OR($D5="C345",$D5="C12A",$D5="DATA"),
   VLOOKUP($B5,'LOD 300 - COLO4'!B:U,17,FALSE),"N/A")</f>
        <v>0</v>
      </c>
      <c r="V5" s="68" t="s">
        <v>87</v>
      </c>
      <c r="W5" s="82">
        <f>IFERROR(VLOOKUP($B5,'LOD 300 - ADMN'!$B:S,18,FALSE),"N/A")</f>
        <v>0.58</v>
      </c>
      <c r="X5" s="83" t="str">
        <f>IFERROR(VLOOKUP($B5,'LOD 300 - ADMN'!$B:V,21,FALSE),"N/A")</f>
        <v>OUTDATED MODEL</v>
      </c>
      <c r="Y5" s="83">
        <f>IFERROR(VLOOKUP($B5,'LOD 300 - ADMN'!$B:Y,24,FALSE),"N/A")</f>
        <v>0.73</v>
      </c>
      <c r="Z5" s="83">
        <f>IFERROR(VLOOKUP($B5,'LOD 300 - ADMN'!$B:AB,27,FALSE),"N/A")</f>
        <v>0.77</v>
      </c>
      <c r="AA5" s="83" t="str">
        <f>IFERROR(VLOOKUP($B5,'LOD 300 - ADMN'!$B:AE,30,FALSE),"N/A")</f>
        <v>OUTDATED MODEL</v>
      </c>
      <c r="AB5" s="84" t="str">
        <f>IFERROR(VLOOKUP($B5,'LOD 300 - ADMN'!$B:AH,33,FALSE),"N/A")</f>
        <v>OUTDATED MODEL</v>
      </c>
      <c r="AC5" s="84" t="str">
        <f>IFERROR(VLOOKUP($B5,'LOD 300 - ADMN'!$B:AK,36,FALSE),"N/A")</f>
        <v>OUTDATED MODEL</v>
      </c>
      <c r="AD5" s="83">
        <f>IFERROR(VLOOKUP($B5,'LOD 300 - ADMN'!$B:AN,39,FALSE),"N/A")</f>
        <v>0.87</v>
      </c>
      <c r="AE5" s="83" t="str">
        <f>IFERROR(VLOOKUP($B5,'LOD 300 - ADMN'!$B:AQ,42,FALSE),"N/A")</f>
        <v>OUTDATED MODEL</v>
      </c>
      <c r="AF5" s="83" t="str">
        <f>IFERROR(VLOOKUP($B5,'LOD 300 - ADMN'!$B:AT,45,FALSE),"N/A")</f>
        <v>NEXT ROUND</v>
      </c>
      <c r="AG5" s="83">
        <f>IFERROR(VLOOKUP($B5,'LOD 300 - ADMN'!$B:AW,48,FALSE),"N/A")</f>
        <v>1</v>
      </c>
      <c r="AH5" s="83">
        <f>IFERROR(VLOOKUP($B5,'LOD 300 - ADMN'!$B:AZ,51,FALSE),"N/A")</f>
        <v>1</v>
      </c>
      <c r="AI5" s="85">
        <f>IFERROR(VLOOKUP($B5,'LOD 300 - ADMN'!$B:BC,54,FALSE),"N/A")</f>
        <v>1</v>
      </c>
      <c r="AJ5" s="86">
        <f>IFERROR(VLOOKUP($B5,'LOD 300 - ADMN'!$B:BF,57,FALSE),"N/A")</f>
        <v>1</v>
      </c>
      <c r="AK5" s="87">
        <f>IFERROR(VLOOKUP($B5,'LOD 300 - ADMN'!$B:EP,60,FALSE),"N/A")</f>
        <v>1</v>
      </c>
      <c r="AL5" s="86">
        <f>IFERROR(VLOOKUP($B5,'LOD 300 - ADMN'!$B:EQ,63,FALSE),"N/A")</f>
        <v>1</v>
      </c>
      <c r="AM5" s="86">
        <f>IFERROR(VLOOKUP($B5,'LOD 300 - ADMN'!$B:BO,66,FALSE),"N/A")</f>
        <v>1</v>
      </c>
      <c r="AN5" s="86">
        <f>IFERROR(VLOOKUP($B5,'LOD 300 - ADMN'!$B:BR,69,FALSE),"N/A")</f>
        <v>1</v>
      </c>
      <c r="AO5" s="86">
        <f>IFERROR(VLOOKUP($B5,'LOD 300 - ADMN'!$B:BU,72,FALSE),"N/A")</f>
        <v>1</v>
      </c>
      <c r="AP5" s="86">
        <f>IFERROR(VLOOKUP($B5,'LOD 300 - ADMN'!$B:BX,75,FALSE),"N/A")</f>
        <v>1</v>
      </c>
      <c r="AQ5" s="86">
        <f>IFERROR(VLOOKUP($B5,'LOD 300 - ADMN'!$B:CA,78,FALSE),"N/A")</f>
        <v>1</v>
      </c>
      <c r="AR5" s="86">
        <f>IFERROR(VLOOKUP($B5,'LOD 300 - ADMN'!$B:CD,81,FALSE),"N/A")</f>
        <v>1</v>
      </c>
      <c r="AS5" s="86">
        <f>IFERROR(VLOOKUP($B5,'LOD 300 - ADMN'!$B:CG,84,FALSE),"N/A")</f>
        <v>1</v>
      </c>
      <c r="AT5" s="86">
        <f>IFERROR(VLOOKUP($B5,'LOD 300 - ADMN'!$B:CJ,87,FALSE),"N/A")</f>
        <v>1</v>
      </c>
      <c r="AU5" s="88">
        <f>IFERROR(VLOOKUP($B5,'LOD 300 - ADMN'!$B:CM,90,FALSE),"N/A")</f>
        <v>1</v>
      </c>
      <c r="AV5" s="88">
        <f>IFERROR(VLOOKUP($B5,'LOD 300 - ADMN'!$B:CP,93,FALSE),"N/A")</f>
        <v>1</v>
      </c>
      <c r="AW5" s="88">
        <f>IFERROR(VLOOKUP($B5,'LOD 300 - ADMN'!$B:CS,96,FALSE),"N/A")</f>
        <v>1</v>
      </c>
      <c r="AX5" s="88">
        <f>IFERROR(VLOOKUP($B5,'LOD 300 - ADMN'!$B:CV,99,FALSE),"N/A")</f>
        <v>1</v>
      </c>
      <c r="AY5" s="88">
        <f>IFERROR(VLOOKUP($B5,'LOD 300 - ADMN'!$B:CY,102,FALSE),"N/A")</f>
        <v>1</v>
      </c>
      <c r="AZ5" s="89">
        <f>IFERROR(VLOOKUP($B5,'LOD 300 - ADMN'!$B:DB,105,FALSE),"N/A")</f>
        <v>1</v>
      </c>
      <c r="BA5" s="87">
        <f>IFERROR(VLOOKUP($B5,'LOD 300 - ADMN'!$B:DE,108,FALSE),"N/A")</f>
        <v>1</v>
      </c>
      <c r="BB5" s="87">
        <f>IFERROR(VLOOKUP($B5,'LOD 300 - ADMN'!$B:DH,111,FALSE),"N/A")</f>
        <v>1</v>
      </c>
      <c r="BC5" s="87">
        <f>IFERROR(VLOOKUP($B5,'LOD 300 - ADMN'!$B:DK,114,FALSE),"N/A")</f>
        <v>1</v>
      </c>
      <c r="BD5" s="87">
        <f>IFERROR(VLOOKUP($B5,'LOD 300 - ADMN'!$B:DN,117,FALSE),"N/A")</f>
        <v>1</v>
      </c>
      <c r="BE5" s="87">
        <f>IFERROR(VLOOKUP($B5,'LOD 300 - ADMN'!$B:DQ,120,FALSE),"N/A")</f>
        <v>1</v>
      </c>
      <c r="BF5" s="87">
        <f>IFERROR(VLOOKUP($B5,'LOD 300 - ADMN'!$B:DT,123,FALSE),"N/A")</f>
        <v>1</v>
      </c>
      <c r="BG5" s="87">
        <f>IFERROR(VLOOKUP($B5,'LOD 300 - ADMN'!$B:DW,126,FALSE),"N/A")</f>
        <v>1</v>
      </c>
      <c r="BH5" s="87">
        <f>IFERROR(VLOOKUP($B5,'LOD 300 - ADMN'!$B:DZ,129,FALSE),"N/A")</f>
        <v>1</v>
      </c>
      <c r="BI5" s="87">
        <f>IFERROR(VLOOKUP($B5,'LOD 300 - ADMN'!$B:EC,132,FALSE),"N/A")</f>
        <v>1</v>
      </c>
      <c r="BJ5" s="90">
        <f>IFERROR(__xludf.DUMMYFUNCTION("IFERROR(
  MAX(FILTER(X5:BI5, ISNUMBER(X5:BI5))),
  BI5
)"),1.0)</f>
        <v>1</v>
      </c>
      <c r="BK5" s="91">
        <f>IFERROR(VLOOKUP($B5,'LOD 300 - COLO1'!$B:S,18,FALSE),"N/A")</f>
        <v>0.6</v>
      </c>
      <c r="BL5" s="92" t="str">
        <f>IFERROR(VLOOKUP($B5,'LOD 300 - COLO1'!$B:V,21,FALSE),"N/A")</f>
        <v>OUTDATED MODEL</v>
      </c>
      <c r="BM5" s="92">
        <f>IFERROR(VLOOKUP($B5,'LOD 300 - COLO1'!$B:Y,24,FALSE),"N/A")</f>
        <v>0.78</v>
      </c>
      <c r="BN5" s="92">
        <f>IFERROR(VLOOKUP($B5,'LOD 300 - COLO1'!$B:AB,27,FALSE),"N/A")</f>
        <v>0.78</v>
      </c>
      <c r="BO5" s="93" t="str">
        <f>IFERROR(VLOOKUP($B5,'LOD 300 - COLO1'!$B:AE,30,FALSE),"N/A")</f>
        <v>OUTDATED MODEL</v>
      </c>
      <c r="BP5" s="93" t="str">
        <f>IFERROR(VLOOKUP($B5,'LOD 300 - COLO1'!$B:AH,33,FALSE),"N/A")</f>
        <v>OUTDATED MODEL</v>
      </c>
      <c r="BQ5" s="93" t="str">
        <f>IFERROR(VLOOKUP($B5,'LOD 300 - COLO1'!$B:AK,36,FALSE),"N/A")</f>
        <v>OUTDATED MODEL</v>
      </c>
      <c r="BR5" s="93">
        <f>IFERROR(VLOOKUP($B5,'LOD 300 - COLO1'!$B:AN,39,FALSE),"N/A")</f>
        <v>0.93</v>
      </c>
      <c r="BS5" s="93" t="str">
        <f>IFERROR(VLOOKUP($B5,'LOD 300 - COLO1'!$B:AQ,42,FALSE),"N/A")</f>
        <v>OUTDATED MODEL</v>
      </c>
      <c r="BT5" s="93" t="str">
        <f>IFERROR(VLOOKUP($B5,'LOD 300 - COLO1'!$B:AT,45,FALSE),"N/A")</f>
        <v>NEXT ROUND</v>
      </c>
      <c r="BU5" s="93">
        <f>IFERROR(VLOOKUP($B5,'LOD 300 - COLO1'!$B:AW,48,FALSE),"N/A")</f>
        <v>1</v>
      </c>
      <c r="BV5" s="93">
        <f>IFERROR(VLOOKUP($B5,'LOD 300 - COLO1'!$B:AZ,51,FALSE),"N/A")</f>
        <v>1</v>
      </c>
      <c r="BW5" s="93">
        <f>IFERROR(VLOOKUP($B5,'LOD 300 - COLO1'!$B:BC,54,FALSE),"N/A")</f>
        <v>1</v>
      </c>
      <c r="BX5" s="94">
        <f>IFERROR(VLOOKUP($B5,'LOD 300 - COLO1'!$B:BF,57,FALSE),"N/A")</f>
        <v>1</v>
      </c>
      <c r="BY5" s="94">
        <f>IFERROR(VLOOKUP($B5,'LOD 300 - COLO1'!$B:BI,60,FALSE),"N/A")</f>
        <v>1</v>
      </c>
      <c r="BZ5" s="95">
        <f>IFERROR(VLOOKUP($B5,'LOD 300 - COLO1'!$B:BL,63,FALSE),"N/A")</f>
        <v>1</v>
      </c>
      <c r="CA5" s="86">
        <f>IFERROR(VLOOKUP($B5,'LOD 300 - COLO1'!$B:BO,66,FALSE),"N/A")</f>
        <v>1</v>
      </c>
      <c r="CB5" s="86">
        <f>IFERROR(VLOOKUP($B5,'LOD 300 - COLO1'!$B:BR,69,FALSE),"N/A")</f>
        <v>1</v>
      </c>
      <c r="CC5" s="86">
        <f>IFERROR(VLOOKUP($B5,'LOD 300 - COLO1'!$B:BU,72,FALSE),"N/A")</f>
        <v>1</v>
      </c>
      <c r="CD5" s="86">
        <f>IFERROR(VLOOKUP($B5,'LOD 300 - COLO1'!$B:BX,75,FALSE),"N/A")</f>
        <v>1</v>
      </c>
      <c r="CE5" s="86">
        <f>IFERROR(VLOOKUP($B5,'LOD 300 - COLO1'!$B:CA,78,FALSE),"N/A")</f>
        <v>1</v>
      </c>
      <c r="CF5" s="87">
        <f>IFERROR(VLOOKUP($B5,'LOD 300 - COLO1'!$B:CD,81,FALSE),"N/A")</f>
        <v>1</v>
      </c>
      <c r="CG5" s="86">
        <f>IFERROR(VLOOKUP($B5,'LOD 300 - COLO1'!$B:CG,84,FALSE),"N/A")</f>
        <v>1</v>
      </c>
      <c r="CH5" s="87">
        <f>IFERROR(VLOOKUP($B5,'LOD 300 - COLO1'!$B:CJ,87,FALSE),"N/A")</f>
        <v>1</v>
      </c>
      <c r="CI5" s="88">
        <f>IFERROR(VLOOKUP($B5,'LOD 300 - COLO1'!$B:CM,90,FALSE),"N/A")</f>
        <v>1</v>
      </c>
      <c r="CJ5" s="88">
        <f>IFERROR(VLOOKUP($B5,'LOD 300 - COLO1'!$B:CP,93,FALSE),"N/A")</f>
        <v>1</v>
      </c>
      <c r="CK5" s="88">
        <f>IFERROR(VLOOKUP($B5,'LOD 300 - COLO1'!$B:CS,96,FALSE),"N/A")</f>
        <v>1</v>
      </c>
      <c r="CL5" s="88">
        <f>IFERROR(VLOOKUP($B5,'LOD 300 - COLO1'!$B:CV,99,FALSE),"N/A")</f>
        <v>1</v>
      </c>
      <c r="CM5" s="88">
        <f>IFERROR(VLOOKUP($B5,'LOD 300 - COLO1'!$B:CY,102,FALSE),"N/A")</f>
        <v>1</v>
      </c>
      <c r="CN5" s="89">
        <f>IFERROR(VLOOKUP($B5,'LOD 300 - COLO1'!$B:DB,105,FALSE),"N/A")</f>
        <v>1</v>
      </c>
      <c r="CO5" s="87">
        <f>IFERROR(VLOOKUP($B5,'LOD 300 - COLO1'!$B:EE,108,FALSE),"N/A")</f>
        <v>1</v>
      </c>
      <c r="CP5" s="87">
        <f>IFERROR(VLOOKUP($B5,'LOD 300 - COLO1'!$B:EH,111,FALSE),"N/A")</f>
        <v>1</v>
      </c>
      <c r="CQ5" s="87">
        <f>IFERROR(VLOOKUP($B5,'LOD 300 - COLO1'!$B:EK,114,FALSE),"N/A")</f>
        <v>1</v>
      </c>
      <c r="CR5" s="87">
        <f>IFERROR(VLOOKUP($B5,'LOD 300 - COLO1'!$B:EN,117,FALSE),"N/A")</f>
        <v>1</v>
      </c>
      <c r="CS5" s="87">
        <f>IFERROR(VLOOKUP($B5,'LOD 300 - COLO1'!$B:EQ,120,FALSE),"N/A")</f>
        <v>1</v>
      </c>
      <c r="CT5" s="87">
        <f>IFERROR(VLOOKUP($B5,'LOD 300 - COLO1'!$B:ET,123,FALSE),"N/A")</f>
        <v>1</v>
      </c>
      <c r="CU5" s="87">
        <f>IFERROR(VLOOKUP($B5,'LOD 300 - COLO1'!$B:EW,126,FALSE),"N/A")</f>
        <v>1</v>
      </c>
      <c r="CV5" s="87">
        <f>IFERROR(VLOOKUP($B5,'LOD 300 - COLO1'!$B:EZ,129,FALSE),"N/A")</f>
        <v>1</v>
      </c>
      <c r="CW5" s="87">
        <f>IFERROR(VLOOKUP($B5,'LOD 300 - COLO1'!$B:FC,132,FALSE),"N/A")</f>
        <v>1</v>
      </c>
      <c r="CX5" s="96">
        <f>IFERROR(__xludf.DUMMYFUNCTION("IFERROR(
  MAX(FILTER(BK5:CW5, ISNUMBER(BK5:CW5))),
  CW5
)"),1.0)</f>
        <v>1</v>
      </c>
      <c r="CY5" s="97">
        <f>IFERROR(VLOOKUP($B5,'LOD 300 - COLO2'!$B:S,18,FALSE),"N/A")</f>
        <v>0.73</v>
      </c>
      <c r="CZ5" s="83" t="str">
        <f>IFERROR(VLOOKUP($B5,'LOD 300 - COLO2'!$B:V,21,FALSE),"N/A")</f>
        <v>OUTDATED MODEL</v>
      </c>
      <c r="DA5" s="83" t="str">
        <f>IFERROR(VLOOKUP($B5,'LOD 300 - COLO2'!$B:Y,24,FALSE),"N/A")</f>
        <v>OUTDATED MODEL</v>
      </c>
      <c r="DB5" s="83">
        <f>IFERROR(VLOOKUP($B5,'LOD 300 - COLO2'!$B:AB,27,FALSE),"N/A")</f>
        <v>0.84</v>
      </c>
      <c r="DC5" s="83" t="str">
        <f>IFERROR(VLOOKUP($B5,'LOD 300 - COLO2'!$B:AE,30,FALSE),"N/A")</f>
        <v>OUTDATED MODEL</v>
      </c>
      <c r="DD5" s="83" t="str">
        <f>IFERROR(VLOOKUP($B5,'LOD 300 - COLO2'!$B:AH,33,FALSE),"N/A")</f>
        <v>NEXT ROUND</v>
      </c>
      <c r="DE5" s="83">
        <f>IFERROR(VLOOKUP($B5,'LOD 300 - COLO2'!$B:AK,36,FALSE),"N/A")</f>
        <v>1</v>
      </c>
      <c r="DF5" s="83">
        <f>IFERROR(VLOOKUP($B5,'LOD 300 - COLO2'!$B:AN,39,FALSE),"N/A")</f>
        <v>1</v>
      </c>
      <c r="DG5" s="85">
        <f>IFERROR(VLOOKUP($B5,'LOD 300 - COLO2'!$B:AQ,42,FALSE),"N/A")</f>
        <v>1</v>
      </c>
      <c r="DH5" s="87">
        <f>IFERROR(VLOOKUP($B5,'LOD 300 - COLO2'!$B:AT,45,FALSE),"N/A")</f>
        <v>1</v>
      </c>
      <c r="DI5" s="94">
        <f>IFERROR(VLOOKUP($B5,'LOD 300 - COLO2'!$B:AW,48,FALSE),"N/A")</f>
        <v>1</v>
      </c>
      <c r="DJ5" s="95">
        <f>IFERROR(VLOOKUP($B5,'LOD 300 - COLO2'!$B:AZ,51,FALSE),"N/A")</f>
        <v>1</v>
      </c>
      <c r="DK5" s="86">
        <f>IFERROR(VLOOKUP($B5,'LOD 300 - COLO2'!$B:BC,54,FALSE),"N/A")</f>
        <v>1</v>
      </c>
      <c r="DL5" s="86">
        <f>IFERROR(VLOOKUP($B5,'LOD 300 - COLO2'!$B:BF,57,FALSE),"N/A")</f>
        <v>1</v>
      </c>
      <c r="DM5" s="86">
        <f>IFERROR(VLOOKUP($B5,'LOD 300 - COLO2'!$B:BI,60,FALSE),"N/A")</f>
        <v>1</v>
      </c>
      <c r="DN5" s="86">
        <f>IFERROR(VLOOKUP($B5,'LOD 300 - COLO2'!$B:BL,63,FALSE),"N/A")</f>
        <v>1</v>
      </c>
      <c r="DO5" s="86">
        <f>IFERROR(VLOOKUP($B5,'LOD 300 - COLO2'!$B:BO,66,FALSE),"N/A")</f>
        <v>1</v>
      </c>
      <c r="DP5" s="87">
        <f>IFERROR(VLOOKUP($B5,'LOD 300 - COLO2'!$B:BR,69,FALSE),"N/A")</f>
        <v>1</v>
      </c>
      <c r="DQ5" s="87">
        <f>IFERROR(VLOOKUP($B5,'LOD 300 - COLO2'!$B:BU,72,FALSE),"N/A")</f>
        <v>1</v>
      </c>
      <c r="DR5" s="87">
        <f>IFERROR(VLOOKUP($B5,'LOD 300 - COLO2'!$B:BX,75,FALSE),"N/A")</f>
        <v>1</v>
      </c>
      <c r="DS5" s="98">
        <f>IFERROR(VLOOKUP($B5,'LOD 300 - COLO2'!$B:CA,78,FALSE),"N/A")</f>
        <v>1</v>
      </c>
      <c r="DT5" s="98">
        <f>IFERROR(VLOOKUP($B5,'LOD 300 - COLO2'!$B:CD,81,FALSE),"N/A")</f>
        <v>1</v>
      </c>
      <c r="DU5" s="98">
        <f>IFERROR(VLOOKUP($B5,'LOD 300 - COLO2'!$B:CG,84,FALSE),"N/A")</f>
        <v>1</v>
      </c>
      <c r="DV5" s="98">
        <f>IFERROR(VLOOKUP($B5,'LOD 300 - COLO2'!$B:CJ,87,FALSE),"N/A")</f>
        <v>1</v>
      </c>
      <c r="DW5" s="98">
        <f>IFERROR(VLOOKUP($B5,'LOD 300 - COLO2'!$B:CM,90,FALSE),"N/A")</f>
        <v>1</v>
      </c>
      <c r="DX5" s="98">
        <f>IFERROR(VLOOKUP($B5,'LOD 300 - COLO2'!$B:CP,93,FALSE),"N/A")</f>
        <v>1</v>
      </c>
      <c r="DY5" s="87">
        <f>IFERROR(VLOOKUP($B5,'LOD 300 - COLO2'!$B:CS,96,FALSE),"N/A")</f>
        <v>1</v>
      </c>
      <c r="DZ5" s="87">
        <f>IFERROR(VLOOKUP($B5,'LOD 300 - COLO2'!$B:CV,99,FALSE),"N/A")</f>
        <v>1</v>
      </c>
      <c r="EA5" s="87">
        <f>IFERROR(VLOOKUP($B5,'LOD 300 - COLO2'!$B:DB,105,FALSE),"N/A")</f>
        <v>1</v>
      </c>
      <c r="EB5" s="87">
        <f>IFERROR(VLOOKUP($B5,'LOD 300 - COLO2'!$B:DB,105,FALSE),"N/A")</f>
        <v>1</v>
      </c>
      <c r="EC5" s="87">
        <f>IFERROR(VLOOKUP($B5,'LOD 300 - COLO2'!$B:DE,108,FALSE),"N/A")</f>
        <v>1</v>
      </c>
      <c r="ED5" s="87">
        <f>IFERROR(VLOOKUP($B5,'LOD 300 - COLO2'!$B:DH,111,FALSE),"N/A")</f>
        <v>1</v>
      </c>
      <c r="EE5" s="87">
        <f>IFERROR(VLOOKUP($B5,'LOD 300 - COLO2'!$B:DK,114,FALSE),"N/A")</f>
        <v>1</v>
      </c>
      <c r="EF5" s="87">
        <f>IFERROR(VLOOKUP($B5,'LOD 300 - COLO2'!$B:DN,117,FALSE),"N/A")</f>
        <v>1</v>
      </c>
      <c r="EG5" s="87">
        <f>IFERROR(VLOOKUP($B5,'LOD 300 - COLO2'!$B:DQ,120,FALSE),"N/A")</f>
        <v>1</v>
      </c>
      <c r="EH5" s="99">
        <f>IFERROR(__xludf.DUMMYFUNCTION("IFERROR(
  MAX(FILTER(CZ5:EG5, ISNUMBER(CZ5:EG5))),
  EG5
)"),1.0)</f>
        <v>1</v>
      </c>
      <c r="EI5" s="100">
        <f>IFERROR(VLOOKUP($B5,'LOD 300 - COLO3'!$B:R,17,FALSE),"N/A")</f>
        <v>0</v>
      </c>
      <c r="EJ5" s="101">
        <f>IFERROR(VLOOKUP($B5,'LOD 300 - COLO3'!$B:U,20,FALSE),"N/A")</f>
        <v>0.97</v>
      </c>
      <c r="EK5" s="101" t="str">
        <f>IFERROR(VLOOKUP($B5,'LOD 300 - COLO3'!$B:X,23,FALSE),"N/A")</f>
        <v>NEXT ROUND</v>
      </c>
      <c r="EL5" s="101">
        <f>IFERROR(VLOOKUP($B5,'LOD 300 - COLO3'!$B:AA,26,FALSE),"N/A")</f>
        <v>1</v>
      </c>
      <c r="EM5" s="101">
        <f>IFERROR(VLOOKUP($B5,'LOD 300 - COLO3'!$B:AD,29,FALSE),"N/A")</f>
        <v>1</v>
      </c>
      <c r="EN5" s="101">
        <f>IFERROR(VLOOKUP($B5,'LOD 300 - COLO3'!$B:AG,32,FALSE),"N/A")</f>
        <v>1</v>
      </c>
      <c r="EO5" s="102">
        <f>IFERROR(VLOOKUP($B5,'LOD 300 - COLO3'!$B:AJ,35,FALSE),"N/A")</f>
        <v>1</v>
      </c>
      <c r="EP5" s="100">
        <f>IFERROR(VLOOKUP($B5,'LOD 300 - COLO3'!$B:AM,38,FALSE),"N/A")</f>
        <v>1</v>
      </c>
      <c r="EQ5" s="100">
        <f>IFERROR(VLOOKUP($B5,'LOD 300 - COLO3'!$B:AP,41,FALSE),"N/A")</f>
        <v>1</v>
      </c>
      <c r="ER5" s="100">
        <f>IFERROR(VLOOKUP($B5,'LOD 300 - COLO3'!$B:AS,44,FALSE),"N/A")</f>
        <v>1</v>
      </c>
      <c r="ES5" s="100">
        <f>IFERROR(VLOOKUP($B5,'LOD 300 - COLO3'!$B:AV,47,FALSE),"N/A")</f>
        <v>1</v>
      </c>
      <c r="ET5" s="100">
        <f>IFERROR(VLOOKUP($B5,'LOD 300 - COLO3'!$B:AY,50,FALSE),"N/A")</f>
        <v>1</v>
      </c>
      <c r="EU5" s="100">
        <f>IFERROR(VLOOKUP($B5,'LOD 300 - COLO3'!$B:BB,53,FALSE),"N/A")</f>
        <v>1</v>
      </c>
      <c r="EV5" s="100">
        <f>IFERROR(VLOOKUP($B5,'LOD 300 - COLO3'!$B:BE,56,FALSE),"N/A")</f>
        <v>1</v>
      </c>
      <c r="EW5" s="100">
        <f>IFERROR(VLOOKUP($B5,'LOD 300 - COLO3'!$B:BL,59,FALSE),"N/A")</f>
        <v>1</v>
      </c>
      <c r="EX5" s="100">
        <f>IFERROR(VLOOKUP($B5,'LOD 300 - COLO3'!$B:BO,62,FALSE),"N/A")</f>
        <v>1</v>
      </c>
      <c r="EY5" s="103">
        <f>IFERROR(__xludf.DUMMYFUNCTION("IFERROR(
  MAX(FILTER(EI5:EX5, ISNUMBER(EI5:EX5))),
  EX5
)"),1.0)</f>
        <v>1</v>
      </c>
      <c r="EZ5" s="104">
        <f>IFERROR(VLOOKUP($B5,'LOD 300 - COLO4'!$B:BT,17,FALSE),"N/A")</f>
        <v>0</v>
      </c>
      <c r="FA5" s="103">
        <f>IFERROR(__xludf.DUMMYFUNCTION("IFERROR(
  MAX(FILTER(EZ5, ISNUMBER(EZ5))),
  EZ5
)"),0.0)</f>
        <v>0</v>
      </c>
      <c r="FB5" s="105" t="str">
        <f>IFERROR(VLOOKUP($B5,'LOD 300 - SITE'!$B:S,18,FALSE),"N/A")</f>
        <v>N/A</v>
      </c>
      <c r="FC5" s="106" t="str">
        <f>IFERROR(VLOOKUP($B5,'LOD 300 - SITE'!$B:V,21,FALSE),"N/A")</f>
        <v>N/A</v>
      </c>
      <c r="FD5" s="106" t="str">
        <f>IFERROR(VLOOKUP($B5,'LOD 300 - SITE'!$B:Y,24,FALSE),"N/A")</f>
        <v>N/A</v>
      </c>
      <c r="FE5" s="106" t="str">
        <f>IFERROR(VLOOKUP($B5,'LOD 300 - SITE'!$B:AB,27,FALSE),"N/A")</f>
        <v>N/A</v>
      </c>
      <c r="FF5" s="106" t="str">
        <f>IFERROR(VLOOKUP($B5,'LOD 300 - SITE'!$B:AE,30,FALSE),"N/A")</f>
        <v>N/A</v>
      </c>
      <c r="FG5" s="106" t="str">
        <f>IFERROR(VLOOKUP($B5,'LOD 300 - SITE'!$B:AH,33,FALSE),"N/A")</f>
        <v>N/A</v>
      </c>
      <c r="FH5" s="106" t="str">
        <f>IFERROR(VLOOKUP($B5,'LOD 300 - SITE'!$B:AK,36,FALSE),"N/A")</f>
        <v>N/A</v>
      </c>
      <c r="FI5" s="106" t="str">
        <f>IFERROR(VLOOKUP($B5,'LOD 300 - SITE'!$B:AN,39,FALSE),"N/A")</f>
        <v>N/A</v>
      </c>
      <c r="FJ5" s="106" t="str">
        <f>IFERROR(VLOOKUP($B5,'LOD 300 - SITE'!$B:AQ,42,FALSE),"N/A")</f>
        <v>N/A</v>
      </c>
      <c r="FK5" s="106" t="str">
        <f>IFERROR(VLOOKUP($B5,'LOD 300 - SITE'!$B:AT,45,FALSE),"N/A")</f>
        <v>N/A</v>
      </c>
      <c r="FL5" s="107" t="str">
        <f>IFERROR(VLOOKUP($B5,'LOD 300 - SITE'!$B:AW,48,FALSE),"N/A")</f>
        <v>N/A</v>
      </c>
      <c r="FM5" s="87" t="str">
        <f>IFERROR(VLOOKUP($B5,'LOD 300 - SITE'!$B:AZ,51,FALSE),"N/A")</f>
        <v>N/A</v>
      </c>
      <c r="FN5" s="94" t="str">
        <f>IFERROR(VLOOKUP($B5,'LOD 300 - SITE'!$B:BC,54,FALSE),"N/A")</f>
        <v>N/A</v>
      </c>
      <c r="FO5" s="95" t="str">
        <f>IFERROR(VLOOKUP($B5,'LOD 300 - SITE'!$B:BF,57,FALSE),"N/A")</f>
        <v>N/A</v>
      </c>
      <c r="FP5" s="86" t="str">
        <f>IFERROR(VLOOKUP($B5,'LOD 300 - SITE'!$B:BI,60,FALSE),"N/A")</f>
        <v>N/A</v>
      </c>
      <c r="FQ5" s="86" t="str">
        <f>IFERROR(VLOOKUP($B5,'LOD 300 - SITE'!$B:BL,63,FALSE),"N/A")</f>
        <v>N/A</v>
      </c>
      <c r="FR5" s="86" t="str">
        <f>IFERROR(VLOOKUP($B5,'LOD 300 - SITE'!$B:BO,66,FALSE),"N/A")</f>
        <v>N/A</v>
      </c>
      <c r="FS5" s="86" t="str">
        <f>IFERROR(VLOOKUP($B5,'LOD 300 - SITE'!$B:BR,69,FALSE),"N/A")</f>
        <v>N/A</v>
      </c>
      <c r="FT5" s="86" t="str">
        <f>IFERROR(VLOOKUP($B5,'LOD 300 - SITE'!$B:BU,72,FALSE),"N/A")</f>
        <v>N/A</v>
      </c>
      <c r="FU5" s="86" t="str">
        <f>IFERROR(VLOOKUP($B5,'LOD 300 - SITE'!$B:BX,75,FALSE),"N/A")</f>
        <v>N/A</v>
      </c>
      <c r="FV5" s="86" t="str">
        <f>IFERROR(VLOOKUP($B5,'LOD 300 - SITE'!$B:CA,78,FALSE),"N/A")</f>
        <v>N/A</v>
      </c>
      <c r="FW5" s="87" t="str">
        <f>IFERROR(VLOOKUP($B5,'LOD 300 - SITE'!$B:CD,81,FALSE),"N/A")</f>
        <v>N/A</v>
      </c>
      <c r="FX5" s="108" t="str">
        <f>IFERROR(VLOOKUP($B5,'LOD 300 - SITE'!$B:CG,84,FALSE),"N/A")</f>
        <v>N/A</v>
      </c>
      <c r="FY5" s="108" t="str">
        <f>IFERROR(VLOOKUP($B5,'LOD 300 - SITE'!$B:CJ,87,FALSE),"N/A")</f>
        <v>N/A</v>
      </c>
      <c r="FZ5" s="108" t="str">
        <f>IFERROR(VLOOKUP($B5,'LOD 300 - SITE'!$B:CM,90,FALSE),"N/A")</f>
        <v>N/A</v>
      </c>
      <c r="GA5" s="108" t="str">
        <f>IFERROR(VLOOKUP($B5,'LOD 300 - SITE'!$B:CP,93,FALSE),"N/A")</f>
        <v>N/A</v>
      </c>
      <c r="GB5" s="108" t="str">
        <f>IFERROR(VLOOKUP($B5,'LOD 300 - SITE'!$B:CS,96,FALSE),"N/A")</f>
        <v>N/A</v>
      </c>
      <c r="GC5" s="109" t="str">
        <f>IFERROR(VLOOKUP($B5,'LOD 300 - SITE'!$B:CV,99,FALSE),"N/A")</f>
        <v>N/A</v>
      </c>
      <c r="GD5" s="87" t="str">
        <f>IFERROR(VLOOKUP($B5,'LOD 300 - SITE'!$B:CY,102,FALSE),"N/A")</f>
        <v>N/A</v>
      </c>
      <c r="GE5" s="87" t="str">
        <f>IFERROR(VLOOKUP($B5,'LOD 300 - SITE'!$B:DB,105,FALSE),"N/A")</f>
        <v>N/A</v>
      </c>
      <c r="GF5" s="87" t="str">
        <f>IFERROR(VLOOKUP($B5,'LOD 300 - SITE'!$B:DE,108,FALSE),"N/A")</f>
        <v>N/A</v>
      </c>
      <c r="GG5" s="87" t="str">
        <f>IFERROR(VLOOKUP($B5,'LOD 300 - SITE'!$B:DH,111,FALSE),"N/A")</f>
        <v>N/A</v>
      </c>
      <c r="GH5" s="87" t="str">
        <f>IFERROR(VLOOKUP($B5,'LOD 300 - SITE'!$B:DK,114,FALSE),"N/A")</f>
        <v>N/A</v>
      </c>
      <c r="GI5" s="87" t="str">
        <f>IFERROR(VLOOKUP($B5,'LOD 300 - SITE'!$B:DN,117,FALSE),"N/A")</f>
        <v>N/A</v>
      </c>
      <c r="GJ5" s="87" t="str">
        <f>IFERROR(VLOOKUP($B5,'LOD 300 - SITE'!$B:DQ,120,FALSE),"N/A")</f>
        <v>N/A</v>
      </c>
      <c r="GK5" s="87" t="str">
        <f>IFERROR(VLOOKUP($B5,'LOD 300 - SITE'!$B:DT,123,FALSE),"N/A")</f>
        <v>N/A</v>
      </c>
      <c r="GL5" s="87" t="str">
        <f>IFERROR(VLOOKUP($B5,'LOD 300 - SITE'!$B:DW,126,FALSE),"N/A")</f>
        <v>N/A</v>
      </c>
      <c r="GM5" s="110" t="str">
        <f>IFERROR(__xludf.DUMMYFUNCTION("IFERROR(
  MAX(FILTER(FB5:GL5, ISNUMBER(FB5:GL5))),
  GL5
)"),"N/A")</f>
        <v>N/A</v>
      </c>
      <c r="GN5" s="111"/>
      <c r="GO5" s="111"/>
      <c r="GP5" s="111"/>
    </row>
    <row r="6" outlineLevel="1">
      <c r="A6" s="60">
        <v>3.0</v>
      </c>
      <c r="B6" s="112" t="s">
        <v>88</v>
      </c>
      <c r="C6" s="70" t="s">
        <v>89</v>
      </c>
      <c r="D6" s="71" t="s">
        <v>90</v>
      </c>
      <c r="E6" s="72" t="s">
        <v>86</v>
      </c>
      <c r="F6" s="73">
        <v>1130.0</v>
      </c>
      <c r="G6" s="72" t="s">
        <v>86</v>
      </c>
      <c r="H6" s="72">
        <v>1130.0</v>
      </c>
      <c r="I6" s="74" t="str">
        <f>IFERROR(VLOOKUP(C3:C145,'R22 RELATÓRIO ACC'!B:F,5,FALSE),"NOT PUBLISHED")</f>
        <v>V28</v>
      </c>
      <c r="J6" s="74" t="str">
        <f>IFERROR(VLOOKUP(C3:C145,'R22 RELATÓRIO ACC'!B:P,15,FALSE),"NOT PUBLISHED")</f>
        <v>17/04/2026</v>
      </c>
      <c r="K6" s="113" t="str">
        <f>IFERROR(VLOOKUP(B3:B189,'RELATÓRIO ACC'!B:F,5,FALSE),"NOT PUBLISHED")</f>
        <v>V4</v>
      </c>
      <c r="L6" s="75" t="str">
        <f>IFERROR(VLOOKUP(B3:B189,'RELATÓRIO ACC'!B:P,15,FALSE),"NOT PUBLISHED")</f>
        <v>15/07/2026</v>
      </c>
      <c r="M6" s="76" t="str">
        <f>IF(OR($D6="UTLS",$D6="GUAR",$D6="STIR",$D6="PUMP",$D6="SITE"),
   VLOOKUP($B6,'LOD 300 - SITE'!B:M,12,FALSE),
   VLOOKUP($B6,'LOD 300 - ADMN'!B:M,12,FALSE)
)</f>
        <v>V19</v>
      </c>
      <c r="N6" s="77" t="str">
        <f>IF(OR($D6="UTLS",$D6="GUAR",$D6="STIR",$D6="PUMP",$D6="SITE"),
   VLOOKUP($B6,'LOD 300 - SITE'!B:N,13,FALSE),
   VLOOKUP($B6,'LOD 300 - ADMN'!B:N,13,FALSE)
)</f>
        <v>17/10/2025</v>
      </c>
      <c r="O6" s="114" t="str">
        <f>IF(OR($D6="UTLS",$D6="GUAR",$D6="STIR",$D6="PUMP",$D6="SITE"),
   VLOOKUP($B6,'LOD 300 - SITE'!B:O,14,FALSE),
   VLOOKUP($B6,'LOD 300 - ADMN'!B:O,14,FALSE)
)</f>
        <v>R22</v>
      </c>
      <c r="P6" s="79" t="str">
        <f>IF(OR($D6="C345",$D6="C12A",$D6="DATA"),
   VLOOKUP($B6,'LOD 300 - COLO3'!B:M,12,FALSE),"N/A")</f>
        <v>N/A</v>
      </c>
      <c r="Q6" s="76" t="str">
        <f>IF(OR($D6="C345",$D6="C12A",$D6="DATA"),
   VLOOKUP($B6,'LOD 300 - COLO3'!B:N,13,FALSE),"N/A")</f>
        <v>N/A</v>
      </c>
      <c r="R6" s="76" t="str">
        <f>IF(OR($D6="C345",$D6="C12A",$D6="DATA"),
   VLOOKUP($B6,'LOD 300 - COLO3'!B:O,14,FALSE),"N/A")</f>
        <v>N/A</v>
      </c>
      <c r="S6" s="79" t="str">
        <f>IF(OR($D6="C345",$D6="C12A",$D6="DATA"),
   VLOOKUP($B6,'LOD 300 - COLO4'!B:M,12,FALSE),"N/A")</f>
        <v>N/A</v>
      </c>
      <c r="T6" s="76" t="str">
        <f>IF(OR($D6="C345",$D6="C12A",$D6="DATA"),
   VLOOKUP($B6,'LOD 300 - COLO4'!B:T,13,FALSE),"N/A")</f>
        <v>N/A</v>
      </c>
      <c r="U6" s="76" t="str">
        <f>IF(OR($D6="C345",$D6="C12A",$D6="DATA"),
   VLOOKUP($B6,'LOD 300 - COLO4'!B:U,17,FALSE),"N/A")</f>
        <v>N/A</v>
      </c>
      <c r="V6" s="115" t="s">
        <v>91</v>
      </c>
      <c r="W6" s="116" t="str">
        <f>IFERROR(VLOOKUP($B6,'LOD 300 - ADMN'!$B:S,18,FALSE),"N/A")</f>
        <v>N/A</v>
      </c>
      <c r="X6" s="117" t="str">
        <f>IFERROR(VLOOKUP($B6,'LOD 300 - ADMN'!$B:V,21,FALSE),"N/A")</f>
        <v>N/A</v>
      </c>
      <c r="Y6" s="117" t="str">
        <f>IFERROR(VLOOKUP($B6,'LOD 300 - ADMN'!$B:Y,24,FALSE),"N/A")</f>
        <v>N/A</v>
      </c>
      <c r="Z6" s="117" t="str">
        <f>IFERROR(VLOOKUP($B6,'LOD 300 - ADMN'!$B:AB,27,FALSE),"N/A")</f>
        <v>N/A</v>
      </c>
      <c r="AA6" s="117" t="str">
        <f>IFERROR(VLOOKUP($B6,'LOD 300 - ADMN'!$B:AE,30,FALSE),"N/A")</f>
        <v>N/A</v>
      </c>
      <c r="AB6" s="118" t="str">
        <f>IFERROR(VLOOKUP($B6,'LOD 300 - ADMN'!$B:AH,33,FALSE),"N/A")</f>
        <v>N/A</v>
      </c>
      <c r="AC6" s="118" t="str">
        <f>IFERROR(VLOOKUP($B6,'LOD 300 - ADMN'!$B:AK,36,FALSE),"N/A")</f>
        <v>N/A</v>
      </c>
      <c r="AD6" s="117" t="str">
        <f>IFERROR(VLOOKUP($B6,'LOD 300 - ADMN'!$B:AN,39,FALSE),"N/A")</f>
        <v>N/A</v>
      </c>
      <c r="AE6" s="117" t="str">
        <f>IFERROR(VLOOKUP($B6,'LOD 300 - ADMN'!$B:AQ,42,FALSE),"N/A")</f>
        <v>N/A</v>
      </c>
      <c r="AF6" s="117" t="str">
        <f>IFERROR(VLOOKUP($B6,'LOD 300 - ADMN'!$B:AT,45,FALSE),"N/A")</f>
        <v>N/A</v>
      </c>
      <c r="AG6" s="117" t="str">
        <f>IFERROR(VLOOKUP($B6,'LOD 300 - ADMN'!$B:AW,48,FALSE),"N/A")</f>
        <v>N/A</v>
      </c>
      <c r="AH6" s="117" t="str">
        <f>IFERROR(VLOOKUP($B6,'LOD 300 - ADMN'!$B:AZ,51,FALSE),"N/A")</f>
        <v>N/A</v>
      </c>
      <c r="AI6" s="119" t="str">
        <f>IFERROR(VLOOKUP($B6,'LOD 300 - ADMN'!$B:BC,54,FALSE),"N/A")</f>
        <v>N/A</v>
      </c>
      <c r="AJ6" s="86" t="str">
        <f>IFERROR(VLOOKUP($B6,'LOD 300 - ADMN'!$B:BF,57,FALSE),"N/A")</f>
        <v>N/A</v>
      </c>
      <c r="AK6" s="87" t="str">
        <f>IFERROR(VLOOKUP($B6,'LOD 300 - ADMN'!$B:EP,60,FALSE),"N/A")</f>
        <v>N/A</v>
      </c>
      <c r="AL6" s="86" t="str">
        <f>IFERROR(VLOOKUP($B6,'LOD 300 - ADMN'!$B:EQ,63,FALSE),"N/A")</f>
        <v>N/A</v>
      </c>
      <c r="AM6" s="86" t="str">
        <f>IFERROR(VLOOKUP($B6,'LOD 300 - ADMN'!$B:BO,66,FALSE),"N/A")</f>
        <v>N/A</v>
      </c>
      <c r="AN6" s="86" t="str">
        <f>IFERROR(VLOOKUP($B6,'LOD 300 - ADMN'!$B:BR,69,FALSE),"N/A")</f>
        <v>N/A</v>
      </c>
      <c r="AO6" s="86" t="str">
        <f>IFERROR(VLOOKUP($B6,'LOD 300 - ADMN'!$B:BU,72,FALSE),"N/A")</f>
        <v>N/A</v>
      </c>
      <c r="AP6" s="86" t="str">
        <f>IFERROR(VLOOKUP($B6,'LOD 300 - ADMN'!$B:BX,75,FALSE),"N/A")</f>
        <v>N/A</v>
      </c>
      <c r="AQ6" s="86" t="str">
        <f>IFERROR(VLOOKUP($B6,'LOD 300 - ADMN'!$B:CA,78,FALSE),"N/A")</f>
        <v>N/A</v>
      </c>
      <c r="AR6" s="86" t="str">
        <f>IFERROR(VLOOKUP($B6,'LOD 300 - ADMN'!$B:CD,81,FALSE),"N/A")</f>
        <v>N/A</v>
      </c>
      <c r="AS6" s="86" t="str">
        <f>IFERROR(VLOOKUP($B6,'LOD 300 - ADMN'!$B:CG,84,FALSE),"N/A")</f>
        <v>N/A</v>
      </c>
      <c r="AT6" s="86" t="str">
        <f>IFERROR(VLOOKUP($B6,'LOD 300 - ADMN'!$B:CJ,87,FALSE),"N/A")</f>
        <v>N/A</v>
      </c>
      <c r="AU6" s="88" t="str">
        <f>IFERROR(VLOOKUP($B6,'LOD 300 - ADMN'!$B:CM,90,FALSE),"N/A")</f>
        <v>N/A</v>
      </c>
      <c r="AV6" s="88" t="str">
        <f>IFERROR(VLOOKUP($B6,'LOD 300 - ADMN'!$B:CP,93,FALSE),"N/A")</f>
        <v>N/A</v>
      </c>
      <c r="AW6" s="88" t="str">
        <f>IFERROR(VLOOKUP($B6,'LOD 300 - ADMN'!$B:CS,96,FALSE),"N/A")</f>
        <v>N/A</v>
      </c>
      <c r="AX6" s="88" t="str">
        <f>IFERROR(VLOOKUP($B6,'LOD 300 - ADMN'!$B:CV,99,FALSE),"N/A")</f>
        <v>N/A</v>
      </c>
      <c r="AY6" s="88" t="str">
        <f>IFERROR(VLOOKUP($B6,'LOD 300 - ADMN'!$B:CY,102,FALSE),"N/A")</f>
        <v>N/A</v>
      </c>
      <c r="AZ6" s="89" t="str">
        <f>IFERROR(VLOOKUP($B6,'LOD 300 - ADMN'!$B:DB,105,FALSE),"N/A")</f>
        <v>N/A</v>
      </c>
      <c r="BA6" s="87" t="str">
        <f>IFERROR(VLOOKUP($B6,'LOD 300 - ADMN'!$B:DE,108,FALSE),"N/A")</f>
        <v>N/A</v>
      </c>
      <c r="BB6" s="87" t="str">
        <f>IFERROR(VLOOKUP($B6,'LOD 300 - ADMN'!$B:DH,111,FALSE),"N/A")</f>
        <v>N/A</v>
      </c>
      <c r="BC6" s="87" t="str">
        <f>IFERROR(VLOOKUP($B6,'LOD 300 - ADMN'!$B:DK,114,FALSE),"N/A")</f>
        <v>N/A</v>
      </c>
      <c r="BD6" s="87" t="str">
        <f>IFERROR(VLOOKUP($B6,'LOD 300 - ADMN'!$B:DN,117,FALSE),"N/A")</f>
        <v>N/A</v>
      </c>
      <c r="BE6" s="87" t="str">
        <f>IFERROR(VLOOKUP($B6,'LOD 300 - ADMN'!$B:DQ,120,FALSE),"N/A")</f>
        <v>N/A</v>
      </c>
      <c r="BF6" s="87" t="str">
        <f>IFERROR(VLOOKUP($B6,'LOD 300 - ADMN'!$B:DT,123,FALSE),"N/A")</f>
        <v>N/A</v>
      </c>
      <c r="BG6" s="87" t="str">
        <f>IFERROR(VLOOKUP($B6,'LOD 300 - ADMN'!$B:DW,126,FALSE),"N/A")</f>
        <v>N/A</v>
      </c>
      <c r="BH6" s="87" t="str">
        <f>IFERROR(VLOOKUP($B6,'LOD 300 - ADMN'!$B:DZ,129,FALSE),"N/A")</f>
        <v>N/A</v>
      </c>
      <c r="BI6" s="87" t="str">
        <f>IFERROR(VLOOKUP($B6,'LOD 300 - ADMN'!$B:EC,132,FALSE),"N/A")</f>
        <v>N/A</v>
      </c>
      <c r="BJ6" s="90" t="str">
        <f>IFERROR(__xludf.DUMMYFUNCTION("IFERROR(
  MAX(FILTER(X6:BI6, ISNUMBER(X6:BI6))),
  BI6
)"),"N/A")</f>
        <v>N/A</v>
      </c>
      <c r="BK6" s="91" t="str">
        <f>IFERROR(VLOOKUP($B6,'LOD 300 - COLO1'!$B:S,18,FALSE),"N/A")</f>
        <v>N/A</v>
      </c>
      <c r="BL6" s="92" t="str">
        <f>IFERROR(VLOOKUP($B6,'LOD 300 - COLO1'!$B:V,21,FALSE),"N/A")</f>
        <v>N/A</v>
      </c>
      <c r="BM6" s="92" t="str">
        <f>IFERROR(VLOOKUP($B6,'LOD 300 - COLO1'!$B:Y,24,FALSE),"N/A")</f>
        <v>N/A</v>
      </c>
      <c r="BN6" s="92" t="str">
        <f>IFERROR(VLOOKUP($B6,'LOD 300 - COLO1'!$B:AB,27,FALSE),"N/A")</f>
        <v>N/A</v>
      </c>
      <c r="BO6" s="92" t="str">
        <f>IFERROR(VLOOKUP($B6,'LOD 300 - COLO1'!$B:AE,30,FALSE),"N/A")</f>
        <v>N/A</v>
      </c>
      <c r="BP6" s="92" t="str">
        <f>IFERROR(VLOOKUP($B6,'LOD 300 - COLO1'!$B:AH,33,FALSE),"N/A")</f>
        <v>N/A</v>
      </c>
      <c r="BQ6" s="92" t="str">
        <f>IFERROR(VLOOKUP($B6,'LOD 300 - COLO1'!$B:AK,36,FALSE),"N/A")</f>
        <v>N/A</v>
      </c>
      <c r="BR6" s="92" t="str">
        <f>IFERROR(VLOOKUP($B6,'LOD 300 - COLO1'!$B:AN,39,FALSE),"N/A")</f>
        <v>N/A</v>
      </c>
      <c r="BS6" s="92" t="str">
        <f>IFERROR(VLOOKUP($B6,'LOD 300 - COLO1'!$B:AQ,42,FALSE),"N/A")</f>
        <v>N/A</v>
      </c>
      <c r="BT6" s="92" t="str">
        <f>IFERROR(VLOOKUP($B6,'LOD 300 - COLO1'!$B:AT,45,FALSE),"N/A")</f>
        <v>N/A</v>
      </c>
      <c r="BU6" s="92" t="str">
        <f>IFERROR(VLOOKUP($B6,'LOD 300 - COLO1'!$B:AW,48,FALSE),"N/A")</f>
        <v>N/A</v>
      </c>
      <c r="BV6" s="92" t="str">
        <f>IFERROR(VLOOKUP($B6,'LOD 300 - COLO1'!$B:AZ,51,FALSE),"N/A")</f>
        <v>N/A</v>
      </c>
      <c r="BW6" s="92" t="str">
        <f>IFERROR(VLOOKUP($B6,'LOD 300 - COLO1'!$B:BC,54,FALSE),"N/A")</f>
        <v>N/A</v>
      </c>
      <c r="BX6" s="94" t="str">
        <f>IFERROR(VLOOKUP($B6,'LOD 300 - COLO1'!$B:BF,57,FALSE),"N/A")</f>
        <v>N/A</v>
      </c>
      <c r="BY6" s="94" t="str">
        <f>IFERROR(VLOOKUP($B6,'LOD 300 - COLO1'!$B:BI,60,FALSE),"N/A")</f>
        <v>N/A</v>
      </c>
      <c r="BZ6" s="95" t="str">
        <f>IFERROR(VLOOKUP($B6,'LOD 300 - COLO1'!$B:BL,63,FALSE),"N/A")</f>
        <v>N/A</v>
      </c>
      <c r="CA6" s="86" t="str">
        <f>IFERROR(VLOOKUP($B6,'LOD 300 - COLO1'!$B:BO,66,FALSE),"N/A")</f>
        <v>N/A</v>
      </c>
      <c r="CB6" s="86" t="str">
        <f>IFERROR(VLOOKUP($B6,'LOD 300 - COLO1'!$B:BR,69,FALSE),"N/A")</f>
        <v>N/A</v>
      </c>
      <c r="CC6" s="86" t="str">
        <f>IFERROR(VLOOKUP($B6,'LOD 300 - COLO1'!$B:BU,72,FALSE),"N/A")</f>
        <v>N/A</v>
      </c>
      <c r="CD6" s="86" t="str">
        <f>IFERROR(VLOOKUP($B6,'LOD 300 - COLO1'!$B:BX,75,FALSE),"N/A")</f>
        <v>N/A</v>
      </c>
      <c r="CE6" s="86" t="str">
        <f>IFERROR(VLOOKUP($B6,'LOD 300 - COLO1'!$B:CA,78,FALSE),"N/A")</f>
        <v>N/A</v>
      </c>
      <c r="CF6" s="87" t="str">
        <f>IFERROR(VLOOKUP($B6,'LOD 300 - COLO1'!$B:CD,81,FALSE),"N/A")</f>
        <v>N/A</v>
      </c>
      <c r="CG6" s="86" t="str">
        <f>IFERROR(VLOOKUP($B6,'LOD 300 - COLO1'!$B:CG,84,FALSE),"N/A")</f>
        <v>N/A</v>
      </c>
      <c r="CH6" s="87" t="str">
        <f>IFERROR(VLOOKUP($B6,'LOD 300 - COLO1'!$B:CJ,87,FALSE),"N/A")</f>
        <v>N/A</v>
      </c>
      <c r="CI6" s="88" t="str">
        <f>IFERROR(VLOOKUP($B6,'LOD 300 - COLO1'!$B:CM,90,FALSE),"N/A")</f>
        <v>N/A</v>
      </c>
      <c r="CJ6" s="88" t="str">
        <f>IFERROR(VLOOKUP($B6,'LOD 300 - COLO1'!$B:CP,93,FALSE),"N/A")</f>
        <v>N/A</v>
      </c>
      <c r="CK6" s="88" t="str">
        <f>IFERROR(VLOOKUP($B6,'LOD 300 - COLO1'!$B:CS,96,FALSE),"N/A")</f>
        <v>N/A</v>
      </c>
      <c r="CL6" s="88" t="str">
        <f>IFERROR(VLOOKUP($B6,'LOD 300 - COLO1'!$B:CV,99,FALSE),"N/A")</f>
        <v>N/A</v>
      </c>
      <c r="CM6" s="88" t="str">
        <f>IFERROR(VLOOKUP($B6,'LOD 300 - COLO1'!$B:CY,102,FALSE),"N/A")</f>
        <v>N/A</v>
      </c>
      <c r="CN6" s="89" t="str">
        <f>IFERROR(VLOOKUP($B6,'LOD 300 - COLO1'!$B:DB,105,FALSE),"N/A")</f>
        <v>N/A</v>
      </c>
      <c r="CO6" s="87" t="str">
        <f>IFERROR(VLOOKUP($B6,'LOD 300 - COLO1'!$B:EE,108,FALSE),"N/A")</f>
        <v>N/A</v>
      </c>
      <c r="CP6" s="87" t="str">
        <f>IFERROR(VLOOKUP($B6,'LOD 300 - COLO1'!$B:EH,111,FALSE),"N/A")</f>
        <v>N/A</v>
      </c>
      <c r="CQ6" s="87" t="str">
        <f>IFERROR(VLOOKUP($B6,'LOD 300 - COLO1'!$B:EK,114,FALSE),"N/A")</f>
        <v>N/A</v>
      </c>
      <c r="CR6" s="87" t="str">
        <f>IFERROR(VLOOKUP($B6,'LOD 300 - COLO1'!$B:EN,117,FALSE),"N/A")</f>
        <v>N/A</v>
      </c>
      <c r="CS6" s="87" t="str">
        <f>IFERROR(VLOOKUP($B6,'LOD 300 - COLO1'!$B:EQ,120,FALSE),"N/A")</f>
        <v>N/A</v>
      </c>
      <c r="CT6" s="87" t="str">
        <f>IFERROR(VLOOKUP($B6,'LOD 300 - COLO1'!$B:ET,123,FALSE),"N/A")</f>
        <v>N/A</v>
      </c>
      <c r="CU6" s="87" t="str">
        <f>IFERROR(VLOOKUP($B6,'LOD 300 - COLO1'!$B:EW,126,FALSE),"N/A")</f>
        <v>N/A</v>
      </c>
      <c r="CV6" s="87" t="str">
        <f>IFERROR(VLOOKUP($B6,'LOD 300 - COLO1'!$B:EZ,129,FALSE),"N/A")</f>
        <v>N/A</v>
      </c>
      <c r="CW6" s="87" t="str">
        <f>IFERROR(VLOOKUP($B6,'LOD 300 - COLO1'!$B:FC,132,FALSE),"N/A")</f>
        <v>N/A</v>
      </c>
      <c r="CX6" s="96" t="str">
        <f>IFERROR(__xludf.DUMMYFUNCTION("IFERROR(
  MAX(FILTER(BK6:CW6, ISNUMBER(BK6:CW6))),
  CW6
)"),"N/A")</f>
        <v>N/A</v>
      </c>
      <c r="CY6" s="104" t="str">
        <f>IFERROR(VLOOKUP($B6,'LOD 300 - COLO2'!$B:S,18,FALSE),"N/A")</f>
        <v>N/A</v>
      </c>
      <c r="CZ6" s="117" t="str">
        <f>IFERROR(VLOOKUP($B6,'LOD 300 - COLO2'!$B:V,21,FALSE),"N/A")</f>
        <v>N/A</v>
      </c>
      <c r="DA6" s="117" t="str">
        <f>IFERROR(VLOOKUP($B6,'LOD 300 - COLO2'!$B:Y,24,FALSE),"N/A")</f>
        <v>N/A</v>
      </c>
      <c r="DB6" s="117" t="str">
        <f>IFERROR(VLOOKUP($B6,'LOD 300 - COLO2'!$B:AB,27,FALSE),"N/A")</f>
        <v>N/A</v>
      </c>
      <c r="DC6" s="92" t="str">
        <f>IFERROR(VLOOKUP($B6,'LOD 300 - COLO2'!$B:AE,30,FALSE),"N/A")</f>
        <v>N/A</v>
      </c>
      <c r="DD6" s="120" t="str">
        <f>IFERROR(VLOOKUP($B6,'LOD 300 - COLO2'!$B:AH,33,FALSE),"N/A")</f>
        <v>N/A</v>
      </c>
      <c r="DE6" s="117" t="str">
        <f>IFERROR(VLOOKUP($B6,'LOD 300 - COLO2'!$B:AK,36,FALSE),"N/A")</f>
        <v>N/A</v>
      </c>
      <c r="DF6" s="117" t="str">
        <f>IFERROR(VLOOKUP($B6,'LOD 300 - COLO2'!$B:AN,39,FALSE),"N/A")</f>
        <v>N/A</v>
      </c>
      <c r="DG6" s="119" t="str">
        <f>IFERROR(VLOOKUP($B6,'LOD 300 - COLO2'!$B:AQ,42,FALSE),"N/A")</f>
        <v>N/A</v>
      </c>
      <c r="DH6" s="87" t="str">
        <f>IFERROR(VLOOKUP($B6,'LOD 300 - COLO2'!$B:AT,45,FALSE),"N/A")</f>
        <v>N/A</v>
      </c>
      <c r="DI6" s="94" t="str">
        <f>IFERROR(VLOOKUP($B6,'LOD 300 - COLO2'!$B:AW,48,FALSE),"N/A")</f>
        <v>N/A</v>
      </c>
      <c r="DJ6" s="95" t="str">
        <f>IFERROR(VLOOKUP($B6,'LOD 300 - COLO2'!$B:AZ,51,FALSE),"N/A")</f>
        <v>N/A</v>
      </c>
      <c r="DK6" s="86" t="str">
        <f>IFERROR(VLOOKUP($B6,'LOD 300 - COLO2'!$B:BC,54,FALSE),"N/A")</f>
        <v>N/A</v>
      </c>
      <c r="DL6" s="86" t="str">
        <f>IFERROR(VLOOKUP($B6,'LOD 300 - COLO2'!$B:BF,57,FALSE),"N/A")</f>
        <v>N/A</v>
      </c>
      <c r="DM6" s="86" t="str">
        <f>IFERROR(VLOOKUP($B6,'LOD 300 - COLO2'!$B:BI,60,FALSE),"N/A")</f>
        <v>N/A</v>
      </c>
      <c r="DN6" s="86" t="str">
        <f>IFERROR(VLOOKUP($B6,'LOD 300 - COLO2'!$B:BL,63,FALSE),"N/A")</f>
        <v>N/A</v>
      </c>
      <c r="DO6" s="86" t="str">
        <f>IFERROR(VLOOKUP($B6,'LOD 300 - COLO2'!$B:BO,66,FALSE),"N/A")</f>
        <v>N/A</v>
      </c>
      <c r="DP6" s="87" t="str">
        <f>IFERROR(VLOOKUP($B6,'LOD 300 - COLO2'!$B:BR,69,FALSE),"N/A")</f>
        <v>N/A</v>
      </c>
      <c r="DQ6" s="87" t="str">
        <f>IFERROR(VLOOKUP($B6,'LOD 300 - COLO2'!$B:BU,72,FALSE),"N/A")</f>
        <v>N/A</v>
      </c>
      <c r="DR6" s="87" t="str">
        <f>IFERROR(VLOOKUP($B6,'LOD 300 - COLO2'!$B:BX,75,FALSE),"N/A")</f>
        <v>N/A</v>
      </c>
      <c r="DS6" s="98" t="str">
        <f>IFERROR(VLOOKUP($B6,'LOD 300 - COLO2'!$B:CA,78,FALSE),"N/A")</f>
        <v>N/A</v>
      </c>
      <c r="DT6" s="98" t="str">
        <f>IFERROR(VLOOKUP($B6,'LOD 300 - COLO2'!$B:CD,81,FALSE),"N/A")</f>
        <v>N/A</v>
      </c>
      <c r="DU6" s="98" t="str">
        <f>IFERROR(VLOOKUP($B6,'LOD 300 - COLO2'!$B:CG,84,FALSE),"N/A")</f>
        <v>N/A</v>
      </c>
      <c r="DV6" s="98" t="str">
        <f>IFERROR(VLOOKUP($B6,'LOD 300 - COLO2'!$B:CJ,87,FALSE),"N/A")</f>
        <v>N/A</v>
      </c>
      <c r="DW6" s="98" t="str">
        <f>IFERROR(VLOOKUP($B6,'LOD 300 - COLO2'!$B:CM,90,FALSE),"N/A")</f>
        <v>N/A</v>
      </c>
      <c r="DX6" s="98" t="str">
        <f>IFERROR(VLOOKUP($B6,'LOD 300 - COLO2'!$B:CP,93,FALSE),"N/A")</f>
        <v>N/A</v>
      </c>
      <c r="DY6" s="87" t="str">
        <f>IFERROR(VLOOKUP($B6,'LOD 300 - COLO2'!$B:CS,96,FALSE),"N/A")</f>
        <v>N/A</v>
      </c>
      <c r="DZ6" s="87" t="str">
        <f>IFERROR(VLOOKUP($B6,'LOD 300 - COLO2'!$B:CV,99,FALSE),"N/A")</f>
        <v>N/A</v>
      </c>
      <c r="EA6" s="87" t="str">
        <f>IFERROR(VLOOKUP($B6,'LOD 300 - COLO2'!$B:DB,105,FALSE),"N/A")</f>
        <v>N/A</v>
      </c>
      <c r="EB6" s="87" t="str">
        <f>IFERROR(VLOOKUP($B6,'LOD 300 - COLO2'!$B:DB,105,FALSE),"N/A")</f>
        <v>N/A</v>
      </c>
      <c r="EC6" s="87" t="str">
        <f>IFERROR(VLOOKUP($B6,'LOD 300 - COLO2'!$B:DE,108,FALSE),"N/A")</f>
        <v>N/A</v>
      </c>
      <c r="ED6" s="87" t="str">
        <f>IFERROR(VLOOKUP($B6,'LOD 300 - COLO2'!$B:DH,111,FALSE),"N/A")</f>
        <v>N/A</v>
      </c>
      <c r="EE6" s="87" t="str">
        <f>IFERROR(VLOOKUP($B6,'LOD 300 - COLO2'!$B:DK,114,FALSE),"N/A")</f>
        <v>N/A</v>
      </c>
      <c r="EF6" s="87" t="str">
        <f>IFERROR(VLOOKUP($B6,'LOD 300 - COLO2'!$B:DN,117,FALSE),"N/A")</f>
        <v>N/A</v>
      </c>
      <c r="EG6" s="87" t="str">
        <f>IFERROR(VLOOKUP($B6,'LOD 300 - COLO2'!$B:DQ,120,FALSE),"N/A")</f>
        <v>N/A</v>
      </c>
      <c r="EH6" s="99" t="str">
        <f>IFERROR(__xludf.DUMMYFUNCTION("IFERROR(
  MAX(FILTER(CZ6:EG6, ISNUMBER(CZ6:EG6))),
  EG6
)"),"N/A")</f>
        <v>N/A</v>
      </c>
      <c r="EI6" s="100" t="str">
        <f>IFERROR(VLOOKUP($B6,'LOD 300 - COLO3'!$B:R,17,FALSE),"N/A")</f>
        <v>N/A</v>
      </c>
      <c r="EJ6" s="101" t="str">
        <f>IFERROR(VLOOKUP($B6,'LOD 300 - COLO3'!$B:U,20,FALSE),"N/A")</f>
        <v>N/A</v>
      </c>
      <c r="EK6" s="101" t="str">
        <f>IFERROR(VLOOKUP($B6,'LOD 300 - COLO3'!$B:X,23,FALSE),"N/A")</f>
        <v>N/A</v>
      </c>
      <c r="EL6" s="101" t="str">
        <f>IFERROR(VLOOKUP($B6,'LOD 300 - COLO3'!$B:AA,26,FALSE),"N/A")</f>
        <v>N/A</v>
      </c>
      <c r="EM6" s="101" t="str">
        <f>IFERROR(VLOOKUP($B6,'LOD 300 - COLO3'!$B:AD,29,FALSE),"N/A")</f>
        <v>N/A</v>
      </c>
      <c r="EN6" s="101" t="str">
        <f>IFERROR(VLOOKUP($B6,'LOD 300 - COLO3'!$B:AG,32,FALSE),"N/A")</f>
        <v>N/A</v>
      </c>
      <c r="EO6" s="102" t="str">
        <f>IFERROR(VLOOKUP($B6,'LOD 300 - COLO3'!$B:AJ,35,FALSE),"N/A")</f>
        <v>N/A</v>
      </c>
      <c r="EP6" s="100" t="str">
        <f>IFERROR(VLOOKUP($B6,'LOD 300 - COLO3'!$B:AM,38,FALSE),"N/A")</f>
        <v>N/A</v>
      </c>
      <c r="EQ6" s="100" t="str">
        <f>IFERROR(VLOOKUP($B6,'LOD 300 - COLO3'!$B:AP,41,FALSE),"N/A")</f>
        <v>N/A</v>
      </c>
      <c r="ER6" s="100" t="str">
        <f>IFERROR(VLOOKUP($B6,'LOD 300 - COLO3'!$B:AS,44,FALSE),"N/A")</f>
        <v>N/A</v>
      </c>
      <c r="ES6" s="100" t="str">
        <f>IFERROR(VLOOKUP($B6,'LOD 300 - COLO3'!$B:AV,47,FALSE),"N/A")</f>
        <v>N/A</v>
      </c>
      <c r="ET6" s="100" t="str">
        <f>IFERROR(VLOOKUP($B6,'LOD 300 - COLO3'!$B:AY,50,FALSE),"N/A")</f>
        <v>N/A</v>
      </c>
      <c r="EU6" s="100" t="str">
        <f>IFERROR(VLOOKUP($B6,'LOD 300 - COLO3'!$B:BB,53,FALSE),"N/A")</f>
        <v>N/A</v>
      </c>
      <c r="EV6" s="100" t="str">
        <f>IFERROR(VLOOKUP($B6,'LOD 300 - COLO3'!$B:BE,56,FALSE),"N/A")</f>
        <v>N/A</v>
      </c>
      <c r="EW6" s="100" t="str">
        <f>IFERROR(VLOOKUP($B6,'LOD 300 - COLO3'!$B:BL,59,FALSE),"N/A")</f>
        <v>N/A</v>
      </c>
      <c r="EX6" s="100" t="str">
        <f>IFERROR(VLOOKUP($B6,'LOD 300 - COLO3'!$B:BO,62,FALSE),"N/A")</f>
        <v>N/A</v>
      </c>
      <c r="EY6" s="103" t="str">
        <f>IFERROR(__xludf.DUMMYFUNCTION("IFERROR(
  MAX(FILTER(EI6:EX6, ISNUMBER(EI6:EX6))),
  EX6
)"),"N/A")</f>
        <v>N/A</v>
      </c>
      <c r="EZ6" s="104" t="str">
        <f>IFERROR(VLOOKUP($B6,'LOD 300 - COLO4'!$B:BT,17,FALSE),"N/A")</f>
        <v>N/A</v>
      </c>
      <c r="FA6" s="103" t="str">
        <f>IFERROR(__xludf.DUMMYFUNCTION("IFERROR(
  MAX(FILTER(EZ6, ISNUMBER(EZ6))),
  EZ6
)"),"N/A")</f>
        <v>N/A</v>
      </c>
      <c r="FB6" s="121">
        <f>IFERROR(VLOOKUP($B6,'LOD 300 - SITE'!$B:S,18,FALSE),"N/A")</f>
        <v>0.78</v>
      </c>
      <c r="FC6" s="122">
        <f>IFERROR(VLOOKUP($B6,'LOD 300 - SITE'!$B:V,21,FALSE),"N/A")</f>
        <v>0.84</v>
      </c>
      <c r="FD6" s="122">
        <f>IFERROR(VLOOKUP($B6,'LOD 300 - SITE'!$B:Y,24,FALSE),"N/A")</f>
        <v>0.94</v>
      </c>
      <c r="FE6" s="122" t="str">
        <f>IFERROR(VLOOKUP($B6,'LOD 300 - SITE'!$B:AB,27,FALSE),"N/A")</f>
        <v>OUTDATED MODEL</v>
      </c>
      <c r="FF6" s="122" t="str">
        <f>IFERROR(VLOOKUP($B6,'LOD 300 - SITE'!$B:AE,30,FALSE),"N/A")</f>
        <v>OUTDATED MODEL</v>
      </c>
      <c r="FG6" s="122">
        <f>IFERROR(VLOOKUP($B6,'LOD 300 - SITE'!$B:AH,33,FALSE),"N/A")</f>
        <v>0.98</v>
      </c>
      <c r="FH6" s="122">
        <f>IFERROR(VLOOKUP($B6,'LOD 300 - SITE'!$B:AK,36,FALSE),"N/A")</f>
        <v>1</v>
      </c>
      <c r="FI6" s="122">
        <f>IFERROR(VLOOKUP($B6,'LOD 300 - SITE'!$B:AN,39,FALSE),"N/A")</f>
        <v>1</v>
      </c>
      <c r="FJ6" s="122">
        <f>IFERROR(VLOOKUP($B6,'LOD 300 - SITE'!$B:AQ,42,FALSE),"N/A")</f>
        <v>1</v>
      </c>
      <c r="FK6" s="122">
        <f>IFERROR(VLOOKUP($B6,'LOD 300 - SITE'!$B:AT,45,FALSE),"N/A")</f>
        <v>1</v>
      </c>
      <c r="FL6" s="123">
        <f>IFERROR(VLOOKUP($B6,'LOD 300 - SITE'!$B:AW,48,FALSE),"N/A")</f>
        <v>1</v>
      </c>
      <c r="FM6" s="87">
        <f>IFERROR(VLOOKUP($B6,'LOD 300 - SITE'!$B:AZ,51,FALSE),"N/A")</f>
        <v>1</v>
      </c>
      <c r="FN6" s="94">
        <f>IFERROR(VLOOKUP($B6,'LOD 300 - SITE'!$B:BC,54,FALSE),"N/A")</f>
        <v>1</v>
      </c>
      <c r="FO6" s="95">
        <f>IFERROR(VLOOKUP($B6,'LOD 300 - SITE'!$B:BF,57,FALSE),"N/A")</f>
        <v>1</v>
      </c>
      <c r="FP6" s="86">
        <f>IFERROR(VLOOKUP($B6,'LOD 300 - SITE'!$B:BI,60,FALSE),"N/A")</f>
        <v>1</v>
      </c>
      <c r="FQ6" s="86">
        <f>IFERROR(VLOOKUP($B6,'LOD 300 - SITE'!$B:BL,63,FALSE),"N/A")</f>
        <v>1</v>
      </c>
      <c r="FR6" s="86">
        <f>IFERROR(VLOOKUP($B6,'LOD 300 - SITE'!$B:BO,66,FALSE),"N/A")</f>
        <v>1</v>
      </c>
      <c r="FS6" s="86">
        <f>IFERROR(VLOOKUP($B6,'LOD 300 - SITE'!$B:BR,69,FALSE),"N/A")</f>
        <v>1</v>
      </c>
      <c r="FT6" s="86">
        <f>IFERROR(VLOOKUP($B6,'LOD 300 - SITE'!$B:BU,72,FALSE),"N/A")</f>
        <v>1</v>
      </c>
      <c r="FU6" s="86">
        <f>IFERROR(VLOOKUP($B6,'LOD 300 - SITE'!$B:BX,75,FALSE),"N/A")</f>
        <v>1</v>
      </c>
      <c r="FV6" s="86">
        <f>IFERROR(VLOOKUP($B6,'LOD 300 - SITE'!$B:CA,78,FALSE),"N/A")</f>
        <v>1</v>
      </c>
      <c r="FW6" s="87">
        <f>IFERROR(VLOOKUP($B6,'LOD 300 - SITE'!$B:CD,81,FALSE),"N/A")</f>
        <v>1</v>
      </c>
      <c r="FX6" s="108">
        <f>IFERROR(VLOOKUP($B6,'LOD 300 - SITE'!$B:CG,84,FALSE),"N/A")</f>
        <v>1</v>
      </c>
      <c r="FY6" s="108">
        <f>IFERROR(VLOOKUP($B6,'LOD 300 - SITE'!$B:CJ,87,FALSE),"N/A")</f>
        <v>1</v>
      </c>
      <c r="FZ6" s="108">
        <f>IFERROR(VLOOKUP($B6,'LOD 300 - SITE'!$B:CM,90,FALSE),"N/A")</f>
        <v>1</v>
      </c>
      <c r="GA6" s="108">
        <f>IFERROR(VLOOKUP($B6,'LOD 300 - SITE'!$B:CP,93,FALSE),"N/A")</f>
        <v>1</v>
      </c>
      <c r="GB6" s="108">
        <f>IFERROR(VLOOKUP($B6,'LOD 300 - SITE'!$B:CS,96,FALSE),"N/A")</f>
        <v>1</v>
      </c>
      <c r="GC6" s="109">
        <f>IFERROR(VLOOKUP($B6,'LOD 300 - SITE'!$B:CV,99,FALSE),"N/A")</f>
        <v>1</v>
      </c>
      <c r="GD6" s="87">
        <f>IFERROR(VLOOKUP($B6,'LOD 300 - SITE'!$B:CY,102,FALSE),"N/A")</f>
        <v>1</v>
      </c>
      <c r="GE6" s="87">
        <f>IFERROR(VLOOKUP($B6,'LOD 300 - SITE'!$B:DB,105,FALSE),"N/A")</f>
        <v>1</v>
      </c>
      <c r="GF6" s="87">
        <f>IFERROR(VLOOKUP($B6,'LOD 300 - SITE'!$B:DE,108,FALSE),"N/A")</f>
        <v>1</v>
      </c>
      <c r="GG6" s="87">
        <f>IFERROR(VLOOKUP($B6,'LOD 300 - SITE'!$B:DH,111,FALSE),"N/A")</f>
        <v>1</v>
      </c>
      <c r="GH6" s="87">
        <f>IFERROR(VLOOKUP($B6,'LOD 300 - SITE'!$B:DK,114,FALSE),"N/A")</f>
        <v>1</v>
      </c>
      <c r="GI6" s="87">
        <f>IFERROR(VLOOKUP($B6,'LOD 300 - SITE'!$B:DN,117,FALSE),"N/A")</f>
        <v>1</v>
      </c>
      <c r="GJ6" s="87">
        <f>IFERROR(VLOOKUP($B6,'LOD 300 - SITE'!$B:DQ,120,FALSE),"N/A")</f>
        <v>1</v>
      </c>
      <c r="GK6" s="87">
        <f>IFERROR(VLOOKUP($B6,'LOD 300 - SITE'!$B:DT,123,FALSE),"N/A")</f>
        <v>1</v>
      </c>
      <c r="GL6" s="87">
        <f>IFERROR(VLOOKUP($B6,'LOD 300 - SITE'!$B:DW,126,FALSE),"N/A")</f>
        <v>1</v>
      </c>
      <c r="GM6" s="110">
        <f>IFERROR(__xludf.DUMMYFUNCTION("IFERROR(
  MAX(FILTER(FB6:GL6, ISNUMBER(FB6:GL6))),
  GL6
)"),1.0)</f>
        <v>1</v>
      </c>
      <c r="GN6" s="68"/>
      <c r="GO6" s="68"/>
      <c r="GP6" s="68"/>
    </row>
    <row r="7" ht="15.0" customHeight="1" outlineLevel="1">
      <c r="A7" s="60">
        <v>9.0</v>
      </c>
      <c r="B7" s="124" t="s">
        <v>92</v>
      </c>
      <c r="C7" s="70" t="s">
        <v>93</v>
      </c>
      <c r="D7" s="71" t="s">
        <v>90</v>
      </c>
      <c r="E7" s="72" t="s">
        <v>94</v>
      </c>
      <c r="F7" s="73"/>
      <c r="G7" s="125" t="s">
        <v>86</v>
      </c>
      <c r="H7" s="72"/>
      <c r="I7" s="74" t="str">
        <f>IFERROR(VLOOKUP(C4:C146,'R22 RELATÓRIO ACC'!B:F,5,FALSE),"NOT PUBLISHED")</f>
        <v>V12</v>
      </c>
      <c r="J7" s="74" t="str">
        <f>IFERROR(VLOOKUP(C4:C146,'R22 RELATÓRIO ACC'!B:P,15,FALSE),"NOT PUBLISHED")</f>
        <v>05/05/2026</v>
      </c>
      <c r="K7" s="126" t="str">
        <f>IFERROR(VLOOKUP(B7:B196,'RELATÓRIO ACC'!B:F,5,FALSE),"NOT PUBLISHED")</f>
        <v>V5</v>
      </c>
      <c r="L7" s="75" t="str">
        <f>IFERROR(VLOOKUP(B7:B196,'RELATÓRIO ACC'!B:P,15,FALSE),"NOT PUBLISHED")</f>
        <v>22/06/2026</v>
      </c>
      <c r="M7" s="76" t="str">
        <f>IF(OR($D7="UTLS",$D7="GUAR",$D7="STIR",$D7="PUMP",$D7="SITE"),
   VLOOKUP($B7,'LOD 300 - SITE'!B:M,12,FALSE),
   VLOOKUP($B7,'LOD 300 - ADMN'!B:M,12,FALSE)
)</f>
        <v>V4</v>
      </c>
      <c r="N7" s="77">
        <f>IF(OR($D7="UTLS",$D7="GUAR",$D7="STIR",$D7="PUMP",$D7="SITE"),
   VLOOKUP($B7,'LOD 300 - SITE'!B:N,13,FALSE),
   VLOOKUP($B7,'LOD 300 - ADMN'!B:N,13,FALSE)
)</f>
        <v>45978</v>
      </c>
      <c r="O7" s="114" t="str">
        <f>IF(OR($D7="UTLS",$D7="GUAR",$D7="STIR",$D7="PUMP",$D7="SITE"),
   VLOOKUP($B7,'LOD 300 - SITE'!B:O,14,FALSE),
   VLOOKUP($B7,'LOD 300 - ADMN'!B:O,14,FALSE)
)</f>
        <v>R22</v>
      </c>
      <c r="P7" s="79" t="str">
        <f>IF(OR($D7="C345",$D7="C12A",$D7="DATA"),
   VLOOKUP($B7,'LOD 300 - COLO3'!B:M,12,FALSE),"N/A")</f>
        <v>N/A</v>
      </c>
      <c r="Q7" s="76" t="str">
        <f>IF(OR($D7="C345",$D7="C12A",$D7="DATA"),
   VLOOKUP($B7,'LOD 300 - COLO3'!B:N,13,FALSE),"N/A")</f>
        <v>N/A</v>
      </c>
      <c r="R7" s="76" t="str">
        <f>IF(OR($D7="C345",$D7="C12A",$D7="DATA"),
   VLOOKUP($B7,'LOD 300 - COLO3'!B:O,14,FALSE),"N/A")</f>
        <v>N/A</v>
      </c>
      <c r="S7" s="79" t="str">
        <f>IF(OR($D7="C345",$D7="C12A",$D7="DATA"),
   VLOOKUP($B7,'LOD 300 - COLO4'!B:M,12,FALSE),"N/A")</f>
        <v>N/A</v>
      </c>
      <c r="T7" s="76" t="str">
        <f>IF(OR($D7="C345",$D7="C12A",$D7="DATA"),
   VLOOKUP($B7,'LOD 300 - COLO4'!B:T,13,FALSE),"N/A")</f>
        <v>N/A</v>
      </c>
      <c r="U7" s="76" t="str">
        <f>IF(OR($D7="C345",$D7="C12A",$D7="DATA"),
   VLOOKUP($B7,'LOD 300 - COLO4'!B:U,17,FALSE),"N/A")</f>
        <v>N/A</v>
      </c>
      <c r="V7" s="126"/>
      <c r="W7" s="116" t="str">
        <f>IFERROR(VLOOKUP($B7,'LOD 300 - ADMN'!$B:S,18,FALSE),"N/A")</f>
        <v>N/A</v>
      </c>
      <c r="X7" s="117" t="str">
        <f>IFERROR(VLOOKUP($B7,'LOD 300 - ADMN'!$B:V,21,FALSE),"N/A")</f>
        <v>N/A</v>
      </c>
      <c r="Y7" s="117" t="str">
        <f>IFERROR(VLOOKUP($B7,'LOD 300 - ADMN'!$B:Y,24,FALSE),"N/A")</f>
        <v>N/A</v>
      </c>
      <c r="Z7" s="117" t="str">
        <f>IFERROR(VLOOKUP($B7,'LOD 300 - ADMN'!$B:AB,27,FALSE),"N/A")</f>
        <v>N/A</v>
      </c>
      <c r="AA7" s="117" t="str">
        <f>IFERROR(VLOOKUP($B7,'LOD 300 - ADMN'!$B:AE,30,FALSE),"N/A")</f>
        <v>N/A</v>
      </c>
      <c r="AB7" s="118" t="str">
        <f>IFERROR(VLOOKUP($B7,'LOD 300 - ADMN'!$B:AH,33,FALSE),"N/A")</f>
        <v>N/A</v>
      </c>
      <c r="AC7" s="118" t="str">
        <f>IFERROR(VLOOKUP($B7,'LOD 300 - ADMN'!$B:AK,36,FALSE),"N/A")</f>
        <v>N/A</v>
      </c>
      <c r="AD7" s="117" t="str">
        <f>IFERROR(VLOOKUP($B7,'LOD 300 - ADMN'!$B:AN,39,FALSE),"N/A")</f>
        <v>N/A</v>
      </c>
      <c r="AE7" s="117" t="str">
        <f>IFERROR(VLOOKUP($B7,'LOD 300 - ADMN'!$B:AQ,42,FALSE),"N/A")</f>
        <v>N/A</v>
      </c>
      <c r="AF7" s="117" t="str">
        <f>IFERROR(VLOOKUP($B7,'LOD 300 - ADMN'!$B:AT,45,FALSE),"N/A")</f>
        <v>N/A</v>
      </c>
      <c r="AG7" s="117" t="str">
        <f>IFERROR(VLOOKUP($B7,'LOD 300 - ADMN'!$B:AW,48,FALSE),"N/A")</f>
        <v>N/A</v>
      </c>
      <c r="AH7" s="117" t="str">
        <f>IFERROR(VLOOKUP($B7,'LOD 300 - ADMN'!$B:AZ,51,FALSE),"N/A")</f>
        <v>N/A</v>
      </c>
      <c r="AI7" s="119" t="str">
        <f>IFERROR(VLOOKUP($B7,'LOD 300 - ADMN'!$B:BC,54,FALSE),"N/A")</f>
        <v>N/A</v>
      </c>
      <c r="AJ7" s="86" t="str">
        <f>IFERROR(VLOOKUP($B7,'LOD 300 - ADMN'!$B:BF,57,FALSE),"N/A")</f>
        <v>N/A</v>
      </c>
      <c r="AK7" s="87" t="str">
        <f>IFERROR(VLOOKUP($B7,'LOD 300 - ADMN'!$B:EP,60,FALSE),"N/A")</f>
        <v>N/A</v>
      </c>
      <c r="AL7" s="86" t="str">
        <f>IFERROR(VLOOKUP($B7,'LOD 300 - ADMN'!$B:EQ,63,FALSE),"N/A")</f>
        <v>N/A</v>
      </c>
      <c r="AM7" s="86" t="str">
        <f>IFERROR(VLOOKUP($B7,'LOD 300 - ADMN'!$B:BO,66,FALSE),"N/A")</f>
        <v>N/A</v>
      </c>
      <c r="AN7" s="86" t="str">
        <f>IFERROR(VLOOKUP($B7,'LOD 300 - ADMN'!$B:BR,69,FALSE),"N/A")</f>
        <v>N/A</v>
      </c>
      <c r="AO7" s="86" t="str">
        <f>IFERROR(VLOOKUP($B7,'LOD 300 - ADMN'!$B:BU,72,FALSE),"N/A")</f>
        <v>N/A</v>
      </c>
      <c r="AP7" s="86" t="str">
        <f>IFERROR(VLOOKUP($B7,'LOD 300 - ADMN'!$B:BX,75,FALSE),"N/A")</f>
        <v>N/A</v>
      </c>
      <c r="AQ7" s="86" t="str">
        <f>IFERROR(VLOOKUP($B7,'LOD 300 - ADMN'!$B:CA,78,FALSE),"N/A")</f>
        <v>N/A</v>
      </c>
      <c r="AR7" s="86" t="str">
        <f>IFERROR(VLOOKUP($B7,'LOD 300 - ADMN'!$B:CD,81,FALSE),"N/A")</f>
        <v>N/A</v>
      </c>
      <c r="AS7" s="86" t="str">
        <f>IFERROR(VLOOKUP($B7,'LOD 300 - ADMN'!$B:CG,84,FALSE),"N/A")</f>
        <v>N/A</v>
      </c>
      <c r="AT7" s="86" t="str">
        <f>IFERROR(VLOOKUP($B7,'LOD 300 - ADMN'!$B:CJ,87,FALSE),"N/A")</f>
        <v>N/A</v>
      </c>
      <c r="AU7" s="88" t="str">
        <f>IFERROR(VLOOKUP($B7,'LOD 300 - ADMN'!$B:CM,90,FALSE),"N/A")</f>
        <v>N/A</v>
      </c>
      <c r="AV7" s="88" t="str">
        <f>IFERROR(VLOOKUP($B7,'LOD 300 - ADMN'!$B:CP,93,FALSE),"N/A")</f>
        <v>N/A</v>
      </c>
      <c r="AW7" s="88" t="str">
        <f>IFERROR(VLOOKUP($B7,'LOD 300 - ADMN'!$B:CS,96,FALSE),"N/A")</f>
        <v>N/A</v>
      </c>
      <c r="AX7" s="88" t="str">
        <f>IFERROR(VLOOKUP($B7,'LOD 300 - ADMN'!$B:CV,99,FALSE),"N/A")</f>
        <v>N/A</v>
      </c>
      <c r="AY7" s="88" t="str">
        <f>IFERROR(VLOOKUP($B7,'LOD 300 - ADMN'!$B:CY,102,FALSE),"N/A")</f>
        <v>N/A</v>
      </c>
      <c r="AZ7" s="89" t="str">
        <f>IFERROR(VLOOKUP($B7,'LOD 300 - ADMN'!$B:DB,105,FALSE),"N/A")</f>
        <v>N/A</v>
      </c>
      <c r="BA7" s="87" t="str">
        <f>IFERROR(VLOOKUP($B7,'LOD 300 - ADMN'!$B:DE,108,FALSE),"N/A")</f>
        <v>N/A</v>
      </c>
      <c r="BB7" s="87" t="str">
        <f>IFERROR(VLOOKUP($B7,'LOD 300 - ADMN'!$B:DH,111,FALSE),"N/A")</f>
        <v>N/A</v>
      </c>
      <c r="BC7" s="87" t="str">
        <f>IFERROR(VLOOKUP($B7,'LOD 300 - ADMN'!$B:DK,114,FALSE),"N/A")</f>
        <v>N/A</v>
      </c>
      <c r="BD7" s="87" t="str">
        <f>IFERROR(VLOOKUP($B7,'LOD 300 - ADMN'!$B:DN,117,FALSE),"N/A")</f>
        <v>N/A</v>
      </c>
      <c r="BE7" s="87" t="str">
        <f>IFERROR(VLOOKUP($B7,'LOD 300 - ADMN'!$B:DQ,120,FALSE),"N/A")</f>
        <v>N/A</v>
      </c>
      <c r="BF7" s="87" t="str">
        <f>IFERROR(VLOOKUP($B7,'LOD 300 - ADMN'!$B:DT,123,FALSE),"N/A")</f>
        <v>N/A</v>
      </c>
      <c r="BG7" s="87" t="str">
        <f>IFERROR(VLOOKUP($B7,'LOD 300 - ADMN'!$B:DW,126,FALSE),"N/A")</f>
        <v>N/A</v>
      </c>
      <c r="BH7" s="87" t="str">
        <f>IFERROR(VLOOKUP($B7,'LOD 300 - ADMN'!$B:DZ,129,FALSE),"N/A")</f>
        <v>N/A</v>
      </c>
      <c r="BI7" s="87" t="str">
        <f>IFERROR(VLOOKUP($B7,'LOD 300 - ADMN'!$B:EC,132,FALSE),"N/A")</f>
        <v>N/A</v>
      </c>
      <c r="BJ7" s="90" t="str">
        <f>IFERROR(__xludf.DUMMYFUNCTION("IFERROR(
  MAX(FILTER(X7:BI7, ISNUMBER(X7:BI7))),
  BI7
)"),"N/A")</f>
        <v>N/A</v>
      </c>
      <c r="BK7" s="91" t="str">
        <f>IFERROR(VLOOKUP($B7,'LOD 300 - COLO1'!$B:S,18,FALSE),"N/A")</f>
        <v>N/A</v>
      </c>
      <c r="BL7" s="92" t="str">
        <f>IFERROR(VLOOKUP($B7,'LOD 300 - COLO1'!$B:V,21,FALSE),"N/A")</f>
        <v>N/A</v>
      </c>
      <c r="BM7" s="92" t="str">
        <f>IFERROR(VLOOKUP($B7,'LOD 300 - COLO1'!$B:Y,24,FALSE),"N/A")</f>
        <v>N/A</v>
      </c>
      <c r="BN7" s="92" t="str">
        <f>IFERROR(VLOOKUP($B7,'LOD 300 - COLO1'!$B:AB,27,FALSE),"N/A")</f>
        <v>N/A</v>
      </c>
      <c r="BO7" s="92" t="str">
        <f>IFERROR(VLOOKUP($B7,'LOD 300 - COLO1'!$B:AE,30,FALSE),"N/A")</f>
        <v>N/A</v>
      </c>
      <c r="BP7" s="92" t="str">
        <f>IFERROR(VLOOKUP($B7,'LOD 300 - COLO1'!$B:AH,33,FALSE),"N/A")</f>
        <v>N/A</v>
      </c>
      <c r="BQ7" s="92" t="str">
        <f>IFERROR(VLOOKUP($B7,'LOD 300 - COLO1'!$B:AK,36,FALSE),"N/A")</f>
        <v>N/A</v>
      </c>
      <c r="BR7" s="92" t="str">
        <f>IFERROR(VLOOKUP($B7,'LOD 300 - COLO1'!$B:AN,39,FALSE),"N/A")</f>
        <v>N/A</v>
      </c>
      <c r="BS7" s="92" t="str">
        <f>IFERROR(VLOOKUP($B7,'LOD 300 - COLO1'!$B:AQ,42,FALSE),"N/A")</f>
        <v>N/A</v>
      </c>
      <c r="BT7" s="92" t="str">
        <f>IFERROR(VLOOKUP($B7,'LOD 300 - COLO1'!$B:AT,45,FALSE),"N/A")</f>
        <v>N/A</v>
      </c>
      <c r="BU7" s="92" t="str">
        <f>IFERROR(VLOOKUP($B7,'LOD 300 - COLO1'!$B:AW,48,FALSE),"N/A")</f>
        <v>N/A</v>
      </c>
      <c r="BV7" s="92" t="str">
        <f>IFERROR(VLOOKUP($B7,'LOD 300 - COLO1'!$B:AZ,51,FALSE),"N/A")</f>
        <v>N/A</v>
      </c>
      <c r="BW7" s="92" t="str">
        <f>IFERROR(VLOOKUP($B7,'LOD 300 - COLO1'!$B:BC,54,FALSE),"N/A")</f>
        <v>N/A</v>
      </c>
      <c r="BX7" s="94" t="str">
        <f>IFERROR(VLOOKUP($B7,'LOD 300 - COLO1'!$B:BF,57,FALSE),"N/A")</f>
        <v>N/A</v>
      </c>
      <c r="BY7" s="94" t="str">
        <f>IFERROR(VLOOKUP($B7,'LOD 300 - COLO1'!$B:BI,60,FALSE),"N/A")</f>
        <v>N/A</v>
      </c>
      <c r="BZ7" s="95" t="str">
        <f>IFERROR(VLOOKUP($B7,'LOD 300 - COLO1'!$B:BL,63,FALSE),"N/A")</f>
        <v>N/A</v>
      </c>
      <c r="CA7" s="86" t="str">
        <f>IFERROR(VLOOKUP($B7,'LOD 300 - COLO1'!$B:BO,66,FALSE),"N/A")</f>
        <v>N/A</v>
      </c>
      <c r="CB7" s="86" t="str">
        <f>IFERROR(VLOOKUP($B7,'LOD 300 - COLO1'!$B:BR,69,FALSE),"N/A")</f>
        <v>N/A</v>
      </c>
      <c r="CC7" s="86" t="str">
        <f>IFERROR(VLOOKUP($B7,'LOD 300 - COLO1'!$B:BU,72,FALSE),"N/A")</f>
        <v>N/A</v>
      </c>
      <c r="CD7" s="86" t="str">
        <f>IFERROR(VLOOKUP($B7,'LOD 300 - COLO1'!$B:BX,75,FALSE),"N/A")</f>
        <v>N/A</v>
      </c>
      <c r="CE7" s="86" t="str">
        <f>IFERROR(VLOOKUP($B7,'LOD 300 - COLO1'!$B:CA,78,FALSE),"N/A")</f>
        <v>N/A</v>
      </c>
      <c r="CF7" s="87" t="str">
        <f>IFERROR(VLOOKUP($B7,'LOD 300 - COLO1'!$B:CD,81,FALSE),"N/A")</f>
        <v>N/A</v>
      </c>
      <c r="CG7" s="86" t="str">
        <f>IFERROR(VLOOKUP($B7,'LOD 300 - COLO1'!$B:CG,84,FALSE),"N/A")</f>
        <v>N/A</v>
      </c>
      <c r="CH7" s="87" t="str">
        <f>IFERROR(VLOOKUP($B7,'LOD 300 - COLO1'!$B:CJ,87,FALSE),"N/A")</f>
        <v>N/A</v>
      </c>
      <c r="CI7" s="88" t="str">
        <f>IFERROR(VLOOKUP($B7,'LOD 300 - COLO1'!$B:CM,90,FALSE),"N/A")</f>
        <v>N/A</v>
      </c>
      <c r="CJ7" s="88" t="str">
        <f>IFERROR(VLOOKUP($B7,'LOD 300 - COLO1'!$B:CP,93,FALSE),"N/A")</f>
        <v>N/A</v>
      </c>
      <c r="CK7" s="88" t="str">
        <f>IFERROR(VLOOKUP($B7,'LOD 300 - COLO1'!$B:CS,96,FALSE),"N/A")</f>
        <v>N/A</v>
      </c>
      <c r="CL7" s="88" t="str">
        <f>IFERROR(VLOOKUP($B7,'LOD 300 - COLO1'!$B:CV,99,FALSE),"N/A")</f>
        <v>N/A</v>
      </c>
      <c r="CM7" s="88" t="str">
        <f>IFERROR(VLOOKUP($B7,'LOD 300 - COLO1'!$B:CY,102,FALSE),"N/A")</f>
        <v>N/A</v>
      </c>
      <c r="CN7" s="89" t="str">
        <f>IFERROR(VLOOKUP($B7,'LOD 300 - COLO1'!$B:DB,105,FALSE),"N/A")</f>
        <v>N/A</v>
      </c>
      <c r="CO7" s="87" t="str">
        <f>IFERROR(VLOOKUP($B7,'LOD 300 - COLO1'!$B:EE,108,FALSE),"N/A")</f>
        <v>N/A</v>
      </c>
      <c r="CP7" s="87" t="str">
        <f>IFERROR(VLOOKUP($B7,'LOD 300 - COLO1'!$B:EH,111,FALSE),"N/A")</f>
        <v>N/A</v>
      </c>
      <c r="CQ7" s="87" t="str">
        <f>IFERROR(VLOOKUP($B7,'LOD 300 - COLO1'!$B:EK,114,FALSE),"N/A")</f>
        <v>N/A</v>
      </c>
      <c r="CR7" s="87" t="str">
        <f>IFERROR(VLOOKUP($B7,'LOD 300 - COLO1'!$B:EN,117,FALSE),"N/A")</f>
        <v>N/A</v>
      </c>
      <c r="CS7" s="87" t="str">
        <f>IFERROR(VLOOKUP($B7,'LOD 300 - COLO1'!$B:EQ,120,FALSE),"N/A")</f>
        <v>N/A</v>
      </c>
      <c r="CT7" s="87" t="str">
        <f>IFERROR(VLOOKUP($B7,'LOD 300 - COLO1'!$B:ET,123,FALSE),"N/A")</f>
        <v>N/A</v>
      </c>
      <c r="CU7" s="87" t="str">
        <f>IFERROR(VLOOKUP($B7,'LOD 300 - COLO1'!$B:EW,126,FALSE),"N/A")</f>
        <v>N/A</v>
      </c>
      <c r="CV7" s="87" t="str">
        <f>IFERROR(VLOOKUP($B7,'LOD 300 - COLO1'!$B:EZ,129,FALSE),"N/A")</f>
        <v>N/A</v>
      </c>
      <c r="CW7" s="87" t="str">
        <f>IFERROR(VLOOKUP($B7,'LOD 300 - COLO1'!$B:FC,132,FALSE),"N/A")</f>
        <v>N/A</v>
      </c>
      <c r="CX7" s="96" t="str">
        <f>IFERROR(__xludf.DUMMYFUNCTION("IFERROR(
  MAX(FILTER(BK7:CW7, ISNUMBER(BK7:CW7))),
  CW7
)"),"N/A")</f>
        <v>N/A</v>
      </c>
      <c r="CY7" s="104" t="str">
        <f>IFERROR(VLOOKUP($B7,'LOD 300 - COLO2'!$B:S,18,FALSE),"N/A")</f>
        <v>N/A</v>
      </c>
      <c r="CZ7" s="117" t="str">
        <f>IFERROR(VLOOKUP($B7,'LOD 300 - COLO2'!$B:V,21,FALSE),"N/A")</f>
        <v>N/A</v>
      </c>
      <c r="DA7" s="117" t="str">
        <f>IFERROR(VLOOKUP($B7,'LOD 300 - COLO2'!$B:Y,24,FALSE),"N/A")</f>
        <v>N/A</v>
      </c>
      <c r="DB7" s="117" t="str">
        <f>IFERROR(VLOOKUP($B7,'LOD 300 - COLO2'!$B:AB,27,FALSE),"N/A")</f>
        <v>N/A</v>
      </c>
      <c r="DC7" s="92" t="str">
        <f>IFERROR(VLOOKUP($B7,'LOD 300 - COLO2'!$B:AE,30,FALSE),"N/A")</f>
        <v>N/A</v>
      </c>
      <c r="DD7" s="120" t="str">
        <f>IFERROR(VLOOKUP($B7,'LOD 300 - COLO2'!$B:AH,33,FALSE),"N/A")</f>
        <v>N/A</v>
      </c>
      <c r="DE7" s="117" t="str">
        <f>IFERROR(VLOOKUP($B7,'LOD 300 - COLO2'!$B:AK,36,FALSE),"N/A")</f>
        <v>N/A</v>
      </c>
      <c r="DF7" s="117" t="str">
        <f>IFERROR(VLOOKUP($B7,'LOD 300 - COLO2'!$B:AN,39,FALSE),"N/A")</f>
        <v>N/A</v>
      </c>
      <c r="DG7" s="119" t="str">
        <f>IFERROR(VLOOKUP($B7,'LOD 300 - COLO2'!$B:AQ,42,FALSE),"N/A")</f>
        <v>N/A</v>
      </c>
      <c r="DH7" s="87" t="str">
        <f>IFERROR(VLOOKUP($B7,'LOD 300 - COLO2'!$B:AT,45,FALSE),"N/A")</f>
        <v>N/A</v>
      </c>
      <c r="DI7" s="94" t="str">
        <f>IFERROR(VLOOKUP($B7,'LOD 300 - COLO2'!$B:AW,48,FALSE),"N/A")</f>
        <v>N/A</v>
      </c>
      <c r="DJ7" s="95" t="str">
        <f>IFERROR(VLOOKUP($B7,'LOD 300 - COLO2'!$B:AZ,51,FALSE),"N/A")</f>
        <v>N/A</v>
      </c>
      <c r="DK7" s="86" t="str">
        <f>IFERROR(VLOOKUP($B7,'LOD 300 - COLO2'!$B:BC,54,FALSE),"N/A")</f>
        <v>N/A</v>
      </c>
      <c r="DL7" s="86" t="str">
        <f>IFERROR(VLOOKUP($B7,'LOD 300 - COLO2'!$B:BF,57,FALSE),"N/A")</f>
        <v>N/A</v>
      </c>
      <c r="DM7" s="86" t="str">
        <f>IFERROR(VLOOKUP($B7,'LOD 300 - COLO2'!$B:BI,60,FALSE),"N/A")</f>
        <v>N/A</v>
      </c>
      <c r="DN7" s="86" t="str">
        <f>IFERROR(VLOOKUP($B7,'LOD 300 - COLO2'!$B:BL,63,FALSE),"N/A")</f>
        <v>N/A</v>
      </c>
      <c r="DO7" s="86" t="str">
        <f>IFERROR(VLOOKUP($B7,'LOD 300 - COLO2'!$B:BO,66,FALSE),"N/A")</f>
        <v>N/A</v>
      </c>
      <c r="DP7" s="87" t="str">
        <f>IFERROR(VLOOKUP($B7,'LOD 300 - COLO2'!$B:BR,69,FALSE),"N/A")</f>
        <v>N/A</v>
      </c>
      <c r="DQ7" s="87" t="str">
        <f>IFERROR(VLOOKUP($B7,'LOD 300 - COLO2'!$B:BU,72,FALSE),"N/A")</f>
        <v>N/A</v>
      </c>
      <c r="DR7" s="87" t="str">
        <f>IFERROR(VLOOKUP($B7,'LOD 300 - COLO2'!$B:BX,75,FALSE),"N/A")</f>
        <v>N/A</v>
      </c>
      <c r="DS7" s="98" t="str">
        <f>IFERROR(VLOOKUP($B7,'LOD 300 - COLO2'!$B:CA,78,FALSE),"N/A")</f>
        <v>N/A</v>
      </c>
      <c r="DT7" s="98" t="str">
        <f>IFERROR(VLOOKUP($B7,'LOD 300 - COLO2'!$B:CD,81,FALSE),"N/A")</f>
        <v>N/A</v>
      </c>
      <c r="DU7" s="98" t="str">
        <f>IFERROR(VLOOKUP($B7,'LOD 300 - COLO2'!$B:CG,84,FALSE),"N/A")</f>
        <v>N/A</v>
      </c>
      <c r="DV7" s="98" t="str">
        <f>IFERROR(VLOOKUP($B7,'LOD 300 - COLO2'!$B:CJ,87,FALSE),"N/A")</f>
        <v>N/A</v>
      </c>
      <c r="DW7" s="98" t="str">
        <f>IFERROR(VLOOKUP($B7,'LOD 300 - COLO2'!$B:CM,90,FALSE),"N/A")</f>
        <v>N/A</v>
      </c>
      <c r="DX7" s="98" t="str">
        <f>IFERROR(VLOOKUP($B7,'LOD 300 - COLO2'!$B:CP,93,FALSE),"N/A")</f>
        <v>N/A</v>
      </c>
      <c r="DY7" s="87" t="str">
        <f>IFERROR(VLOOKUP($B7,'LOD 300 - COLO2'!$B:CS,96,FALSE),"N/A")</f>
        <v>N/A</v>
      </c>
      <c r="DZ7" s="87" t="str">
        <f>IFERROR(VLOOKUP($B7,'LOD 300 - COLO2'!$B:CV,99,FALSE),"N/A")</f>
        <v>N/A</v>
      </c>
      <c r="EA7" s="87" t="str">
        <f>IFERROR(VLOOKUP($B7,'LOD 300 - COLO2'!$B:DB,105,FALSE),"N/A")</f>
        <v>N/A</v>
      </c>
      <c r="EB7" s="87" t="str">
        <f>IFERROR(VLOOKUP($B7,'LOD 300 - COLO2'!$B:DB,105,FALSE),"N/A")</f>
        <v>N/A</v>
      </c>
      <c r="EC7" s="87" t="str">
        <f>IFERROR(VLOOKUP($B7,'LOD 300 - COLO2'!$B:DE,108,FALSE),"N/A")</f>
        <v>N/A</v>
      </c>
      <c r="ED7" s="87" t="str">
        <f>IFERROR(VLOOKUP($B7,'LOD 300 - COLO2'!$B:DH,111,FALSE),"N/A")</f>
        <v>N/A</v>
      </c>
      <c r="EE7" s="87" t="str">
        <f>IFERROR(VLOOKUP($B7,'LOD 300 - COLO2'!$B:DK,114,FALSE),"N/A")</f>
        <v>N/A</v>
      </c>
      <c r="EF7" s="87" t="str">
        <f>IFERROR(VLOOKUP($B7,'LOD 300 - COLO2'!$B:DN,117,FALSE),"N/A")</f>
        <v>N/A</v>
      </c>
      <c r="EG7" s="87" t="str">
        <f>IFERROR(VLOOKUP($B7,'LOD 300 - COLO2'!$B:DQ,120,FALSE),"N/A")</f>
        <v>N/A</v>
      </c>
      <c r="EH7" s="99" t="str">
        <f>IFERROR(__xludf.DUMMYFUNCTION("IFERROR(
  MAX(FILTER(CZ7:EG7, ISNUMBER(CZ7:EG7))),
  EG7
)"),"N/A")</f>
        <v>N/A</v>
      </c>
      <c r="EI7" s="100" t="str">
        <f>IFERROR(VLOOKUP($B7,'LOD 300 - COLO3'!$B:R,17,FALSE),"N/A")</f>
        <v>N/A</v>
      </c>
      <c r="EJ7" s="127" t="str">
        <f>IFERROR(VLOOKUP($B7,'LOD 300 - COLO3'!$B:U,20,FALSE),"N/A")</f>
        <v>N/A</v>
      </c>
      <c r="EK7" s="127" t="str">
        <f>IFERROR(VLOOKUP($B7,'LOD 300 - COLO3'!$B:X,23,FALSE),"N/A")</f>
        <v>N/A</v>
      </c>
      <c r="EL7" s="127" t="str">
        <f>IFERROR(VLOOKUP($B7,'LOD 300 - COLO3'!$B:AA,26,FALSE),"N/A")</f>
        <v>N/A</v>
      </c>
      <c r="EM7" s="127" t="str">
        <f>IFERROR(VLOOKUP($B7,'LOD 300 - COLO3'!$B:AD,29,FALSE),"N/A")</f>
        <v>N/A</v>
      </c>
      <c r="EN7" s="127" t="str">
        <f>IFERROR(VLOOKUP($B7,'LOD 300 - COLO3'!$B:AG,32,FALSE),"N/A")</f>
        <v>N/A</v>
      </c>
      <c r="EO7" s="127" t="str">
        <f>IFERROR(VLOOKUP($B7,'LOD 300 - COLO3'!$B:AJ,35,FALSE),"N/A")</f>
        <v>N/A</v>
      </c>
      <c r="EP7" s="100" t="str">
        <f>IFERROR(VLOOKUP($B7,'LOD 300 - COLO3'!$B:AM,38,FALSE),"N/A")</f>
        <v>N/A</v>
      </c>
      <c r="EQ7" s="100" t="str">
        <f>IFERROR(VLOOKUP($B7,'LOD 300 - COLO3'!$B:AP,41,FALSE),"N/A")</f>
        <v>N/A</v>
      </c>
      <c r="ER7" s="100" t="str">
        <f>IFERROR(VLOOKUP($B7,'LOD 300 - COLO3'!$B:AS,44,FALSE),"N/A")</f>
        <v>N/A</v>
      </c>
      <c r="ES7" s="100" t="str">
        <f>IFERROR(VLOOKUP($B7,'LOD 300 - COLO3'!$B:AV,47,FALSE),"N/A")</f>
        <v>N/A</v>
      </c>
      <c r="ET7" s="100" t="str">
        <f>IFERROR(VLOOKUP($B7,'LOD 300 - COLO3'!$B:AY,50,FALSE),"N/A")</f>
        <v>N/A</v>
      </c>
      <c r="EU7" s="100" t="str">
        <f>IFERROR(VLOOKUP($B7,'LOD 300 - COLO3'!$B:BB,53,FALSE),"N/A")</f>
        <v>N/A</v>
      </c>
      <c r="EV7" s="100" t="str">
        <f>IFERROR(VLOOKUP($B7,'LOD 300 - COLO3'!$B:BE,56,FALSE),"N/A")</f>
        <v>N/A</v>
      </c>
      <c r="EW7" s="100" t="str">
        <f>IFERROR(VLOOKUP($B7,'LOD 300 - COLO3'!$B:BL,59,FALSE),"N/A")</f>
        <v>N/A</v>
      </c>
      <c r="EX7" s="100" t="str">
        <f>IFERROR(VLOOKUP($B7,'LOD 300 - COLO3'!$B:BO,62,FALSE),"N/A")</f>
        <v>N/A</v>
      </c>
      <c r="EY7" s="103" t="str">
        <f>IFERROR(__xludf.DUMMYFUNCTION("IFERROR(
  MAX(FILTER(EI7:EX7, ISNUMBER(EI7:EX7))),
  EX7
)"),"N/A")</f>
        <v>N/A</v>
      </c>
      <c r="EZ7" s="104" t="str">
        <f>IFERROR(VLOOKUP($B7,'LOD 300 - COLO4'!$B:BT,17,FALSE),"N/A")</f>
        <v>N/A</v>
      </c>
      <c r="FA7" s="103" t="str">
        <f>IFERROR(__xludf.DUMMYFUNCTION("IFERROR(
  MAX(FILTER(EZ7, ISNUMBER(EZ7))),
  EZ7
)"),"N/A")</f>
        <v>N/A</v>
      </c>
      <c r="FB7" s="121" t="str">
        <f>IFERROR(VLOOKUP($B7,'LOD 300 - SITE'!$B:S,18,FALSE),"N/A")</f>
        <v>NOT PUBLISHED</v>
      </c>
      <c r="FC7" s="122" t="str">
        <f>IFERROR(VLOOKUP($B7,'LOD 300 - SITE'!$B:V,21,FALSE),"N/A")</f>
        <v>NOT PUBLISHED</v>
      </c>
      <c r="FD7" s="122" t="str">
        <f>IFERROR(VLOOKUP($B7,'LOD 300 - SITE'!$B:Y,24,FALSE),"N/A")</f>
        <v>NOT PUBLISHED</v>
      </c>
      <c r="FE7" s="122" t="str">
        <f>IFERROR(VLOOKUP($B7,'LOD 300 - SITE'!$B:AB,27,FALSE),"N/A")</f>
        <v>NOT PUBLISHED</v>
      </c>
      <c r="FF7" s="122">
        <f>IFERROR(VLOOKUP($B7,'LOD 300 - SITE'!$B:AE,30,FALSE),"N/A")</f>
        <v>0.51</v>
      </c>
      <c r="FG7" s="122" t="str">
        <f>IFERROR(VLOOKUP($B7,'LOD 300 - SITE'!$B:AH,33,FALSE),"N/A")</f>
        <v>OUTDATED MODEL</v>
      </c>
      <c r="FH7" s="122" t="str">
        <f>IFERROR(VLOOKUP($B7,'LOD 300 - SITE'!$B:AK,36,FALSE),"N/A")</f>
        <v>IMPROPER</v>
      </c>
      <c r="FI7" s="122">
        <f>IFERROR(VLOOKUP($B7,'LOD 300 - SITE'!$B:AN,39,FALSE),"N/A")</f>
        <v>0.88</v>
      </c>
      <c r="FJ7" s="122">
        <f>IFERROR(VLOOKUP($B7,'LOD 300 - SITE'!$B:AQ,42,FALSE),"N/A")</f>
        <v>1</v>
      </c>
      <c r="FK7" s="122">
        <f>IFERROR(VLOOKUP($B7,'LOD 300 - SITE'!$B:AT,45,FALSE),"N/A")</f>
        <v>1</v>
      </c>
      <c r="FL7" s="123">
        <f>IFERROR(VLOOKUP($B7,'LOD 300 - SITE'!$B:AW,48,FALSE),"N/A")</f>
        <v>1</v>
      </c>
      <c r="FM7" s="87">
        <f>IFERROR(VLOOKUP($B7,'LOD 300 - SITE'!$B:AZ,51,FALSE),"N/A")</f>
        <v>1</v>
      </c>
      <c r="FN7" s="94">
        <f>IFERROR(VLOOKUP($B7,'LOD 300 - SITE'!$B:BC,54,FALSE),"N/A")</f>
        <v>1</v>
      </c>
      <c r="FO7" s="95">
        <f>IFERROR(VLOOKUP($B7,'LOD 300 - SITE'!$B:BF,57,FALSE),"N/A")</f>
        <v>1</v>
      </c>
      <c r="FP7" s="86">
        <f>IFERROR(VLOOKUP($B7,'LOD 300 - SITE'!$B:BI,60,FALSE),"N/A")</f>
        <v>1</v>
      </c>
      <c r="FQ7" s="86">
        <f>IFERROR(VLOOKUP($B7,'LOD 300 - SITE'!$B:BL,63,FALSE),"N/A")</f>
        <v>1</v>
      </c>
      <c r="FR7" s="86">
        <f>IFERROR(VLOOKUP($B7,'LOD 300 - SITE'!$B:BO,66,FALSE),"N/A")</f>
        <v>1</v>
      </c>
      <c r="FS7" s="86">
        <f>IFERROR(VLOOKUP($B7,'LOD 300 - SITE'!$B:BR,69,FALSE),"N/A")</f>
        <v>1</v>
      </c>
      <c r="FT7" s="86">
        <f>IFERROR(VLOOKUP($B7,'LOD 300 - SITE'!$B:BU,72,FALSE),"N/A")</f>
        <v>1</v>
      </c>
      <c r="FU7" s="86">
        <f>IFERROR(VLOOKUP($B7,'LOD 300 - SITE'!$B:BX,75,FALSE),"N/A")</f>
        <v>1</v>
      </c>
      <c r="FV7" s="86">
        <f>IFERROR(VLOOKUP($B7,'LOD 300 - SITE'!$B:CA,78,FALSE),"N/A")</f>
        <v>1</v>
      </c>
      <c r="FW7" s="87">
        <f>IFERROR(VLOOKUP($B7,'LOD 300 - SITE'!$B:CD,81,FALSE),"N/A")</f>
        <v>1</v>
      </c>
      <c r="FX7" s="108">
        <f>IFERROR(VLOOKUP($B7,'LOD 300 - SITE'!$B:CG,84,FALSE),"N/A")</f>
        <v>1</v>
      </c>
      <c r="FY7" s="108">
        <f>IFERROR(VLOOKUP($B7,'LOD 300 - SITE'!$B:CJ,87,FALSE),"N/A")</f>
        <v>1</v>
      </c>
      <c r="FZ7" s="108">
        <f>IFERROR(VLOOKUP($B7,'LOD 300 - SITE'!$B:CM,90,FALSE),"N/A")</f>
        <v>1</v>
      </c>
      <c r="GA7" s="108">
        <f>IFERROR(VLOOKUP($B7,'LOD 300 - SITE'!$B:CP,93,FALSE),"N/A")</f>
        <v>1</v>
      </c>
      <c r="GB7" s="108">
        <f>IFERROR(VLOOKUP($B7,'LOD 300 - SITE'!$B:CS,96,FALSE),"N/A")</f>
        <v>1</v>
      </c>
      <c r="GC7" s="109">
        <f>IFERROR(VLOOKUP($B7,'LOD 300 - SITE'!$B:CV,99,FALSE),"N/A")</f>
        <v>1</v>
      </c>
      <c r="GD7" s="87">
        <f>IFERROR(VLOOKUP($B7,'LOD 300 - SITE'!$B:CY,102,FALSE),"N/A")</f>
        <v>1</v>
      </c>
      <c r="GE7" s="87">
        <f>IFERROR(VLOOKUP($B7,'LOD 300 - SITE'!$B:DB,105,FALSE),"N/A")</f>
        <v>1</v>
      </c>
      <c r="GF7" s="87">
        <f>IFERROR(VLOOKUP($B7,'LOD 300 - SITE'!$B:DE,108,FALSE),"N/A")</f>
        <v>1</v>
      </c>
      <c r="GG7" s="87">
        <f>IFERROR(VLOOKUP($B7,'LOD 300 - SITE'!$B:DH,111,FALSE),"N/A")</f>
        <v>1</v>
      </c>
      <c r="GH7" s="87">
        <f>IFERROR(VLOOKUP($B7,'LOD 300 - SITE'!$B:DK,114,FALSE),"N/A")</f>
        <v>1</v>
      </c>
      <c r="GI7" s="87">
        <f>IFERROR(VLOOKUP($B7,'LOD 300 - SITE'!$B:DN,117,FALSE),"N/A")</f>
        <v>1</v>
      </c>
      <c r="GJ7" s="87">
        <f>IFERROR(VLOOKUP($B7,'LOD 300 - SITE'!$B:DQ,120,FALSE),"N/A")</f>
        <v>1</v>
      </c>
      <c r="GK7" s="87">
        <f>IFERROR(VLOOKUP($B7,'LOD 300 - SITE'!$B:DT,123,FALSE),"N/A")</f>
        <v>1</v>
      </c>
      <c r="GL7" s="87">
        <f>IFERROR(VLOOKUP($B7,'LOD 300 - SITE'!$B:DW,126,FALSE),"N/A")</f>
        <v>1</v>
      </c>
      <c r="GM7" s="110">
        <f>IFERROR(__xludf.DUMMYFUNCTION("IFERROR(
  MAX(FILTER(FB7:GL7, ISNUMBER(FB7:GL7))),
  GL7
)"),1.0)</f>
        <v>1</v>
      </c>
      <c r="GN7" s="68"/>
      <c r="GO7" s="68"/>
      <c r="GP7" s="68"/>
    </row>
    <row r="8" ht="15.0" customHeight="1" outlineLevel="1">
      <c r="A8" s="60">
        <v>10.0</v>
      </c>
      <c r="B8" s="128" t="s">
        <v>95</v>
      </c>
      <c r="C8" s="129" t="s">
        <v>96</v>
      </c>
      <c r="D8" s="130" t="s">
        <v>85</v>
      </c>
      <c r="E8" s="131" t="s">
        <v>97</v>
      </c>
      <c r="F8" s="13"/>
      <c r="G8" s="131" t="s">
        <v>97</v>
      </c>
      <c r="H8" s="132"/>
      <c r="I8" s="133" t="str">
        <f>IFERROR(VLOOKUP(C5:C147,'R22 RELATÓRIO ACC'!B:F,5,FALSE),"NOT PUBLISHED")</f>
        <v>NOT PUBLISHED</v>
      </c>
      <c r="J8" s="133" t="str">
        <f>IFERROR(VLOOKUP(C5:C147,'R22 RELATÓRIO ACC'!B:P,15,FALSE),"NOT PUBLISHED")</f>
        <v>NOT PUBLISHED</v>
      </c>
      <c r="K8" s="126" t="str">
        <f>IFERROR(VLOOKUP(B7:B196,'RELATÓRIO ACC'!B:F,5,FALSE),"NOT PUBLISHED")</f>
        <v>NOT PUBLISHED</v>
      </c>
      <c r="L8" s="75" t="str">
        <f>IFERROR(VLOOKUP(B7:B196,'RELATÓRIO ACC'!B:P,15,FALSE),"NOT PUBLISHED")</f>
        <v>NOT PUBLISHED</v>
      </c>
      <c r="M8" s="76" t="str">
        <f>IF(OR($D8="UTLS",$D8="GUAR",$D8="STIR",$D8="PUMP",$D8="SITE"),
   VLOOKUP($B8,'LOD 300 - SITE'!B:M,12,FALSE),
   VLOOKUP($B8,'LOD 300 - ADMN'!B:M,12,FALSE)
)</f>
        <v>NOT PUBLISHED</v>
      </c>
      <c r="N8" s="76" t="str">
        <f>IF(OR($D8="UTLS",$D8="GUAR",$D8="STIR",$D8="PUMP",$D8="SITE"),
   VLOOKUP($B8,'LOD 300 - SITE'!B:N,13,FALSE),
   VLOOKUP($B8,'LOD 300 - ADMN'!B:N,13,FALSE)
)</f>
        <v>NOT PUBLISHED</v>
      </c>
      <c r="O8" s="78" t="str">
        <f>IF(OR($D8="UTLS",$D8="GUAR",$D8="STIR",$D8="PUMP",$D8="SITE"),
   VLOOKUP($B8,'LOD 300 - SITE'!B:O,14,FALSE),
   VLOOKUP($B8,'LOD 300 - ADMN'!B:O,14,FALSE)
)</f>
        <v>NOT PUBLISHED</v>
      </c>
      <c r="P8" s="79" t="str">
        <f>IF(OR($D8="C345",$D8="C12A",$D8="DATA"),
   VLOOKUP($B8,'LOD 300 - COLO3'!B:M,12,FALSE),"N/A")</f>
        <v>NOT PUBLISHED</v>
      </c>
      <c r="Q8" s="76" t="str">
        <f>IF(OR($D8="C345",$D8="C12A",$D8="DATA"),
   VLOOKUP($B8,'LOD 300 - COLO3'!B:N,13,FALSE),"N/A")</f>
        <v>NOT PUBLISHED</v>
      </c>
      <c r="R8" s="76" t="str">
        <f>IF(OR($D8="C345",$D8="C12A",$D8="DATA"),
   VLOOKUP($B8,'LOD 300 - COLO3'!B:O,14,FALSE),"N/A")</f>
        <v>NOT PUBLISHED</v>
      </c>
      <c r="S8" s="79" t="str">
        <f>IF(OR($D8="C345",$D8="C12A",$D8="DATA"),
   VLOOKUP($B8,'LOD 300 - COLO4'!B:M,12,FALSE),"N/A")</f>
        <v>N/A</v>
      </c>
      <c r="T8" s="76" t="str">
        <f>IF(OR($D8="C345",$D8="C12A",$D8="DATA"),
   VLOOKUP($B8,'LOD 300 - COLO4'!B:T,13,FALSE),"N/A")</f>
        <v>N/A</v>
      </c>
      <c r="U8" s="76" t="str">
        <f>IF(OR($D8="C345",$D8="C12A",$D8="DATA"),
   VLOOKUP($B8,'LOD 300 - COLO4'!B:U,17,FALSE),"N/A")</f>
        <v>NOT PUBLISHED</v>
      </c>
      <c r="V8" s="126"/>
      <c r="W8" s="116" t="str">
        <f>IFERROR(VLOOKUP($B8,'LOD 300 - ADMN'!$B:S,18,FALSE),"N/A")</f>
        <v>NOT PUBLISHED</v>
      </c>
      <c r="X8" s="117" t="str">
        <f>IFERROR(VLOOKUP($B8,'LOD 300 - ADMN'!$B:V,21,FALSE),"N/A")</f>
        <v>NOT PUBLISHED</v>
      </c>
      <c r="Y8" s="117" t="str">
        <f>IFERROR(VLOOKUP($B8,'LOD 300 - ADMN'!$B:Y,24,FALSE),"N/A")</f>
        <v>NOT PUBLISHED</v>
      </c>
      <c r="Z8" s="117" t="str">
        <f>IFERROR(VLOOKUP($B8,'LOD 300 - ADMN'!$B:AB,27,FALSE),"N/A")</f>
        <v>NOT PUBLISHED</v>
      </c>
      <c r="AA8" s="117" t="str">
        <f>IFERROR(VLOOKUP($B8,'LOD 300 - ADMN'!$B:AE,30,FALSE),"N/A")</f>
        <v>NOT PUBLISHED</v>
      </c>
      <c r="AB8" s="118" t="str">
        <f>IFERROR(VLOOKUP($B8,'LOD 300 - ADMN'!$B:AH,33,FALSE),"N/A")</f>
        <v>NOT PUBLISHED</v>
      </c>
      <c r="AC8" s="118" t="str">
        <f>IFERROR(VLOOKUP($B8,'LOD 300 - ADMN'!$B:AK,36,FALSE),"N/A")</f>
        <v>NOT PUBLISHED</v>
      </c>
      <c r="AD8" s="117" t="str">
        <f>IFERROR(VLOOKUP($B8,'LOD 300 - ADMN'!$B:AN,39,FALSE),"N/A")</f>
        <v>NOT PUBLISHED</v>
      </c>
      <c r="AE8" s="117" t="str">
        <f>IFERROR(VLOOKUP($B8,'LOD 300 - ADMN'!$B:AQ,42,FALSE),"N/A")</f>
        <v>NOT PUBLISHED</v>
      </c>
      <c r="AF8" s="117" t="str">
        <f>IFERROR(VLOOKUP($B8,'LOD 300 - ADMN'!$B:AT,45,FALSE),"N/A")</f>
        <v>NOT PUBLISHED</v>
      </c>
      <c r="AG8" s="117" t="str">
        <f>IFERROR(VLOOKUP($B8,'LOD 300 - ADMN'!$B:AW,48,FALSE),"N/A")</f>
        <v>NOT PUBLISHED</v>
      </c>
      <c r="AH8" s="117" t="str">
        <f>IFERROR(VLOOKUP($B8,'LOD 300 - ADMN'!$B:AZ,51,FALSE),"N/A")</f>
        <v>NOT PUBLISHED</v>
      </c>
      <c r="AI8" s="119" t="str">
        <f>IFERROR(VLOOKUP($B8,'LOD 300 - ADMN'!$B:BC,54,FALSE),"N/A")</f>
        <v>NOT PUBLISHED</v>
      </c>
      <c r="AJ8" s="86" t="str">
        <f>IFERROR(VLOOKUP($B8,'LOD 300 - ADMN'!$B:BF,57,FALSE),"N/A")</f>
        <v>NOT PUBLISHED</v>
      </c>
      <c r="AK8" s="87" t="str">
        <f>IFERROR(VLOOKUP($B8,'LOD 300 - ADMN'!$B:EP,60,FALSE),"N/A")</f>
        <v>NOT PUBLISHED</v>
      </c>
      <c r="AL8" s="86" t="str">
        <f>IFERROR(VLOOKUP($B8,'LOD 300 - ADMN'!$B:EQ,63,FALSE),"N/A")</f>
        <v>NOT PUBLISHED</v>
      </c>
      <c r="AM8" s="86" t="str">
        <f>IFERROR(VLOOKUP($B8,'LOD 300 - ADMN'!$B:BO,66,FALSE),"N/A")</f>
        <v>NOT PUBLISHED</v>
      </c>
      <c r="AN8" s="86" t="str">
        <f>IFERROR(VLOOKUP($B8,'LOD 300 - ADMN'!$B:BR,69,FALSE),"N/A")</f>
        <v>NOT PUBLISHED</v>
      </c>
      <c r="AO8" s="86" t="str">
        <f>IFERROR(VLOOKUP($B8,'LOD 300 - ADMN'!$B:BU,72,FALSE),"N/A")</f>
        <v>NOT PUBLISHED</v>
      </c>
      <c r="AP8" s="86" t="str">
        <f>IFERROR(VLOOKUP($B8,'LOD 300 - ADMN'!$B:BX,75,FALSE),"N/A")</f>
        <v>NOT PUBLISHED</v>
      </c>
      <c r="AQ8" s="86" t="str">
        <f>IFERROR(VLOOKUP($B8,'LOD 300 - ADMN'!$B:CA,78,FALSE),"N/A")</f>
        <v>NOT PUBLISHED</v>
      </c>
      <c r="AR8" s="86" t="str">
        <f>IFERROR(VLOOKUP($B8,'LOD 300 - ADMN'!$B:CD,81,FALSE),"N/A")</f>
        <v>NOT PUBLISHED</v>
      </c>
      <c r="AS8" s="86" t="str">
        <f>IFERROR(VLOOKUP($B8,'LOD 300 - ADMN'!$B:CG,84,FALSE),"N/A")</f>
        <v>NOT PUBLISHED</v>
      </c>
      <c r="AT8" s="86" t="str">
        <f>IFERROR(VLOOKUP($B8,'LOD 300 - ADMN'!$B:CJ,87,FALSE),"N/A")</f>
        <v>NOT PUBLISHED</v>
      </c>
      <c r="AU8" s="88" t="str">
        <f>IFERROR(VLOOKUP($B8,'LOD 300 - ADMN'!$B:CM,90,FALSE),"N/A")</f>
        <v>NOT PUBLISHED</v>
      </c>
      <c r="AV8" s="88" t="str">
        <f>IFERROR(VLOOKUP($B8,'LOD 300 - ADMN'!$B:CP,93,FALSE),"N/A")</f>
        <v>NOT PUBLISHED</v>
      </c>
      <c r="AW8" s="88" t="str">
        <f>IFERROR(VLOOKUP($B8,'LOD 300 - ADMN'!$B:CS,96,FALSE),"N/A")</f>
        <v>NOT PUBLISHED</v>
      </c>
      <c r="AX8" s="88" t="str">
        <f>IFERROR(VLOOKUP($B8,'LOD 300 - ADMN'!$B:CV,99,FALSE),"N/A")</f>
        <v>NOT PUBLISHED</v>
      </c>
      <c r="AY8" s="88" t="str">
        <f>IFERROR(VLOOKUP($B8,'LOD 300 - ADMN'!$B:CY,102,FALSE),"N/A")</f>
        <v>NOT PUBLISHED</v>
      </c>
      <c r="AZ8" s="89" t="str">
        <f>IFERROR(VLOOKUP($B8,'LOD 300 - ADMN'!$B:DB,105,FALSE),"N/A")</f>
        <v>NOT PUBLISHED</v>
      </c>
      <c r="BA8" s="87" t="str">
        <f>IFERROR(VLOOKUP($B8,'LOD 300 - ADMN'!$B:DE,108,FALSE),"N/A")</f>
        <v>NOT PUBLISHED</v>
      </c>
      <c r="BB8" s="87" t="str">
        <f>IFERROR(VLOOKUP($B8,'LOD 300 - ADMN'!$B:DH,111,FALSE),"N/A")</f>
        <v>NOT PUBLISHED</v>
      </c>
      <c r="BC8" s="87" t="str">
        <f>IFERROR(VLOOKUP($B8,'LOD 300 - ADMN'!$B:DK,114,FALSE),"N/A")</f>
        <v>NOT PUBLISHED</v>
      </c>
      <c r="BD8" s="87" t="str">
        <f>IFERROR(VLOOKUP($B8,'LOD 300 - ADMN'!$B:DN,117,FALSE),"N/A")</f>
        <v>NOT PUBLISHED</v>
      </c>
      <c r="BE8" s="87" t="str">
        <f>IFERROR(VLOOKUP($B8,'LOD 300 - ADMN'!$B:DQ,120,FALSE),"N/A")</f>
        <v>NOT PUBLISHED</v>
      </c>
      <c r="BF8" s="87" t="str">
        <f>IFERROR(VLOOKUP($B8,'LOD 300 - ADMN'!$B:DT,123,FALSE),"N/A")</f>
        <v>NOT PUBLISHED</v>
      </c>
      <c r="BG8" s="87" t="str">
        <f>IFERROR(VLOOKUP($B8,'LOD 300 - ADMN'!$B:DW,126,FALSE),"N/A")</f>
        <v>NOT PUBLISHED</v>
      </c>
      <c r="BH8" s="87" t="str">
        <f>IFERROR(VLOOKUP($B8,'LOD 300 - ADMN'!$B:DZ,129,FALSE),"N/A")</f>
        <v>NOT PUBLISHED</v>
      </c>
      <c r="BI8" s="134"/>
      <c r="BJ8" s="90" t="str">
        <f>IFERROR(__xludf.DUMMYFUNCTION("IFERROR(
  MAX(FILTER(X8:BH8, ISNUMBER(X8:BH8))),
  BH8
)"),"NOT PUBLISHED")</f>
        <v>NOT PUBLISHED</v>
      </c>
      <c r="BK8" s="91" t="str">
        <f>IFERROR(VLOOKUP($B8,'LOD 300 - COLO1'!$B:S,18,FALSE),"N/A")</f>
        <v>NOT PUBLISHED</v>
      </c>
      <c r="BL8" s="92" t="str">
        <f>IFERROR(VLOOKUP($B8,'LOD 300 - COLO1'!$B:V,21,FALSE),"N/A")</f>
        <v>NOT PUBLISHED</v>
      </c>
      <c r="BM8" s="92" t="str">
        <f>IFERROR(VLOOKUP($B8,'LOD 300 - COLO1'!$B:Y,24,FALSE),"N/A")</f>
        <v>NOT PUBLISHED</v>
      </c>
      <c r="BN8" s="92" t="str">
        <f>IFERROR(VLOOKUP($B8,'LOD 300 - COLO1'!$B:AB,27,FALSE),"N/A")</f>
        <v>NOT PUBLISHED</v>
      </c>
      <c r="BO8" s="92" t="str">
        <f>IFERROR(VLOOKUP($B8,'LOD 300 - COLO1'!$B:AE,30,FALSE),"N/A")</f>
        <v>NOT PUBLISHED</v>
      </c>
      <c r="BP8" s="92" t="str">
        <f>IFERROR(VLOOKUP($B8,'LOD 300 - COLO1'!$B:AH,33,FALSE),"N/A")</f>
        <v>NOT PUBLISHED</v>
      </c>
      <c r="BQ8" s="92" t="str">
        <f>IFERROR(VLOOKUP($B8,'LOD 300 - COLO1'!$B:AK,36,FALSE),"N/A")</f>
        <v>NOT PUBLISHED</v>
      </c>
      <c r="BR8" s="92" t="str">
        <f>IFERROR(VLOOKUP($B8,'LOD 300 - COLO1'!$B:AN,39,FALSE),"N/A")</f>
        <v>NOT PUBLISHED</v>
      </c>
      <c r="BS8" s="92" t="str">
        <f>IFERROR(VLOOKUP($B8,'LOD 300 - COLO1'!$B:AQ,42,FALSE),"N/A")</f>
        <v>NOT PUBLISHED</v>
      </c>
      <c r="BT8" s="92" t="str">
        <f>IFERROR(VLOOKUP($B8,'LOD 300 - COLO1'!$B:AT,45,FALSE),"N/A")</f>
        <v>NOT PUBLISHED</v>
      </c>
      <c r="BU8" s="92" t="str">
        <f>IFERROR(VLOOKUP($B8,'LOD 300 - COLO1'!$B:AW,48,FALSE),"N/A")</f>
        <v>NOT PUBLISHED</v>
      </c>
      <c r="BV8" s="92" t="str">
        <f>IFERROR(VLOOKUP($B8,'LOD 300 - COLO1'!$B:AZ,51,FALSE),"N/A")</f>
        <v>NOT PUBLISHED</v>
      </c>
      <c r="BW8" s="92" t="str">
        <f>IFERROR(VLOOKUP($B8,'LOD 300 - COLO1'!$B:BC,54,FALSE),"N/A")</f>
        <v>NOT PUBLISHED</v>
      </c>
      <c r="BX8" s="94" t="str">
        <f>IFERROR(VLOOKUP($B8,'LOD 300 - COLO1'!$B:BF,57,FALSE),"N/A")</f>
        <v>NOT PUBLISHED</v>
      </c>
      <c r="BY8" s="94" t="str">
        <f>IFERROR(VLOOKUP($B8,'LOD 300 - COLO1'!$B:BI,60,FALSE),"N/A")</f>
        <v>NOT PUBLISHED</v>
      </c>
      <c r="BZ8" s="95" t="str">
        <f>IFERROR(VLOOKUP($B8,'LOD 300 - COLO1'!$B:BL,63,FALSE),"N/A")</f>
        <v>NOT PUBLISHED</v>
      </c>
      <c r="CA8" s="86" t="str">
        <f>IFERROR(VLOOKUP($B8,'LOD 300 - COLO1'!$B:BO,66,FALSE),"N/A")</f>
        <v>NOT PUBLISHED</v>
      </c>
      <c r="CB8" s="86" t="str">
        <f>IFERROR(VLOOKUP($B8,'LOD 300 - COLO1'!$B:BR,69,FALSE),"N/A")</f>
        <v>NOT PUBLISHED</v>
      </c>
      <c r="CC8" s="86" t="str">
        <f>IFERROR(VLOOKUP($B8,'LOD 300 - COLO1'!$B:BU,72,FALSE),"N/A")</f>
        <v>NOT PUBLISHED</v>
      </c>
      <c r="CD8" s="86" t="str">
        <f>IFERROR(VLOOKUP($B8,'LOD 300 - COLO1'!$B:BX,75,FALSE),"N/A")</f>
        <v>NOT PUBLISHED</v>
      </c>
      <c r="CE8" s="86" t="str">
        <f>IFERROR(VLOOKUP($B8,'LOD 300 - COLO1'!$B:CA,78,FALSE),"N/A")</f>
        <v>NOT PUBLISHED</v>
      </c>
      <c r="CF8" s="87" t="str">
        <f>IFERROR(VLOOKUP($B8,'LOD 300 - COLO1'!$B:CD,81,FALSE),"N/A")</f>
        <v>NOT PUBLISHED</v>
      </c>
      <c r="CG8" s="86" t="str">
        <f>IFERROR(VLOOKUP($B8,'LOD 300 - COLO1'!$B:CG,84,FALSE),"N/A")</f>
        <v>NOT PUBLISHED</v>
      </c>
      <c r="CH8" s="87" t="str">
        <f>IFERROR(VLOOKUP($B8,'LOD 300 - COLO1'!$B:CJ,87,FALSE),"N/A")</f>
        <v>NOT PUBLISHED</v>
      </c>
      <c r="CI8" s="88" t="str">
        <f>IFERROR(VLOOKUP($B8,'LOD 300 - COLO1'!$B:CM,90,FALSE),"N/A")</f>
        <v>NOT PUBLISHED</v>
      </c>
      <c r="CJ8" s="88" t="str">
        <f>IFERROR(VLOOKUP($B8,'LOD 300 - COLO1'!$B:CP,93,FALSE),"N/A")</f>
        <v>NOT PUBLISHED</v>
      </c>
      <c r="CK8" s="88" t="str">
        <f>IFERROR(VLOOKUP($B8,'LOD 300 - COLO1'!$B:CS,96,FALSE),"N/A")</f>
        <v>NOT PUBLISHED</v>
      </c>
      <c r="CL8" s="88" t="str">
        <f>IFERROR(VLOOKUP($B8,'LOD 300 - COLO1'!$B:CV,99,FALSE),"N/A")</f>
        <v>NOT PUBLISHED</v>
      </c>
      <c r="CM8" s="88" t="str">
        <f>IFERROR(VLOOKUP($B8,'LOD 300 - COLO1'!$B:CY,102,FALSE),"N/A")</f>
        <v>NOT PUBLISHED</v>
      </c>
      <c r="CN8" s="89" t="str">
        <f>IFERROR(VLOOKUP($B8,'LOD 300 - COLO1'!$B:DB,105,FALSE),"N/A")</f>
        <v>NOT PUBLISHED</v>
      </c>
      <c r="CO8" s="87" t="str">
        <f>IFERROR(VLOOKUP($B8,'LOD 300 - COLO1'!$B:EE,108,FALSE),"N/A")</f>
        <v>NOT PUBLISHED</v>
      </c>
      <c r="CP8" s="87" t="str">
        <f>IFERROR(VLOOKUP($B8,'LOD 300 - COLO1'!$B:EH,111,FALSE),"N/A")</f>
        <v>NOT PUBLISHED</v>
      </c>
      <c r="CQ8" s="87" t="str">
        <f>IFERROR(VLOOKUP($B8,'LOD 300 - COLO1'!$B:EK,114,FALSE),"N/A")</f>
        <v>NOT PUBLISHED</v>
      </c>
      <c r="CR8" s="87" t="str">
        <f>IFERROR(VLOOKUP($B8,'LOD 300 - COLO1'!$B:EN,117,FALSE),"N/A")</f>
        <v>NOT PUBLISHED</v>
      </c>
      <c r="CS8" s="87" t="str">
        <f>IFERROR(VLOOKUP($B8,'LOD 300 - COLO1'!$B:EQ,120,FALSE),"N/A")</f>
        <v>NOT PUBLISHED</v>
      </c>
      <c r="CT8" s="87" t="str">
        <f>IFERROR(VLOOKUP($B8,'LOD 300 - COLO1'!$B:ET,123,FALSE),"N/A")</f>
        <v>NOT PUBLISHED</v>
      </c>
      <c r="CU8" s="87" t="str">
        <f>IFERROR(VLOOKUP($B8,'LOD 300 - COLO1'!$B:EW,126,FALSE),"N/A")</f>
        <v>NOT PUBLISHED</v>
      </c>
      <c r="CV8" s="87" t="str">
        <f>IFERROR(VLOOKUP($B8,'LOD 300 - COLO1'!$B:EZ,129,FALSE),"N/A")</f>
        <v>NOT PUBLISHED</v>
      </c>
      <c r="CW8" s="135"/>
      <c r="CX8" s="96" t="str">
        <f>IFERROR(__xludf.DUMMYFUNCTION("IFERROR(
  MAX(FILTER(BK8:CV8, ISNUMBER(BK8:CV8))),
  CV8
)"),"NOT PUBLISHED")</f>
        <v>NOT PUBLISHED</v>
      </c>
      <c r="CY8" s="104" t="str">
        <f>IFERROR(VLOOKUP($B8,'LOD 300 - COLO2'!$B:S,18,FALSE),"N/A")</f>
        <v>NOT PUBLISHED</v>
      </c>
      <c r="CZ8" s="117" t="str">
        <f>IFERROR(VLOOKUP($B8,'LOD 300 - COLO2'!$B:V,21,FALSE),"N/A")</f>
        <v>NOT PUBLISHED</v>
      </c>
      <c r="DA8" s="117" t="str">
        <f>IFERROR(VLOOKUP($B8,'LOD 300 - COLO2'!$B:Y,24,FALSE),"N/A")</f>
        <v>NOT PUBLISHED</v>
      </c>
      <c r="DB8" s="117" t="str">
        <f>IFERROR(VLOOKUP($B8,'LOD 300 - COLO2'!$B:AB,27,FALSE),"N/A")</f>
        <v>NOT PUBLISHED</v>
      </c>
      <c r="DC8" s="92" t="str">
        <f>IFERROR(VLOOKUP($B8,'LOD 300 - COLO2'!$B:AE,30,FALSE),"N/A")</f>
        <v>NOT PUBLISHED</v>
      </c>
      <c r="DD8" s="120" t="str">
        <f>IFERROR(VLOOKUP($B8,'LOD 300 - COLO2'!$B:AH,33,FALSE),"N/A")</f>
        <v>NOT PUBLISHED</v>
      </c>
      <c r="DE8" s="117" t="str">
        <f>IFERROR(VLOOKUP($B8,'LOD 300 - COLO2'!$B:AK,36,FALSE),"N/A")</f>
        <v>NOT PUBLISHED</v>
      </c>
      <c r="DF8" s="117" t="str">
        <f>IFERROR(VLOOKUP($B8,'LOD 300 - COLO2'!$B:AN,39,FALSE),"N/A")</f>
        <v>NOT PUBLISHED</v>
      </c>
      <c r="DG8" s="119" t="str">
        <f>IFERROR(VLOOKUP($B8,'LOD 300 - COLO2'!$B:AQ,42,FALSE),"N/A")</f>
        <v>NOT PUBLISHED</v>
      </c>
      <c r="DH8" s="87" t="str">
        <f>IFERROR(VLOOKUP($B8,'LOD 300 - COLO2'!$B:AT,45,FALSE),"N/A")</f>
        <v>NOT PUBLISHED</v>
      </c>
      <c r="DI8" s="94" t="str">
        <f>IFERROR(VLOOKUP($B8,'LOD 300 - COLO2'!$B:AW,48,FALSE),"N/A")</f>
        <v>NOT PUBLISHED</v>
      </c>
      <c r="DJ8" s="95" t="str">
        <f>IFERROR(VLOOKUP($B8,'LOD 300 - COLO2'!$B:AZ,51,FALSE),"N/A")</f>
        <v>NOT PUBLISHED</v>
      </c>
      <c r="DK8" s="86" t="str">
        <f>IFERROR(VLOOKUP($B8,'LOD 300 - COLO2'!$B:BC,54,FALSE),"N/A")</f>
        <v>NOT PUBLISHED</v>
      </c>
      <c r="DL8" s="86" t="str">
        <f>IFERROR(VLOOKUP($B8,'LOD 300 - COLO2'!$B:BF,57,FALSE),"N/A")</f>
        <v>NOT PUBLISHED</v>
      </c>
      <c r="DM8" s="86" t="str">
        <f>IFERROR(VLOOKUP($B8,'LOD 300 - COLO2'!$B:BI,60,FALSE),"N/A")</f>
        <v>NOT PUBLISHED</v>
      </c>
      <c r="DN8" s="86" t="str">
        <f>IFERROR(VLOOKUP($B8,'LOD 300 - COLO2'!$B:BL,63,FALSE),"N/A")</f>
        <v>NOT PUBLISHED</v>
      </c>
      <c r="DO8" s="86" t="str">
        <f>IFERROR(VLOOKUP($B8,'LOD 300 - COLO2'!$B:BO,66,FALSE),"N/A")</f>
        <v>NOT PUBLISHED</v>
      </c>
      <c r="DP8" s="87" t="str">
        <f>IFERROR(VLOOKUP($B8,'LOD 300 - COLO2'!$B:BR,69,FALSE),"N/A")</f>
        <v>NOT PUBLISHED</v>
      </c>
      <c r="DQ8" s="87" t="str">
        <f>IFERROR(VLOOKUP($B8,'LOD 300 - COLO2'!$B:BU,72,FALSE),"N/A")</f>
        <v>NOT PUBLISHED</v>
      </c>
      <c r="DR8" s="87" t="str">
        <f>IFERROR(VLOOKUP($B8,'LOD 300 - COLO2'!$B:BX,75,FALSE),"N/A")</f>
        <v>NOT PUBLISHED</v>
      </c>
      <c r="DS8" s="98" t="str">
        <f>IFERROR(VLOOKUP($B8,'LOD 300 - COLO2'!$B:CA,78,FALSE),"N/A")</f>
        <v>NOT PUBLISHED</v>
      </c>
      <c r="DT8" s="98" t="str">
        <f>IFERROR(VLOOKUP($B8,'LOD 300 - COLO2'!$B:CD,81,FALSE),"N/A")</f>
        <v>NOT PUBLISHED</v>
      </c>
      <c r="DU8" s="98" t="str">
        <f>IFERROR(VLOOKUP($B8,'LOD 300 - COLO2'!$B:CG,84,FALSE),"N/A")</f>
        <v>NOT PUBLISHED</v>
      </c>
      <c r="DV8" s="98" t="str">
        <f>IFERROR(VLOOKUP($B8,'LOD 300 - COLO2'!$B:CJ,87,FALSE),"N/A")</f>
        <v>NOT PUBLISHED</v>
      </c>
      <c r="DW8" s="98" t="str">
        <f>IFERROR(VLOOKUP($B8,'LOD 300 - COLO2'!$B:CM,90,FALSE),"N/A")</f>
        <v>NOT PUBLISHED</v>
      </c>
      <c r="DX8" s="98" t="str">
        <f>IFERROR(VLOOKUP($B8,'LOD 300 - COLO2'!$B:CP,93,FALSE),"N/A")</f>
        <v>NOT PUBLISHED</v>
      </c>
      <c r="DY8" s="87" t="str">
        <f>IFERROR(VLOOKUP($B8,'LOD 300 - COLO2'!$B:CS,96,FALSE),"N/A")</f>
        <v>NOT PUBLISHED</v>
      </c>
      <c r="DZ8" s="87" t="str">
        <f>IFERROR(VLOOKUP($B8,'LOD 300 - COLO2'!$B:CV,99,FALSE),"N/A")</f>
        <v>NOT PUBLISHED</v>
      </c>
      <c r="EA8" s="87" t="str">
        <f>IFERROR(VLOOKUP($B8,'LOD 300 - COLO2'!$B:DB,105,FALSE),"N/A")</f>
        <v>NOT PUBLISHED</v>
      </c>
      <c r="EB8" s="87" t="str">
        <f>IFERROR(VLOOKUP($B8,'LOD 300 - COLO2'!$B:DB,105,FALSE),"N/A")</f>
        <v>NOT PUBLISHED</v>
      </c>
      <c r="EC8" s="87" t="str">
        <f>IFERROR(VLOOKUP($B8,'LOD 300 - COLO2'!$B:DE,108,FALSE),"N/A")</f>
        <v>NOT PUBLISHED</v>
      </c>
      <c r="ED8" s="87" t="str">
        <f>IFERROR(VLOOKUP($B8,'LOD 300 - COLO2'!$B:DH,111,FALSE),"N/A")</f>
        <v>NOT PUBLISHED</v>
      </c>
      <c r="EE8" s="87" t="str">
        <f>IFERROR(VLOOKUP($B8,'LOD 300 - COLO2'!$B:DK,114,FALSE),"N/A")</f>
        <v>NOT PUBLISHED</v>
      </c>
      <c r="EF8" s="87" t="str">
        <f>IFERROR(VLOOKUP($B8,'LOD 300 - COLO2'!$B:DN,117,FALSE),"N/A")</f>
        <v>NOT PUBLISHED</v>
      </c>
      <c r="EG8" s="135"/>
      <c r="EH8" s="99" t="str">
        <f>IFERROR(__xludf.DUMMYFUNCTION("IFERROR(
  MAX(FILTER(CZ8:EF8, ISNUMBER(CZ8:EF8))),
  EF8
)"),"NOT PUBLISHED")</f>
        <v>NOT PUBLISHED</v>
      </c>
      <c r="EI8" s="100" t="str">
        <f>IFERROR(VLOOKUP($B8,'LOD 300 - COLO3'!$B:R,17,FALSE),"N/A")</f>
        <v>NOT PUBLISHED</v>
      </c>
      <c r="EJ8" s="127" t="str">
        <f>IFERROR(VLOOKUP($B8,'LOD 300 - COLO3'!$B:U,20,FALSE),"N/A")</f>
        <v>NOT PUBLISHED</v>
      </c>
      <c r="EK8" s="127" t="str">
        <f>IFERROR(VLOOKUP($B8,'LOD 300 - COLO3'!$B:X,23,FALSE),"N/A")</f>
        <v>NOT PUBLISHED</v>
      </c>
      <c r="EL8" s="127" t="str">
        <f>IFERROR(VLOOKUP($B8,'LOD 300 - COLO3'!$B:AA,26,FALSE),"N/A")</f>
        <v>NOT PUBLISHED</v>
      </c>
      <c r="EM8" s="127" t="str">
        <f>IFERROR(VLOOKUP($B8,'LOD 300 - COLO3'!$B:AD,29,FALSE),"N/A")</f>
        <v>NOT PUBLISHED</v>
      </c>
      <c r="EN8" s="127" t="str">
        <f>IFERROR(VLOOKUP($B8,'LOD 300 - COLO3'!$B:AG,32,FALSE),"N/A")</f>
        <v>NOT PUBLISHED</v>
      </c>
      <c r="EO8" s="127" t="str">
        <f>IFERROR(VLOOKUP($B8,'LOD 300 - COLO3'!$B:AJ,35,FALSE),"N/A")</f>
        <v>NOT PUBLISHED</v>
      </c>
      <c r="EP8" s="100" t="str">
        <f>IFERROR(VLOOKUP($B8,'LOD 300 - COLO3'!$B:AM,38,FALSE),"N/A")</f>
        <v>NOT PUBLISHED</v>
      </c>
      <c r="EQ8" s="100" t="str">
        <f>IFERROR(VLOOKUP($B8,'LOD 300 - COLO3'!$B:AP,41,FALSE),"N/A")</f>
        <v>NOT PUBLISHED</v>
      </c>
      <c r="ER8" s="100" t="str">
        <f>IFERROR(VLOOKUP($B8,'LOD 300 - COLO3'!$B:AS,44,FALSE),"N/A")</f>
        <v>NOT PUBLISHED</v>
      </c>
      <c r="ES8" s="100" t="str">
        <f>IFERROR(VLOOKUP($B8,'LOD 300 - COLO3'!$B:AV,47,FALSE),"N/A")</f>
        <v>NOT PUBLISHED</v>
      </c>
      <c r="ET8" s="100" t="str">
        <f>IFERROR(VLOOKUP($B8,'LOD 300 - COLO3'!$B:AY,50,FALSE),"N/A")</f>
        <v>NOT PUBLISHED</v>
      </c>
      <c r="EU8" s="100" t="str">
        <f>IFERROR(VLOOKUP($B8,'LOD 300 - COLO3'!$B:BB,53,FALSE),"N/A")</f>
        <v>NOT PUBLISHED</v>
      </c>
      <c r="EV8" s="100" t="str">
        <f>IFERROR(VLOOKUP($B8,'LOD 300 - COLO3'!$B:BE,56,FALSE),"N/A")</f>
        <v>NOT PUBLISHED</v>
      </c>
      <c r="EW8" s="100" t="str">
        <f>IFERROR(VLOOKUP($B8,'LOD 300 - COLO3'!$B:BL,59,FALSE),"N/A")</f>
        <v>NOT PUBLISHED</v>
      </c>
      <c r="EX8" s="136"/>
      <c r="EY8" s="103" t="str">
        <f>IFERROR(__xludf.DUMMYFUNCTION("IFERROR(
  MAX(FILTER(EI8:EW8, ISNUMBER(EI8:EW8))),
  EW8
)"),"NOT PUBLISHED")</f>
        <v>NOT PUBLISHED</v>
      </c>
      <c r="EZ8" s="104" t="str">
        <f>IFERROR(VLOOKUP($B8,'LOD 300 - COLO4'!$B:BT,17,FALSE),"N/A")</f>
        <v>NOT PUBLISHED</v>
      </c>
      <c r="FA8" s="103" t="str">
        <f>IFERROR(__xludf.DUMMYFUNCTION("IFERROR(
  MAX(FILTER(EZ8, ISNUMBER(EZ8))),
  EZ8
)"),"NOT PUBLISHED")</f>
        <v>NOT PUBLISHED</v>
      </c>
      <c r="FB8" s="121" t="str">
        <f>IFERROR(VLOOKUP($B8,'LOD 300 - SITE'!$B:S,18,FALSE),"N/A")</f>
        <v>N/A</v>
      </c>
      <c r="FC8" s="122" t="str">
        <f>IFERROR(VLOOKUP($B8,'LOD 300 - SITE'!$B:V,21,FALSE),"N/A")</f>
        <v>N/A</v>
      </c>
      <c r="FD8" s="122" t="str">
        <f>IFERROR(VLOOKUP($B8,'LOD 300 - SITE'!$B:Y,24,FALSE),"N/A")</f>
        <v>N/A</v>
      </c>
      <c r="FE8" s="122" t="str">
        <f>IFERROR(VLOOKUP($B8,'LOD 300 - SITE'!$B:AB,27,FALSE),"N/A")</f>
        <v>N/A</v>
      </c>
      <c r="FF8" s="122" t="str">
        <f>IFERROR(VLOOKUP($B8,'LOD 300 - SITE'!$B:AE,30,FALSE),"N/A")</f>
        <v>N/A</v>
      </c>
      <c r="FG8" s="122" t="str">
        <f>IFERROR(VLOOKUP($B8,'LOD 300 - SITE'!$B:AH,33,FALSE),"N/A")</f>
        <v>N/A</v>
      </c>
      <c r="FH8" s="122" t="str">
        <f>IFERROR(VLOOKUP($B8,'LOD 300 - SITE'!$B:AK,36,FALSE),"N/A")</f>
        <v>N/A</v>
      </c>
      <c r="FI8" s="122" t="str">
        <f>IFERROR(VLOOKUP($B8,'LOD 300 - SITE'!$B:AN,39,FALSE),"N/A")</f>
        <v>N/A</v>
      </c>
      <c r="FJ8" s="122" t="str">
        <f>IFERROR(VLOOKUP($B8,'LOD 300 - SITE'!$B:AQ,42,FALSE),"N/A")</f>
        <v>N/A</v>
      </c>
      <c r="FK8" s="122" t="str">
        <f>IFERROR(VLOOKUP($B8,'LOD 300 - SITE'!$B:AT,45,FALSE),"N/A")</f>
        <v>N/A</v>
      </c>
      <c r="FL8" s="123" t="str">
        <f>IFERROR(VLOOKUP($B8,'LOD 300 - SITE'!$B:AW,48,FALSE),"N/A")</f>
        <v>N/A</v>
      </c>
      <c r="FM8" s="87" t="str">
        <f>IFERROR(VLOOKUP($B8,'LOD 300 - SITE'!$B:AZ,51,FALSE),"N/A")</f>
        <v>N/A</v>
      </c>
      <c r="FN8" s="94" t="str">
        <f>IFERROR(VLOOKUP($B8,'LOD 300 - SITE'!$B:BC,54,FALSE),"N/A")</f>
        <v>N/A</v>
      </c>
      <c r="FO8" s="95" t="str">
        <f>IFERROR(VLOOKUP($B8,'LOD 300 - SITE'!$B:BF,57,FALSE),"N/A")</f>
        <v>N/A</v>
      </c>
      <c r="FP8" s="86" t="str">
        <f>IFERROR(VLOOKUP($B8,'LOD 300 - SITE'!$B:BI,60,FALSE),"N/A")</f>
        <v>N/A</v>
      </c>
      <c r="FQ8" s="86" t="str">
        <f>IFERROR(VLOOKUP($B8,'LOD 300 - SITE'!$B:BL,63,FALSE),"N/A")</f>
        <v>N/A</v>
      </c>
      <c r="FR8" s="86" t="str">
        <f>IFERROR(VLOOKUP($B8,'LOD 300 - SITE'!$B:BO,66,FALSE),"N/A")</f>
        <v>N/A</v>
      </c>
      <c r="FS8" s="86" t="str">
        <f>IFERROR(VLOOKUP($B8,'LOD 300 - SITE'!$B:BR,69,FALSE),"N/A")</f>
        <v>N/A</v>
      </c>
      <c r="FT8" s="86" t="str">
        <f>IFERROR(VLOOKUP($B8,'LOD 300 - SITE'!$B:BU,72,FALSE),"N/A")</f>
        <v>N/A</v>
      </c>
      <c r="FU8" s="86" t="str">
        <f>IFERROR(VLOOKUP($B8,'LOD 300 - SITE'!$B:BX,75,FALSE),"N/A")</f>
        <v>N/A</v>
      </c>
      <c r="FV8" s="86" t="str">
        <f>IFERROR(VLOOKUP($B8,'LOD 300 - SITE'!$B:CA,78,FALSE),"N/A")</f>
        <v>N/A</v>
      </c>
      <c r="FW8" s="87" t="str">
        <f>IFERROR(VLOOKUP($B8,'LOD 300 - SITE'!$B:CD,81,FALSE),"N/A")</f>
        <v>N/A</v>
      </c>
      <c r="FX8" s="108" t="str">
        <f>IFERROR(VLOOKUP($B8,'LOD 300 - SITE'!$B:CG,84,FALSE),"N/A")</f>
        <v>N/A</v>
      </c>
      <c r="FY8" s="108" t="str">
        <f>IFERROR(VLOOKUP($B8,'LOD 300 - SITE'!$B:CJ,87,FALSE),"N/A")</f>
        <v>N/A</v>
      </c>
      <c r="FZ8" s="108" t="str">
        <f>IFERROR(VLOOKUP($B8,'LOD 300 - SITE'!$B:CM,90,FALSE),"N/A")</f>
        <v>N/A</v>
      </c>
      <c r="GA8" s="108" t="str">
        <f>IFERROR(VLOOKUP($B8,'LOD 300 - SITE'!$B:CP,93,FALSE),"N/A")</f>
        <v>N/A</v>
      </c>
      <c r="GB8" s="108" t="str">
        <f>IFERROR(VLOOKUP($B8,'LOD 300 - SITE'!$B:CS,96,FALSE),"N/A")</f>
        <v>N/A</v>
      </c>
      <c r="GC8" s="109" t="str">
        <f>IFERROR(VLOOKUP($B8,'LOD 300 - SITE'!$B:CV,99,FALSE),"N/A")</f>
        <v>N/A</v>
      </c>
      <c r="GD8" s="87" t="str">
        <f>IFERROR(VLOOKUP($B8,'LOD 300 - SITE'!$B:CY,102,FALSE),"N/A")</f>
        <v>N/A</v>
      </c>
      <c r="GE8" s="87" t="str">
        <f>IFERROR(VLOOKUP($B8,'LOD 300 - SITE'!$B:DB,105,FALSE),"N/A")</f>
        <v>N/A</v>
      </c>
      <c r="GF8" s="87" t="str">
        <f>IFERROR(VLOOKUP($B8,'LOD 300 - SITE'!$B:DE,108,FALSE),"N/A")</f>
        <v>N/A</v>
      </c>
      <c r="GG8" s="87" t="str">
        <f>IFERROR(VLOOKUP($B8,'LOD 300 - SITE'!$B:DH,111,FALSE),"N/A")</f>
        <v>N/A</v>
      </c>
      <c r="GH8" s="87" t="str">
        <f>IFERROR(VLOOKUP($B8,'LOD 300 - SITE'!$B:DK,114,FALSE),"N/A")</f>
        <v>N/A</v>
      </c>
      <c r="GI8" s="87" t="str">
        <f>IFERROR(VLOOKUP($B8,'LOD 300 - SITE'!$B:DN,117,FALSE),"N/A")</f>
        <v>N/A</v>
      </c>
      <c r="GJ8" s="87" t="str">
        <f>IFERROR(VLOOKUP($B8,'LOD 300 - SITE'!$B:DQ,120,FALSE),"N/A")</f>
        <v>N/A</v>
      </c>
      <c r="GK8" s="87" t="str">
        <f>IFERROR(VLOOKUP($B8,'LOD 300 - SITE'!$B:DT,123,FALSE),"N/A")</f>
        <v>N/A</v>
      </c>
      <c r="GL8" s="135"/>
      <c r="GM8" s="110" t="str">
        <f>IFERROR(__xludf.DUMMYFUNCTION("IFERROR(
  MAX(FILTER(FB8:GK8, ISNUMBER(FB8:GK8))),
  GK8
)"),"N/A")</f>
        <v>N/A</v>
      </c>
      <c r="GN8" s="68"/>
      <c r="GO8" s="68"/>
      <c r="GP8" s="68"/>
    </row>
    <row r="9" ht="16.5" customHeight="1" outlineLevel="1">
      <c r="A9" s="60">
        <v>11.0</v>
      </c>
      <c r="B9" s="137" t="s">
        <v>98</v>
      </c>
      <c r="C9" s="70" t="s">
        <v>99</v>
      </c>
      <c r="D9" s="71" t="s">
        <v>85</v>
      </c>
      <c r="E9" s="138" t="s">
        <v>100</v>
      </c>
      <c r="F9" s="13">
        <v>1104.0</v>
      </c>
      <c r="G9" s="139" t="s">
        <v>101</v>
      </c>
      <c r="H9" s="139">
        <v>1127.0</v>
      </c>
      <c r="I9" s="74" t="str">
        <f>IFERROR(VLOOKUP(C6:C148,'R22 RELATÓRIO ACC'!B:F,5,FALSE),"NOT PUBLISHED")</f>
        <v>V12</v>
      </c>
      <c r="J9" s="74" t="str">
        <f>IFERROR(VLOOKUP(C6:C148,'R22 RELATÓRIO ACC'!B:P,15,FALSE),"NOT PUBLISHED")</f>
        <v>08/04/2026</v>
      </c>
      <c r="K9" s="126" t="str">
        <f>IFERROR(VLOOKUP(B7:B197,'RELATÓRIO ACC'!B:F,5,FALSE),"NOT PUBLISHED")</f>
        <v>V1</v>
      </c>
      <c r="L9" s="75" t="str">
        <f>IFERROR(VLOOKUP(B7:B197,'RELATÓRIO ACC'!B:P,15,FALSE),"NOT PUBLISHED")</f>
        <v>15/05/2026</v>
      </c>
      <c r="M9" s="76" t="str">
        <f>IF(OR($D9="UTLS",$D9="GUAR",$D9="STIR",$D9="PUMP",$D9="SITE"),
   VLOOKUP($B9,'LOD 300 - SITE'!B:M,12,FALSE),
   VLOOKUP($B9,'LOD 300 - ADMN'!B:M,12,FALSE)
)</f>
        <v>V7</v>
      </c>
      <c r="N9" s="77" t="str">
        <f>IF(OR($D9="UTLS",$D9="GUAR",$D9="STIR",$D9="PUMP",$D9="SITE"),
   VLOOKUP($B9,'LOD 300 - SITE'!B:N,13,FALSE),
   VLOOKUP($B9,'LOD 300 - ADMN'!B:N,13,FALSE)
)</f>
        <v>28/08/2025</v>
      </c>
      <c r="O9" s="78" t="str">
        <f>IF(OR($D9="UTLS",$D9="GUAR",$D9="STIR",$D9="PUMP",$D9="SITE"),
   VLOOKUP($B9,'LOD 300 - SITE'!B:O,14,FALSE),
   VLOOKUP($B9,'LOD 300 - ADMN'!B:O,14,FALSE)
)</f>
        <v>R22</v>
      </c>
      <c r="P9" s="79" t="str">
        <f>IF(OR($D9="C345",$D9="C12A",$D9="DATA"),
   VLOOKUP($B9,'LOD 300 - COLO3'!B:M,12,FALSE),"N/A")</f>
        <v>N/A</v>
      </c>
      <c r="Q9" s="76" t="str">
        <f>IF(OR($D9="C345",$D9="C12A",$D9="DATA"),
   VLOOKUP($B9,'LOD 300 - COLO3'!B:N,13,FALSE),"N/A")</f>
        <v>N/A</v>
      </c>
      <c r="R9" s="76" t="str">
        <f>IF(OR($D9="C345",$D9="C12A",$D9="DATA"),
   VLOOKUP($B9,'LOD 300 - COLO3'!B:O,14,FALSE),"N/A")</f>
        <v>R22</v>
      </c>
      <c r="S9" s="79" t="str">
        <f>IF(OR($D9="C345",$D9="C12A",$D9="DATA"),
   VLOOKUP($B9,'LOD 300 - COLO4'!B:M,12,FALSE),"N/A")</f>
        <v>N/A</v>
      </c>
      <c r="T9" s="76" t="str">
        <f>IF(OR($D9="C345",$D9="C12A",$D9="DATA"),
   VLOOKUP($B9,'LOD 300 - COLO4'!B:T,13,FALSE),"N/A")</f>
        <v>N/A</v>
      </c>
      <c r="U9" s="81">
        <f>IF(OR($D9="C345",$D9="C12A",$D9="DATA"),
   VLOOKUP($B9,'LOD 300 - COLO4'!B:U,17,FALSE),"N/A")</f>
        <v>0</v>
      </c>
      <c r="V9" s="126" t="s">
        <v>102</v>
      </c>
      <c r="W9" s="116" t="str">
        <f>IFERROR(VLOOKUP($B9,'LOD 300 - ADMN'!$B:S,18,FALSE),"N/A")</f>
        <v>NOT PUBLISHED</v>
      </c>
      <c r="X9" s="117" t="str">
        <f>IFERROR(VLOOKUP($B9,'LOD 300 - ADMN'!$B:V,21,FALSE),"N/A")</f>
        <v>NOT PUBLISHED</v>
      </c>
      <c r="Y9" s="117">
        <f>IFERROR(VLOOKUP($B9,'LOD 300 - ADMN'!$B:Y,24,FALSE),"N/A")</f>
        <v>1</v>
      </c>
      <c r="Z9" s="117">
        <f>IFERROR(VLOOKUP($B9,'LOD 300 - ADMN'!$B:AB,27,FALSE),"N/A")</f>
        <v>1</v>
      </c>
      <c r="AA9" s="117">
        <f>IFERROR(VLOOKUP($B9,'LOD 300 - ADMN'!$B:AE,30,FALSE),"N/A")</f>
        <v>1</v>
      </c>
      <c r="AB9" s="118">
        <f>IFERROR(VLOOKUP($B9,'LOD 300 - ADMN'!$B:AH,33,FALSE),"N/A")</f>
        <v>1</v>
      </c>
      <c r="AC9" s="118">
        <f>IFERROR(VLOOKUP($B9,'LOD 300 - ADMN'!$B:AK,36,FALSE),"N/A")</f>
        <v>1</v>
      </c>
      <c r="AD9" s="117">
        <f>IFERROR(VLOOKUP($B9,'LOD 300 - ADMN'!$B:AN,39,FALSE),"N/A")</f>
        <v>1</v>
      </c>
      <c r="AE9" s="117">
        <f>IFERROR(VLOOKUP($B9,'LOD 300 - ADMN'!$B:AQ,42,FALSE),"N/A")</f>
        <v>1</v>
      </c>
      <c r="AF9" s="117">
        <f>IFERROR(VLOOKUP($B9,'LOD 300 - ADMN'!$B:AT,45,FALSE),"N/A")</f>
        <v>1</v>
      </c>
      <c r="AG9" s="117">
        <f>IFERROR(VLOOKUP($B9,'LOD 300 - ADMN'!$B:AW,48,FALSE),"N/A")</f>
        <v>1</v>
      </c>
      <c r="AH9" s="117">
        <f>IFERROR(VLOOKUP($B9,'LOD 300 - ADMN'!$B:AZ,51,FALSE),"N/A")</f>
        <v>1</v>
      </c>
      <c r="AI9" s="119">
        <f>IFERROR(VLOOKUP($B9,'LOD 300 - ADMN'!$B:BC,54,FALSE),"N/A")</f>
        <v>1</v>
      </c>
      <c r="AJ9" s="86">
        <f>IFERROR(VLOOKUP($B9,'LOD 300 - ADMN'!$B:BF,57,FALSE),"N/A")</f>
        <v>1</v>
      </c>
      <c r="AK9" s="87">
        <f>IFERROR(VLOOKUP($B9,'LOD 300 - ADMN'!$B:EP,60,FALSE),"N/A")</f>
        <v>1</v>
      </c>
      <c r="AL9" s="86">
        <f>IFERROR(VLOOKUP($B9,'LOD 300 - ADMN'!$B:EQ,63,FALSE),"N/A")</f>
        <v>1</v>
      </c>
      <c r="AM9" s="86">
        <f>IFERROR(VLOOKUP($B9,'LOD 300 - ADMN'!$B:BO,66,FALSE),"N/A")</f>
        <v>1</v>
      </c>
      <c r="AN9" s="86">
        <f>IFERROR(VLOOKUP($B9,'LOD 300 - ADMN'!$B:BR,69,FALSE),"N/A")</f>
        <v>1</v>
      </c>
      <c r="AO9" s="86">
        <f>IFERROR(VLOOKUP($B9,'LOD 300 - ADMN'!$B:BU,72,FALSE),"N/A")</f>
        <v>1</v>
      </c>
      <c r="AP9" s="86">
        <f>IFERROR(VLOOKUP($B9,'LOD 300 - ADMN'!$B:BX,75,FALSE),"N/A")</f>
        <v>1</v>
      </c>
      <c r="AQ9" s="86">
        <f>IFERROR(VLOOKUP($B9,'LOD 300 - ADMN'!$B:CA,78,FALSE),"N/A")</f>
        <v>1</v>
      </c>
      <c r="AR9" s="86">
        <f>IFERROR(VLOOKUP($B9,'LOD 300 - ADMN'!$B:CD,81,FALSE),"N/A")</f>
        <v>1</v>
      </c>
      <c r="AS9" s="86">
        <f>IFERROR(VLOOKUP($B9,'LOD 300 - ADMN'!$B:CG,84,FALSE),"N/A")</f>
        <v>1</v>
      </c>
      <c r="AT9" s="86">
        <f>IFERROR(VLOOKUP($B9,'LOD 300 - ADMN'!$B:CJ,87,FALSE),"N/A")</f>
        <v>1</v>
      </c>
      <c r="AU9" s="88">
        <f>IFERROR(VLOOKUP($B9,'LOD 300 - ADMN'!$B:CM,90,FALSE),"N/A")</f>
        <v>1</v>
      </c>
      <c r="AV9" s="88">
        <f>IFERROR(VLOOKUP($B9,'LOD 300 - ADMN'!$B:CP,93,FALSE),"N/A")</f>
        <v>1</v>
      </c>
      <c r="AW9" s="88">
        <f>IFERROR(VLOOKUP($B9,'LOD 300 - ADMN'!$B:CS,96,FALSE),"N/A")</f>
        <v>1</v>
      </c>
      <c r="AX9" s="88">
        <f>IFERROR(VLOOKUP($B9,'LOD 300 - ADMN'!$B:CV,99,FALSE),"N/A")</f>
        <v>1</v>
      </c>
      <c r="AY9" s="88">
        <f>IFERROR(VLOOKUP($B9,'LOD 300 - ADMN'!$B:CY,102,FALSE),"N/A")</f>
        <v>1</v>
      </c>
      <c r="AZ9" s="89">
        <f>IFERROR(VLOOKUP($B9,'LOD 300 - ADMN'!$B:DB,105,FALSE),"N/A")</f>
        <v>1</v>
      </c>
      <c r="BA9" s="87">
        <f>IFERROR(VLOOKUP($B9,'LOD 300 - ADMN'!$B:DE,108,FALSE),"N/A")</f>
        <v>1</v>
      </c>
      <c r="BB9" s="87">
        <f>IFERROR(VLOOKUP($B9,'LOD 300 - ADMN'!$B:DH,111,FALSE),"N/A")</f>
        <v>1</v>
      </c>
      <c r="BC9" s="87">
        <f>IFERROR(VLOOKUP($B9,'LOD 300 - ADMN'!$B:DK,114,FALSE),"N/A")</f>
        <v>1</v>
      </c>
      <c r="BD9" s="87">
        <f>IFERROR(VLOOKUP($B9,'LOD 300 - ADMN'!$B:DN,117,FALSE),"N/A")</f>
        <v>1</v>
      </c>
      <c r="BE9" s="87">
        <f>IFERROR(VLOOKUP($B9,'LOD 300 - ADMN'!$B:DQ,120,FALSE),"N/A")</f>
        <v>1</v>
      </c>
      <c r="BF9" s="87">
        <f>IFERROR(VLOOKUP($B9,'LOD 300 - ADMN'!$B:DT,123,FALSE),"N/A")</f>
        <v>1</v>
      </c>
      <c r="BG9" s="87">
        <f>IFERROR(VLOOKUP($B9,'LOD 300 - ADMN'!$B:DW,126,FALSE),"N/A")</f>
        <v>1</v>
      </c>
      <c r="BH9" s="87">
        <f>IFERROR(VLOOKUP($B9,'LOD 300 - ADMN'!$B:DZ,129,FALSE),"N/A")</f>
        <v>1</v>
      </c>
      <c r="BI9" s="87">
        <f>IFERROR(VLOOKUP($B9,'LOD 300 - ADMN'!$B:EC,132,FALSE),"N/A")</f>
        <v>1</v>
      </c>
      <c r="BJ9" s="90">
        <f>IFERROR(__xludf.DUMMYFUNCTION("IFERROR(
  MAX(FILTER(X9:BI9, ISNUMBER(X9:BI9))),
  BI9
)"),1.0)</f>
        <v>1</v>
      </c>
      <c r="BK9" s="91" t="str">
        <f>IFERROR(VLOOKUP($B9,'LOD 300 - COLO1'!$B:S,18,FALSE),"N/A")</f>
        <v>NOT PUBLISHED</v>
      </c>
      <c r="BL9" s="92" t="str">
        <f>IFERROR(VLOOKUP($B9,'LOD 300 - COLO1'!$B:V,21,FALSE),"N/A")</f>
        <v>NOT PUBLISHED</v>
      </c>
      <c r="BM9" s="92">
        <f>IFERROR(VLOOKUP($B9,'LOD 300 - COLO1'!$B:Y,24,FALSE),"N/A")</f>
        <v>1</v>
      </c>
      <c r="BN9" s="92">
        <f>IFERROR(VLOOKUP($B9,'LOD 300 - COLO1'!$B:AB,27,FALSE),"N/A")</f>
        <v>1</v>
      </c>
      <c r="BO9" s="92">
        <f>IFERROR(VLOOKUP($B9,'LOD 300 - COLO1'!$B:AE,30,FALSE),"N/A")</f>
        <v>1</v>
      </c>
      <c r="BP9" s="92">
        <f>IFERROR(VLOOKUP($B9,'LOD 300 - COLO1'!$B:AH,33,FALSE),"N/A")</f>
        <v>1</v>
      </c>
      <c r="BQ9" s="92">
        <f>IFERROR(VLOOKUP($B9,'LOD 300 - COLO1'!$B:AK,36,FALSE),"N/A")</f>
        <v>1</v>
      </c>
      <c r="BR9" s="92">
        <f>IFERROR(VLOOKUP($B9,'LOD 300 - COLO1'!$B:AN,39,FALSE),"N/A")</f>
        <v>1</v>
      </c>
      <c r="BS9" s="92">
        <f>IFERROR(VLOOKUP($B9,'LOD 300 - COLO1'!$B:AQ,42,FALSE),"N/A")</f>
        <v>1</v>
      </c>
      <c r="BT9" s="92">
        <f>IFERROR(VLOOKUP($B9,'LOD 300 - COLO1'!$B:AT,45,FALSE),"N/A")</f>
        <v>1</v>
      </c>
      <c r="BU9" s="92">
        <f>IFERROR(VLOOKUP($B9,'LOD 300 - COLO1'!$B:AW,48,FALSE),"N/A")</f>
        <v>1</v>
      </c>
      <c r="BV9" s="92">
        <f>IFERROR(VLOOKUP($B9,'LOD 300 - COLO1'!$B:AZ,51,FALSE),"N/A")</f>
        <v>1</v>
      </c>
      <c r="BW9" s="92">
        <f>IFERROR(VLOOKUP($B9,'LOD 300 - COLO1'!$B:BC,54,FALSE),"N/A")</f>
        <v>1</v>
      </c>
      <c r="BX9" s="94">
        <f>IFERROR(VLOOKUP($B9,'LOD 300 - COLO1'!$B:BF,57,FALSE),"N/A")</f>
        <v>1</v>
      </c>
      <c r="BY9" s="94">
        <f>IFERROR(VLOOKUP($B9,'LOD 300 - COLO1'!$B:BI,60,FALSE),"N/A")</f>
        <v>1</v>
      </c>
      <c r="BZ9" s="95">
        <f>IFERROR(VLOOKUP($B9,'LOD 300 - COLO1'!$B:BL,63,FALSE),"N/A")</f>
        <v>1</v>
      </c>
      <c r="CA9" s="86">
        <f>IFERROR(VLOOKUP($B9,'LOD 300 - COLO1'!$B:BO,66,FALSE),"N/A")</f>
        <v>1</v>
      </c>
      <c r="CB9" s="86">
        <f>IFERROR(VLOOKUP($B9,'LOD 300 - COLO1'!$B:BR,69,FALSE),"N/A")</f>
        <v>1</v>
      </c>
      <c r="CC9" s="86">
        <f>IFERROR(VLOOKUP($B9,'LOD 300 - COLO1'!$B:BU,72,FALSE),"N/A")</f>
        <v>1</v>
      </c>
      <c r="CD9" s="86">
        <f>IFERROR(VLOOKUP($B9,'LOD 300 - COLO1'!$B:BX,75,FALSE),"N/A")</f>
        <v>1</v>
      </c>
      <c r="CE9" s="86">
        <f>IFERROR(VLOOKUP($B9,'LOD 300 - COLO1'!$B:CA,78,FALSE),"N/A")</f>
        <v>1</v>
      </c>
      <c r="CF9" s="87">
        <f>IFERROR(VLOOKUP($B9,'LOD 300 - COLO1'!$B:CD,81,FALSE),"N/A")</f>
        <v>1</v>
      </c>
      <c r="CG9" s="86">
        <f>IFERROR(VLOOKUP($B9,'LOD 300 - COLO1'!$B:CG,84,FALSE),"N/A")</f>
        <v>1</v>
      </c>
      <c r="CH9" s="87">
        <f>IFERROR(VLOOKUP($B9,'LOD 300 - COLO1'!$B:CJ,87,FALSE),"N/A")</f>
        <v>1</v>
      </c>
      <c r="CI9" s="88">
        <f>IFERROR(VLOOKUP($B9,'LOD 300 - COLO1'!$B:CM,90,FALSE),"N/A")</f>
        <v>1</v>
      </c>
      <c r="CJ9" s="88">
        <f>IFERROR(VLOOKUP($B9,'LOD 300 - COLO1'!$B:CP,93,FALSE),"N/A")</f>
        <v>1</v>
      </c>
      <c r="CK9" s="88">
        <f>IFERROR(VLOOKUP($B9,'LOD 300 - COLO1'!$B:CS,96,FALSE),"N/A")</f>
        <v>1</v>
      </c>
      <c r="CL9" s="88">
        <f>IFERROR(VLOOKUP($B9,'LOD 300 - COLO1'!$B:CV,99,FALSE),"N/A")</f>
        <v>1</v>
      </c>
      <c r="CM9" s="88">
        <f>IFERROR(VLOOKUP($B9,'LOD 300 - COLO1'!$B:CY,102,FALSE),"N/A")</f>
        <v>1</v>
      </c>
      <c r="CN9" s="89">
        <f>IFERROR(VLOOKUP($B9,'LOD 300 - COLO1'!$B:DB,105,FALSE),"N/A")</f>
        <v>1</v>
      </c>
      <c r="CO9" s="87">
        <f>IFERROR(VLOOKUP($B9,'LOD 300 - COLO1'!$B:EE,108,FALSE),"N/A")</f>
        <v>1</v>
      </c>
      <c r="CP9" s="87">
        <f>IFERROR(VLOOKUP($B9,'LOD 300 - COLO1'!$B:EH,111,FALSE),"N/A")</f>
        <v>1</v>
      </c>
      <c r="CQ9" s="87">
        <f>IFERROR(VLOOKUP($B9,'LOD 300 - COLO1'!$B:EK,114,FALSE),"N/A")</f>
        <v>1</v>
      </c>
      <c r="CR9" s="87">
        <f>IFERROR(VLOOKUP($B9,'LOD 300 - COLO1'!$B:EN,117,FALSE),"N/A")</f>
        <v>1</v>
      </c>
      <c r="CS9" s="87">
        <f>IFERROR(VLOOKUP($B9,'LOD 300 - COLO1'!$B:EQ,120,FALSE),"N/A")</f>
        <v>1</v>
      </c>
      <c r="CT9" s="87">
        <f>IFERROR(VLOOKUP($B9,'LOD 300 - COLO1'!$B:ET,123,FALSE),"N/A")</f>
        <v>1</v>
      </c>
      <c r="CU9" s="87">
        <f>IFERROR(VLOOKUP($B9,'LOD 300 - COLO1'!$B:EW,126,FALSE),"N/A")</f>
        <v>1</v>
      </c>
      <c r="CV9" s="87">
        <f>IFERROR(VLOOKUP($B9,'LOD 300 - COLO1'!$B:EZ,129,FALSE),"N/A")</f>
        <v>1</v>
      </c>
      <c r="CW9" s="87">
        <f>IFERROR(VLOOKUP($B9,'LOD 300 - COLO1'!$B:FC,132,FALSE),"N/A")</f>
        <v>1</v>
      </c>
      <c r="CX9" s="96">
        <f>IFERROR(__xludf.DUMMYFUNCTION("IFERROR(
  MAX(FILTER(BK9:CW9, ISNUMBER(BK9:CW9))),
  CW9
)"),1.0)</f>
        <v>1</v>
      </c>
      <c r="CY9" s="104">
        <f>IFERROR(VLOOKUP($B9,'LOD 300 - COLO2'!$B:S,18,FALSE),"N/A")</f>
        <v>1</v>
      </c>
      <c r="CZ9" s="117">
        <f>IFERROR(VLOOKUP($B9,'LOD 300 - COLO2'!$B:V,21,FALSE),"N/A")</f>
        <v>1</v>
      </c>
      <c r="DA9" s="117">
        <f>IFERROR(VLOOKUP($B9,'LOD 300 - COLO2'!$B:Y,24,FALSE),"N/A")</f>
        <v>1</v>
      </c>
      <c r="DB9" s="117">
        <f>IFERROR(VLOOKUP($B9,'LOD 300 - COLO2'!$B:AB,27,FALSE),"N/A")</f>
        <v>1</v>
      </c>
      <c r="DC9" s="92">
        <f>IFERROR(VLOOKUP($B9,'LOD 300 - COLO2'!$B:AE,30,FALSE),"N/A")</f>
        <v>1</v>
      </c>
      <c r="DD9" s="120">
        <f>IFERROR(VLOOKUP($B9,'LOD 300 - COLO2'!$B:AH,33,FALSE),"N/A")</f>
        <v>1</v>
      </c>
      <c r="DE9" s="117">
        <f>IFERROR(VLOOKUP($B9,'LOD 300 - COLO2'!$B:AK,36,FALSE),"N/A")</f>
        <v>1</v>
      </c>
      <c r="DF9" s="117">
        <f>IFERROR(VLOOKUP($B9,'LOD 300 - COLO2'!$B:AN,39,FALSE),"N/A")</f>
        <v>1</v>
      </c>
      <c r="DG9" s="119">
        <f>IFERROR(VLOOKUP($B9,'LOD 300 - COLO2'!$B:AQ,42,FALSE),"N/A")</f>
        <v>1</v>
      </c>
      <c r="DH9" s="87">
        <f>IFERROR(VLOOKUP($B9,'LOD 300 - COLO2'!$B:AT,45,FALSE),"N/A")</f>
        <v>1</v>
      </c>
      <c r="DI9" s="94">
        <f>IFERROR(VLOOKUP($B9,'LOD 300 - COLO2'!$B:AW,48,FALSE),"N/A")</f>
        <v>1</v>
      </c>
      <c r="DJ9" s="95">
        <f>IFERROR(VLOOKUP($B9,'LOD 300 - COLO2'!$B:AZ,51,FALSE),"N/A")</f>
        <v>1</v>
      </c>
      <c r="DK9" s="86">
        <f>IFERROR(VLOOKUP($B9,'LOD 300 - COLO2'!$B:BC,54,FALSE),"N/A")</f>
        <v>1</v>
      </c>
      <c r="DL9" s="86">
        <f>IFERROR(VLOOKUP($B9,'LOD 300 - COLO2'!$B:BF,57,FALSE),"N/A")</f>
        <v>1</v>
      </c>
      <c r="DM9" s="86">
        <f>IFERROR(VLOOKUP($B9,'LOD 300 - COLO2'!$B:BI,60,FALSE),"N/A")</f>
        <v>1</v>
      </c>
      <c r="DN9" s="86">
        <f>IFERROR(VLOOKUP($B9,'LOD 300 - COLO2'!$B:BL,63,FALSE),"N/A")</f>
        <v>1</v>
      </c>
      <c r="DO9" s="86">
        <f>IFERROR(VLOOKUP($B9,'LOD 300 - COLO2'!$B:BO,66,FALSE),"N/A")</f>
        <v>1</v>
      </c>
      <c r="DP9" s="87">
        <f>IFERROR(VLOOKUP($B9,'LOD 300 - COLO2'!$B:BR,69,FALSE),"N/A")</f>
        <v>1</v>
      </c>
      <c r="DQ9" s="87">
        <f>IFERROR(VLOOKUP($B9,'LOD 300 - COLO2'!$B:BU,72,FALSE),"N/A")</f>
        <v>1</v>
      </c>
      <c r="DR9" s="87">
        <f>IFERROR(VLOOKUP($B9,'LOD 300 - COLO2'!$B:BX,75,FALSE),"N/A")</f>
        <v>1</v>
      </c>
      <c r="DS9" s="98">
        <f>IFERROR(VLOOKUP($B9,'LOD 300 - COLO2'!$B:CA,78,FALSE),"N/A")</f>
        <v>1</v>
      </c>
      <c r="DT9" s="98">
        <f>IFERROR(VLOOKUP($B9,'LOD 300 - COLO2'!$B:CD,81,FALSE),"N/A")</f>
        <v>1</v>
      </c>
      <c r="DU9" s="98">
        <f>IFERROR(VLOOKUP($B9,'LOD 300 - COLO2'!$B:CG,84,FALSE),"N/A")</f>
        <v>1</v>
      </c>
      <c r="DV9" s="98">
        <f>IFERROR(VLOOKUP($B9,'LOD 300 - COLO2'!$B:CJ,87,FALSE),"N/A")</f>
        <v>1</v>
      </c>
      <c r="DW9" s="98">
        <f>IFERROR(VLOOKUP($B9,'LOD 300 - COLO2'!$B:CM,90,FALSE),"N/A")</f>
        <v>1</v>
      </c>
      <c r="DX9" s="98">
        <f>IFERROR(VLOOKUP($B9,'LOD 300 - COLO2'!$B:CP,93,FALSE),"N/A")</f>
        <v>1</v>
      </c>
      <c r="DY9" s="87">
        <f>IFERROR(VLOOKUP($B9,'LOD 300 - COLO2'!$B:CS,96,FALSE),"N/A")</f>
        <v>1</v>
      </c>
      <c r="DZ9" s="87">
        <f>IFERROR(VLOOKUP($B9,'LOD 300 - COLO2'!$B:CV,99,FALSE),"N/A")</f>
        <v>1</v>
      </c>
      <c r="EA9" s="87">
        <f>IFERROR(VLOOKUP($B9,'LOD 300 - COLO2'!$B:DB,105,FALSE),"N/A")</f>
        <v>1</v>
      </c>
      <c r="EB9" s="87">
        <f>IFERROR(VLOOKUP($B9,'LOD 300 - COLO2'!$B:DB,105,FALSE),"N/A")</f>
        <v>1</v>
      </c>
      <c r="EC9" s="87">
        <f>IFERROR(VLOOKUP($B9,'LOD 300 - COLO2'!$B:DE,108,FALSE),"N/A")</f>
        <v>1</v>
      </c>
      <c r="ED9" s="87">
        <f>IFERROR(VLOOKUP($B9,'LOD 300 - COLO2'!$B:DH,111,FALSE),"N/A")</f>
        <v>1</v>
      </c>
      <c r="EE9" s="87">
        <f>IFERROR(VLOOKUP($B9,'LOD 300 - COLO2'!$B:DK,114,FALSE),"N/A")</f>
        <v>1</v>
      </c>
      <c r="EF9" s="87">
        <f>IFERROR(VLOOKUP($B9,'LOD 300 - COLO2'!$B:DN,117,FALSE),"N/A")</f>
        <v>1</v>
      </c>
      <c r="EG9" s="87">
        <f>IFERROR(VLOOKUP($B9,'LOD 300 - COLO2'!$B:DQ,120,FALSE),"N/A")</f>
        <v>1</v>
      </c>
      <c r="EH9" s="99">
        <f>IFERROR(__xludf.DUMMYFUNCTION("IFERROR(
  MAX(FILTER(CZ9:EG9, ISNUMBER(CZ9:EG9))),
  EG9
)"),1.0)</f>
        <v>1</v>
      </c>
      <c r="EI9" s="100">
        <f>IFERROR(VLOOKUP($B9,'LOD 300 - COLO3'!$B:R,17,FALSE),"N/A")</f>
        <v>0</v>
      </c>
      <c r="EJ9" s="127">
        <f>IFERROR(VLOOKUP($B9,'LOD 300 - COLO3'!$B:U,20,FALSE),"N/A")</f>
        <v>1</v>
      </c>
      <c r="EK9" s="127">
        <f>IFERROR(VLOOKUP($B9,'LOD 300 - COLO3'!$B:X,23,FALSE),"N/A")</f>
        <v>1</v>
      </c>
      <c r="EL9" s="127">
        <f>IFERROR(VLOOKUP($B9,'LOD 300 - COLO3'!$B:AA,26,FALSE),"N/A")</f>
        <v>1</v>
      </c>
      <c r="EM9" s="127">
        <f>IFERROR(VLOOKUP($B9,'LOD 300 - COLO3'!$B:AD,29,FALSE),"N/A")</f>
        <v>1</v>
      </c>
      <c r="EN9" s="127">
        <f>IFERROR(VLOOKUP($B9,'LOD 300 - COLO3'!$B:AG,32,FALSE),"N/A")</f>
        <v>1</v>
      </c>
      <c r="EO9" s="127">
        <f>IFERROR(VLOOKUP($B9,'LOD 300 - COLO3'!$B:AJ,35,FALSE),"N/A")</f>
        <v>1</v>
      </c>
      <c r="EP9" s="100">
        <f>IFERROR(VLOOKUP($B9,'LOD 300 - COLO3'!$B:AM,38,FALSE),"N/A")</f>
        <v>1</v>
      </c>
      <c r="EQ9" s="100">
        <f>IFERROR(VLOOKUP($B9,'LOD 300 - COLO3'!$B:AP,41,FALSE),"N/A")</f>
        <v>1</v>
      </c>
      <c r="ER9" s="100">
        <f>IFERROR(VLOOKUP($B9,'LOD 300 - COLO3'!$B:AS,44,FALSE),"N/A")</f>
        <v>1</v>
      </c>
      <c r="ES9" s="100">
        <f>IFERROR(VLOOKUP($B9,'LOD 300 - COLO3'!$B:AV,47,FALSE),"N/A")</f>
        <v>1</v>
      </c>
      <c r="ET9" s="100">
        <f>IFERROR(VLOOKUP($B9,'LOD 300 - COLO3'!$B:AY,50,FALSE),"N/A")</f>
        <v>1</v>
      </c>
      <c r="EU9" s="100">
        <f>IFERROR(VLOOKUP($B9,'LOD 300 - COLO3'!$B:BB,53,FALSE),"N/A")</f>
        <v>1</v>
      </c>
      <c r="EV9" s="100">
        <f>IFERROR(VLOOKUP($B9,'LOD 300 - COLO3'!$B:BE,56,FALSE),"N/A")</f>
        <v>1</v>
      </c>
      <c r="EW9" s="100">
        <f>IFERROR(VLOOKUP($B9,'LOD 300 - COLO3'!$B:BL,59,FALSE),"N/A")</f>
        <v>1</v>
      </c>
      <c r="EX9" s="100">
        <f>IFERROR(VLOOKUP($B9,'LOD 300 - COLO3'!$B:BO,62,FALSE),"N/A")</f>
        <v>1</v>
      </c>
      <c r="EY9" s="103">
        <f>IFERROR(__xludf.DUMMYFUNCTION("IFERROR(
  MAX(FILTER(EI9:EX9, ISNUMBER(EI9:EX9))),
  EX9
)"),1.0)</f>
        <v>1</v>
      </c>
      <c r="EZ9" s="104">
        <f>IFERROR(VLOOKUP($B9,'LOD 300 - COLO4'!$B:BT,17,FALSE),"N/A")</f>
        <v>0</v>
      </c>
      <c r="FA9" s="103">
        <f>IFERROR(__xludf.DUMMYFUNCTION("IFERROR(
  MAX(FILTER(EZ9, ISNUMBER(EZ9))),
  EZ9
)"),0.0)</f>
        <v>0</v>
      </c>
      <c r="FB9" s="121" t="str">
        <f>IFERROR(VLOOKUP($B9,'LOD 300 - SITE'!$B:S,18,FALSE),"N/A")</f>
        <v>N/A</v>
      </c>
      <c r="FC9" s="122" t="str">
        <f>IFERROR(VLOOKUP($B9,'LOD 300 - SITE'!$B:V,21,FALSE),"N/A")</f>
        <v>N/A</v>
      </c>
      <c r="FD9" s="122" t="str">
        <f>IFERROR(VLOOKUP($B9,'LOD 300 - SITE'!$B:Y,24,FALSE),"N/A")</f>
        <v>N/A</v>
      </c>
      <c r="FE9" s="122" t="str">
        <f>IFERROR(VLOOKUP($B9,'LOD 300 - SITE'!$B:AB,27,FALSE),"N/A")</f>
        <v>N/A</v>
      </c>
      <c r="FF9" s="122" t="str">
        <f>IFERROR(VLOOKUP($B9,'LOD 300 - SITE'!$B:AE,30,FALSE),"N/A")</f>
        <v>N/A</v>
      </c>
      <c r="FG9" s="122" t="str">
        <f>IFERROR(VLOOKUP($B9,'LOD 300 - SITE'!$B:AH,33,FALSE),"N/A")</f>
        <v>N/A</v>
      </c>
      <c r="FH9" s="122" t="str">
        <f>IFERROR(VLOOKUP($B9,'LOD 300 - SITE'!$B:AK,36,FALSE),"N/A")</f>
        <v>N/A</v>
      </c>
      <c r="FI9" s="122" t="str">
        <f>IFERROR(VLOOKUP($B9,'LOD 300 - SITE'!$B:AN,39,FALSE),"N/A")</f>
        <v>N/A</v>
      </c>
      <c r="FJ9" s="122" t="str">
        <f>IFERROR(VLOOKUP($B9,'LOD 300 - SITE'!$B:AQ,42,FALSE),"N/A")</f>
        <v>N/A</v>
      </c>
      <c r="FK9" s="122" t="str">
        <f>IFERROR(VLOOKUP($B9,'LOD 300 - SITE'!$B:AT,45,FALSE),"N/A")</f>
        <v>N/A</v>
      </c>
      <c r="FL9" s="123" t="str">
        <f>IFERROR(VLOOKUP($B9,'LOD 300 - SITE'!$B:AW,48,FALSE),"N/A")</f>
        <v>N/A</v>
      </c>
      <c r="FM9" s="87" t="str">
        <f>IFERROR(VLOOKUP($B9,'LOD 300 - SITE'!$B:AZ,51,FALSE),"N/A")</f>
        <v>N/A</v>
      </c>
      <c r="FN9" s="94" t="str">
        <f>IFERROR(VLOOKUP($B9,'LOD 300 - SITE'!$B:BC,54,FALSE),"N/A")</f>
        <v>N/A</v>
      </c>
      <c r="FO9" s="95" t="str">
        <f>IFERROR(VLOOKUP($B9,'LOD 300 - SITE'!$B:BF,57,FALSE),"N/A")</f>
        <v>N/A</v>
      </c>
      <c r="FP9" s="86" t="str">
        <f>IFERROR(VLOOKUP($B9,'LOD 300 - SITE'!$B:BI,60,FALSE),"N/A")</f>
        <v>N/A</v>
      </c>
      <c r="FQ9" s="86" t="str">
        <f>IFERROR(VLOOKUP($B9,'LOD 300 - SITE'!$B:BL,63,FALSE),"N/A")</f>
        <v>N/A</v>
      </c>
      <c r="FR9" s="86" t="str">
        <f>IFERROR(VLOOKUP($B9,'LOD 300 - SITE'!$B:BO,66,FALSE),"N/A")</f>
        <v>N/A</v>
      </c>
      <c r="FS9" s="86" t="str">
        <f>IFERROR(VLOOKUP($B9,'LOD 300 - SITE'!$B:BR,69,FALSE),"N/A")</f>
        <v>N/A</v>
      </c>
      <c r="FT9" s="86" t="str">
        <f>IFERROR(VLOOKUP($B9,'LOD 300 - SITE'!$B:BU,72,FALSE),"N/A")</f>
        <v>N/A</v>
      </c>
      <c r="FU9" s="86" t="str">
        <f>IFERROR(VLOOKUP($B9,'LOD 300 - SITE'!$B:BX,75,FALSE),"N/A")</f>
        <v>N/A</v>
      </c>
      <c r="FV9" s="86" t="str">
        <f>IFERROR(VLOOKUP($B9,'LOD 300 - SITE'!$B:CA,78,FALSE),"N/A")</f>
        <v>N/A</v>
      </c>
      <c r="FW9" s="87" t="str">
        <f>IFERROR(VLOOKUP($B9,'LOD 300 - SITE'!$B:CD,81,FALSE),"N/A")</f>
        <v>N/A</v>
      </c>
      <c r="FX9" s="108" t="str">
        <f>IFERROR(VLOOKUP($B9,'LOD 300 - SITE'!$B:CG,84,FALSE),"N/A")</f>
        <v>N/A</v>
      </c>
      <c r="FY9" s="108" t="str">
        <f>IFERROR(VLOOKUP($B9,'LOD 300 - SITE'!$B:CJ,87,FALSE),"N/A")</f>
        <v>N/A</v>
      </c>
      <c r="FZ9" s="108" t="str">
        <f>IFERROR(VLOOKUP($B9,'LOD 300 - SITE'!$B:CM,90,FALSE),"N/A")</f>
        <v>N/A</v>
      </c>
      <c r="GA9" s="108" t="str">
        <f>IFERROR(VLOOKUP($B9,'LOD 300 - SITE'!$B:CP,93,FALSE),"N/A")</f>
        <v>N/A</v>
      </c>
      <c r="GB9" s="108" t="str">
        <f>IFERROR(VLOOKUP($B9,'LOD 300 - SITE'!$B:CS,96,FALSE),"N/A")</f>
        <v>N/A</v>
      </c>
      <c r="GC9" s="109" t="str">
        <f>IFERROR(VLOOKUP($B9,'LOD 300 - SITE'!$B:CV,99,FALSE),"N/A")</f>
        <v>N/A</v>
      </c>
      <c r="GD9" s="87" t="str">
        <f>IFERROR(VLOOKUP($B9,'LOD 300 - SITE'!$B:CY,102,FALSE),"N/A")</f>
        <v>N/A</v>
      </c>
      <c r="GE9" s="87" t="str">
        <f>IFERROR(VLOOKUP($B9,'LOD 300 - SITE'!$B:DB,105,FALSE),"N/A")</f>
        <v>N/A</v>
      </c>
      <c r="GF9" s="87" t="str">
        <f>IFERROR(VLOOKUP($B9,'LOD 300 - SITE'!$B:DE,108,FALSE),"N/A")</f>
        <v>N/A</v>
      </c>
      <c r="GG9" s="87" t="str">
        <f>IFERROR(VLOOKUP($B9,'LOD 300 - SITE'!$B:DH,111,FALSE),"N/A")</f>
        <v>N/A</v>
      </c>
      <c r="GH9" s="87" t="str">
        <f>IFERROR(VLOOKUP($B9,'LOD 300 - SITE'!$B:DK,114,FALSE),"N/A")</f>
        <v>N/A</v>
      </c>
      <c r="GI9" s="87" t="str">
        <f>IFERROR(VLOOKUP($B9,'LOD 300 - SITE'!$B:DN,117,FALSE),"N/A")</f>
        <v>N/A</v>
      </c>
      <c r="GJ9" s="87" t="str">
        <f>IFERROR(VLOOKUP($B9,'LOD 300 - SITE'!$B:DQ,120,FALSE),"N/A")</f>
        <v>N/A</v>
      </c>
      <c r="GK9" s="87" t="str">
        <f>IFERROR(VLOOKUP($B9,'LOD 300 - SITE'!$B:DT,123,FALSE),"N/A")</f>
        <v>N/A</v>
      </c>
      <c r="GL9" s="87" t="str">
        <f>IFERROR(VLOOKUP($B9,'LOD 300 - SITE'!$B:DW,126,FALSE),"N/A")</f>
        <v>N/A</v>
      </c>
      <c r="GM9" s="110" t="str">
        <f>IFERROR(__xludf.DUMMYFUNCTION("IFERROR(
  MAX(FILTER(FB9:GL9, ISNUMBER(FB9:GL9))),
  GL9
)"),"N/A")</f>
        <v>N/A</v>
      </c>
      <c r="GN9" s="111"/>
      <c r="GO9" s="111"/>
      <c r="GP9" s="111"/>
    </row>
    <row r="10" outlineLevel="1">
      <c r="A10" s="60">
        <v>12.0</v>
      </c>
      <c r="B10" s="140" t="s">
        <v>103</v>
      </c>
      <c r="C10" s="70" t="s">
        <v>104</v>
      </c>
      <c r="D10" s="71" t="s">
        <v>90</v>
      </c>
      <c r="E10" s="138" t="s">
        <v>100</v>
      </c>
      <c r="F10" s="13">
        <v>1104.0</v>
      </c>
      <c r="G10" s="139" t="s">
        <v>101</v>
      </c>
      <c r="H10" s="139">
        <v>1127.0</v>
      </c>
      <c r="I10" s="74" t="str">
        <f>IFERROR(VLOOKUP(C7:C149,'R22 RELATÓRIO ACC'!B:F,5,FALSE),"NOT PUBLISHED")</f>
        <v>V9</v>
      </c>
      <c r="J10" s="74" t="str">
        <f>IFERROR(VLOOKUP(C7:C149,'R22 RELATÓRIO ACC'!B:P,15,FALSE),"NOT PUBLISHED")</f>
        <v>10/04/2026</v>
      </c>
      <c r="K10" s="141" t="str">
        <f>IFERROR(VLOOKUP(B7:B198,'RELATÓRIO ACC'!B:F,5,FALSE),"NOT PUBLISHED")</f>
        <v>V1</v>
      </c>
      <c r="L10" s="142" t="str">
        <f>IFERROR(VLOOKUP(B7:B198,'RELATÓRIO ACC'!B:P,15,FALSE),"NOT PUBLISHED")</f>
        <v>15/05/2026</v>
      </c>
      <c r="M10" s="76" t="str">
        <f>IF(OR($D10="UTLS",$D10="GUAR",$D10="STIR",$D10="PUMP",$D10="SITE"),
   VLOOKUP($B10,'LOD 300 - SITE'!B:M,12,FALSE),
   VLOOKUP($B10,'LOD 300 - ADMN'!B:M,12,FALSE)
)</f>
        <v>V3</v>
      </c>
      <c r="N10" s="80">
        <f>IF(OR($D10="UTLS",$D10="GUAR",$D10="STIR",$D10="PUMP",$D10="SITE"),
   VLOOKUP($B10,'LOD 300 - SITE'!B:N,13,FALSE),
   VLOOKUP($B10,'LOD 300 - ADMN'!B:N,13,FALSE)
)</f>
        <v>45898</v>
      </c>
      <c r="O10" s="143" t="str">
        <f>IF(OR($D10="UTLS",$D10="GUAR",$D10="STIR",$D10="PUMP",$D10="SITE"),
   VLOOKUP($B10,'LOD 300 - SITE'!B:O,14,FALSE),
   VLOOKUP($B10,'LOD 300 - ADMN'!B:O,14,FALSE)
)</f>
        <v>R22</v>
      </c>
      <c r="P10" s="79" t="str">
        <f>IF(OR($D10="C345",$D10="C12A",$D10="DATA"),
   VLOOKUP($B10,'LOD 300 - COLO3'!B:M,12,FALSE),"N/A")</f>
        <v>N/A</v>
      </c>
      <c r="Q10" s="76" t="str">
        <f>IF(OR($D10="C345",$D10="C12A",$D10="DATA"),
   VLOOKUP($B10,'LOD 300 - COLO3'!B:N,13,FALSE),"N/A")</f>
        <v>N/A</v>
      </c>
      <c r="R10" s="76" t="str">
        <f>IF(OR($D10="C345",$D10="C12A",$D10="DATA"),
   VLOOKUP($B10,'LOD 300 - COLO3'!B:O,14,FALSE),"N/A")</f>
        <v>N/A</v>
      </c>
      <c r="S10" s="79" t="str">
        <f>IF(OR($D10="C345",$D10="C12A",$D10="DATA"),
   VLOOKUP($B10,'LOD 300 - COLO4'!B:M,12,FALSE),"N/A")</f>
        <v>N/A</v>
      </c>
      <c r="T10" s="76" t="str">
        <f>IF(OR($D10="C345",$D10="C12A",$D10="DATA"),
   VLOOKUP($B10,'LOD 300 - COLO4'!B:T,13,FALSE),"N/A")</f>
        <v>N/A</v>
      </c>
      <c r="U10" s="76" t="str">
        <f>IF(OR($D10="C345",$D10="C12A",$D10="DATA"),
   VLOOKUP($B10,'LOD 300 - COLO4'!B:U,17,FALSE),"N/A")</f>
        <v>N/A</v>
      </c>
      <c r="V10" s="126"/>
      <c r="W10" s="144" t="str">
        <f>IFERROR(VLOOKUP($B10,'LOD 300 - ADMN'!$B:S,18,FALSE),"N/A")</f>
        <v>N/A</v>
      </c>
      <c r="X10" s="122" t="str">
        <f>IFERROR(VLOOKUP($B10,'LOD 300 - ADMN'!$B:V,21,FALSE),"N/A")</f>
        <v>N/A</v>
      </c>
      <c r="Y10" s="122" t="str">
        <f>IFERROR(VLOOKUP($B10,'LOD 300 - ADMN'!$B:Y,24,FALSE),"N/A")</f>
        <v>N/A</v>
      </c>
      <c r="Z10" s="122" t="str">
        <f>IFERROR(VLOOKUP($B10,'LOD 300 - ADMN'!$B:AB,27,FALSE),"N/A")</f>
        <v>N/A</v>
      </c>
      <c r="AA10" s="122" t="str">
        <f>IFERROR(VLOOKUP($B10,'LOD 300 - ADMN'!$B:AE,30,FALSE),"N/A")</f>
        <v>N/A</v>
      </c>
      <c r="AB10" s="145" t="str">
        <f>IFERROR(VLOOKUP($B10,'LOD 300 - ADMN'!$B:AH,33,FALSE),"N/A")</f>
        <v>N/A</v>
      </c>
      <c r="AC10" s="145" t="str">
        <f>IFERROR(VLOOKUP($B10,'LOD 300 - ADMN'!$B:AK,36,FALSE),"N/A")</f>
        <v>N/A</v>
      </c>
      <c r="AD10" s="122" t="str">
        <f>IFERROR(VLOOKUP($B10,'LOD 300 - ADMN'!$B:AN,39,FALSE),"N/A")</f>
        <v>N/A</v>
      </c>
      <c r="AE10" s="122" t="str">
        <f>IFERROR(VLOOKUP($B10,'LOD 300 - ADMN'!$B:AQ,42,FALSE),"N/A")</f>
        <v>N/A</v>
      </c>
      <c r="AF10" s="122" t="str">
        <f>IFERROR(VLOOKUP($B10,'LOD 300 - ADMN'!$B:AT,45,FALSE),"N/A")</f>
        <v>N/A</v>
      </c>
      <c r="AG10" s="122" t="str">
        <f>IFERROR(VLOOKUP($B10,'LOD 300 - ADMN'!$B:AW,48,FALSE),"N/A")</f>
        <v>N/A</v>
      </c>
      <c r="AH10" s="122" t="str">
        <f>IFERROR(VLOOKUP($B10,'LOD 300 - ADMN'!$B:AZ,51,FALSE),"N/A")</f>
        <v>N/A</v>
      </c>
      <c r="AI10" s="122" t="str">
        <f>IFERROR(VLOOKUP($B10,'LOD 300 - ADMN'!$B:BC,54,FALSE),"N/A")</f>
        <v>N/A</v>
      </c>
      <c r="AJ10" s="87" t="str">
        <f>IFERROR(VLOOKUP($B10,'LOD 300 - ADMN'!$B:BF,57,FALSE),"N/A")</f>
        <v>N/A</v>
      </c>
      <c r="AK10" s="87" t="str">
        <f>IFERROR(VLOOKUP($B10,'LOD 300 - ADMN'!$B:EP,60,FALSE),"N/A")</f>
        <v>N/A</v>
      </c>
      <c r="AL10" s="87" t="str">
        <f>IFERROR(VLOOKUP($B10,'LOD 300 - ADMN'!$B:EQ,63,FALSE),"N/A")</f>
        <v>N/A</v>
      </c>
      <c r="AM10" s="87" t="str">
        <f>IFERROR(VLOOKUP($B10,'LOD 300 - ADMN'!$B:BO,66,FALSE),"N/A")</f>
        <v>N/A</v>
      </c>
      <c r="AN10" s="87" t="str">
        <f>IFERROR(VLOOKUP($B10,'LOD 300 - ADMN'!$B:BR,69,FALSE),"N/A")</f>
        <v>N/A</v>
      </c>
      <c r="AO10" s="87" t="str">
        <f>IFERROR(VLOOKUP($B10,'LOD 300 - ADMN'!$B:BU,72,FALSE),"N/A")</f>
        <v>N/A</v>
      </c>
      <c r="AP10" s="87" t="str">
        <f>IFERROR(VLOOKUP($B10,'LOD 300 - ADMN'!$B:BX,75,FALSE),"N/A")</f>
        <v>N/A</v>
      </c>
      <c r="AQ10" s="87" t="str">
        <f>IFERROR(VLOOKUP($B10,'LOD 300 - ADMN'!$B:CA,78,FALSE),"N/A")</f>
        <v>N/A</v>
      </c>
      <c r="AR10" s="87" t="str">
        <f>IFERROR(VLOOKUP($B10,'LOD 300 - ADMN'!$B:CD,81,FALSE),"N/A")</f>
        <v>N/A</v>
      </c>
      <c r="AS10" s="87" t="str">
        <f>IFERROR(VLOOKUP($B10,'LOD 300 - ADMN'!$B:CG,84,FALSE),"N/A")</f>
        <v>N/A</v>
      </c>
      <c r="AT10" s="87" t="str">
        <f>IFERROR(VLOOKUP($B10,'LOD 300 - ADMN'!$B:CJ,87,FALSE),"N/A")</f>
        <v>N/A</v>
      </c>
      <c r="AU10" s="88" t="str">
        <f>IFERROR(VLOOKUP($B10,'LOD 300 - ADMN'!$B:CM,90,FALSE),"N/A")</f>
        <v>N/A</v>
      </c>
      <c r="AV10" s="88" t="str">
        <f>IFERROR(VLOOKUP($B10,'LOD 300 - ADMN'!$B:CP,93,FALSE),"N/A")</f>
        <v>N/A</v>
      </c>
      <c r="AW10" s="88" t="str">
        <f>IFERROR(VLOOKUP($B10,'LOD 300 - ADMN'!$B:CS,96,FALSE),"N/A")</f>
        <v>N/A</v>
      </c>
      <c r="AX10" s="88" t="str">
        <f>IFERROR(VLOOKUP($B10,'LOD 300 - ADMN'!$B:CV,99,FALSE),"N/A")</f>
        <v>N/A</v>
      </c>
      <c r="AY10" s="88" t="str">
        <f>IFERROR(VLOOKUP($B10,'LOD 300 - ADMN'!$B:CY,102,FALSE),"N/A")</f>
        <v>N/A</v>
      </c>
      <c r="AZ10" s="88" t="str">
        <f>IFERROR(VLOOKUP($B10,'LOD 300 - ADMN'!$B:DB,105,FALSE),"N/A")</f>
        <v>N/A</v>
      </c>
      <c r="BA10" s="87" t="str">
        <f>IFERROR(VLOOKUP($B10,'LOD 300 - ADMN'!$B:DE,108,FALSE),"N/A")</f>
        <v>N/A</v>
      </c>
      <c r="BB10" s="87" t="str">
        <f>IFERROR(VLOOKUP($B10,'LOD 300 - ADMN'!$B:DH,111,FALSE),"N/A")</f>
        <v>N/A</v>
      </c>
      <c r="BC10" s="87" t="str">
        <f>IFERROR(VLOOKUP($B10,'LOD 300 - ADMN'!$B:DK,114,FALSE),"N/A")</f>
        <v>N/A</v>
      </c>
      <c r="BD10" s="87" t="str">
        <f>IFERROR(VLOOKUP($B10,'LOD 300 - ADMN'!$B:DN,117,FALSE),"N/A")</f>
        <v>N/A</v>
      </c>
      <c r="BE10" s="87" t="str">
        <f>IFERROR(VLOOKUP($B10,'LOD 300 - ADMN'!$B:DQ,120,FALSE),"N/A")</f>
        <v>N/A</v>
      </c>
      <c r="BF10" s="87" t="str">
        <f>IFERROR(VLOOKUP($B10,'LOD 300 - ADMN'!$B:DT,123,FALSE),"N/A")</f>
        <v>N/A</v>
      </c>
      <c r="BG10" s="87" t="str">
        <f>IFERROR(VLOOKUP($B10,'LOD 300 - ADMN'!$B:DW,126,FALSE),"N/A")</f>
        <v>N/A</v>
      </c>
      <c r="BH10" s="87" t="str">
        <f>IFERROR(VLOOKUP($B10,'LOD 300 - ADMN'!$B:DZ,129,FALSE),"N/A")</f>
        <v>N/A</v>
      </c>
      <c r="BI10" s="87" t="str">
        <f>IFERROR(VLOOKUP($B10,'LOD 300 - ADMN'!$B:EC,132,FALSE),"N/A")</f>
        <v>N/A</v>
      </c>
      <c r="BJ10" s="90" t="str">
        <f>IFERROR(__xludf.DUMMYFUNCTION("IFERROR(
  MAX(FILTER(X10:BI10, ISNUMBER(X10:BI10))),
  BI10
)"),"N/A")</f>
        <v>N/A</v>
      </c>
      <c r="BK10" s="91" t="str">
        <f>IFERROR(VLOOKUP($B10,'LOD 300 - COLO1'!$B:S,18,FALSE),"N/A")</f>
        <v>N/A</v>
      </c>
      <c r="BL10" s="92" t="str">
        <f>IFERROR(VLOOKUP($B10,'LOD 300 - COLO1'!$B:V,21,FALSE),"N/A")</f>
        <v>N/A</v>
      </c>
      <c r="BM10" s="92" t="str">
        <f>IFERROR(VLOOKUP($B10,'LOD 300 - COLO1'!$B:Y,24,FALSE),"N/A")</f>
        <v>N/A</v>
      </c>
      <c r="BN10" s="92" t="str">
        <f>IFERROR(VLOOKUP($B10,'LOD 300 - COLO1'!$B:AB,27,FALSE),"N/A")</f>
        <v>N/A</v>
      </c>
      <c r="BO10" s="92" t="str">
        <f>IFERROR(VLOOKUP($B10,'LOD 300 - COLO1'!$B:AE,30,FALSE),"N/A")</f>
        <v>N/A</v>
      </c>
      <c r="BP10" s="92" t="str">
        <f>IFERROR(VLOOKUP($B10,'LOD 300 - COLO1'!$B:AH,33,FALSE),"N/A")</f>
        <v>N/A</v>
      </c>
      <c r="BQ10" s="92" t="str">
        <f>IFERROR(VLOOKUP($B10,'LOD 300 - COLO1'!$B:AK,36,FALSE),"N/A")</f>
        <v>N/A</v>
      </c>
      <c r="BR10" s="92" t="str">
        <f>IFERROR(VLOOKUP($B10,'LOD 300 - COLO1'!$B:AN,39,FALSE),"N/A")</f>
        <v>N/A</v>
      </c>
      <c r="BS10" s="92" t="str">
        <f>IFERROR(VLOOKUP($B10,'LOD 300 - COLO1'!$B:AQ,42,FALSE),"N/A")</f>
        <v>N/A</v>
      </c>
      <c r="BT10" s="92" t="str">
        <f>IFERROR(VLOOKUP($B10,'LOD 300 - COLO1'!$B:AT,45,FALSE),"N/A")</f>
        <v>N/A</v>
      </c>
      <c r="BU10" s="92" t="str">
        <f>IFERROR(VLOOKUP($B10,'LOD 300 - COLO1'!$B:AW,48,FALSE),"N/A")</f>
        <v>N/A</v>
      </c>
      <c r="BV10" s="92" t="str">
        <f>IFERROR(VLOOKUP($B10,'LOD 300 - COLO1'!$B:AZ,51,FALSE),"N/A")</f>
        <v>N/A</v>
      </c>
      <c r="BW10" s="92" t="str">
        <f>IFERROR(VLOOKUP($B10,'LOD 300 - COLO1'!$B:BC,54,FALSE),"N/A")</f>
        <v>N/A</v>
      </c>
      <c r="BX10" s="94" t="str">
        <f>IFERROR(VLOOKUP($B10,'LOD 300 - COLO1'!$B:BF,57,FALSE),"N/A")</f>
        <v>N/A</v>
      </c>
      <c r="BY10" s="94" t="str">
        <f>IFERROR(VLOOKUP($B10,'LOD 300 - COLO1'!$B:BI,60,FALSE),"N/A")</f>
        <v>N/A</v>
      </c>
      <c r="BZ10" s="95" t="str">
        <f>IFERROR(VLOOKUP($B10,'LOD 300 - COLO1'!$B:BL,63,FALSE),"N/A")</f>
        <v>N/A</v>
      </c>
      <c r="CA10" s="86" t="str">
        <f>IFERROR(VLOOKUP($B10,'LOD 300 - COLO1'!$B:BO,66,FALSE),"N/A")</f>
        <v>N/A</v>
      </c>
      <c r="CB10" s="86" t="str">
        <f>IFERROR(VLOOKUP($B10,'LOD 300 - COLO1'!$B:BR,69,FALSE),"N/A")</f>
        <v>N/A</v>
      </c>
      <c r="CC10" s="86" t="str">
        <f>IFERROR(VLOOKUP($B10,'LOD 300 - COLO1'!$B:BU,72,FALSE),"N/A")</f>
        <v>N/A</v>
      </c>
      <c r="CD10" s="86" t="str">
        <f>IFERROR(VLOOKUP($B10,'LOD 300 - COLO1'!$B:BX,75,FALSE),"N/A")</f>
        <v>N/A</v>
      </c>
      <c r="CE10" s="86" t="str">
        <f>IFERROR(VLOOKUP($B10,'LOD 300 - COLO1'!$B:CA,78,FALSE),"N/A")</f>
        <v>N/A</v>
      </c>
      <c r="CF10" s="87" t="str">
        <f>IFERROR(VLOOKUP($B10,'LOD 300 - COLO1'!$B:CD,81,FALSE),"N/A")</f>
        <v>N/A</v>
      </c>
      <c r="CG10" s="86" t="str">
        <f>IFERROR(VLOOKUP($B10,'LOD 300 - COLO1'!$B:CG,84,FALSE),"N/A")</f>
        <v>N/A</v>
      </c>
      <c r="CH10" s="87" t="str">
        <f>IFERROR(VLOOKUP($B10,'LOD 300 - COLO1'!$B:CJ,87,FALSE),"N/A")</f>
        <v>N/A</v>
      </c>
      <c r="CI10" s="88" t="str">
        <f>IFERROR(VLOOKUP($B10,'LOD 300 - COLO1'!$B:CM,90,FALSE),"N/A")</f>
        <v>N/A</v>
      </c>
      <c r="CJ10" s="88" t="str">
        <f>IFERROR(VLOOKUP($B10,'LOD 300 - COLO1'!$B:CP,93,FALSE),"N/A")</f>
        <v>N/A</v>
      </c>
      <c r="CK10" s="88" t="str">
        <f>IFERROR(VLOOKUP($B10,'LOD 300 - COLO1'!$B:CS,96,FALSE),"N/A")</f>
        <v>N/A</v>
      </c>
      <c r="CL10" s="88" t="str">
        <f>IFERROR(VLOOKUP($B10,'LOD 300 - COLO1'!$B:CV,99,FALSE),"N/A")</f>
        <v>N/A</v>
      </c>
      <c r="CM10" s="88" t="str">
        <f>IFERROR(VLOOKUP($B10,'LOD 300 - COLO1'!$B:CY,102,FALSE),"N/A")</f>
        <v>N/A</v>
      </c>
      <c r="CN10" s="89" t="str">
        <f>IFERROR(VLOOKUP($B10,'LOD 300 - COLO1'!$B:DB,105,FALSE),"N/A")</f>
        <v>N/A</v>
      </c>
      <c r="CO10" s="87" t="str">
        <f>IFERROR(VLOOKUP($B10,'LOD 300 - COLO1'!$B:EE,108,FALSE),"N/A")</f>
        <v>N/A</v>
      </c>
      <c r="CP10" s="87" t="str">
        <f>IFERROR(VLOOKUP($B10,'LOD 300 - COLO1'!$B:EH,111,FALSE),"N/A")</f>
        <v>N/A</v>
      </c>
      <c r="CQ10" s="87" t="str">
        <f>IFERROR(VLOOKUP($B10,'LOD 300 - COLO1'!$B:EK,114,FALSE),"N/A")</f>
        <v>N/A</v>
      </c>
      <c r="CR10" s="87" t="str">
        <f>IFERROR(VLOOKUP($B10,'LOD 300 - COLO1'!$B:EN,117,FALSE),"N/A")</f>
        <v>N/A</v>
      </c>
      <c r="CS10" s="87" t="str">
        <f>IFERROR(VLOOKUP($B10,'LOD 300 - COLO1'!$B:EQ,120,FALSE),"N/A")</f>
        <v>N/A</v>
      </c>
      <c r="CT10" s="87" t="str">
        <f>IFERROR(VLOOKUP($B10,'LOD 300 - COLO1'!$B:ET,123,FALSE),"N/A")</f>
        <v>N/A</v>
      </c>
      <c r="CU10" s="87" t="str">
        <f>IFERROR(VLOOKUP($B10,'LOD 300 - COLO1'!$B:EW,126,FALSE),"N/A")</f>
        <v>N/A</v>
      </c>
      <c r="CV10" s="87" t="str">
        <f>IFERROR(VLOOKUP($B10,'LOD 300 - COLO1'!$B:EZ,129,FALSE),"N/A")</f>
        <v>N/A</v>
      </c>
      <c r="CW10" s="87" t="str">
        <f>IFERROR(VLOOKUP($B10,'LOD 300 - COLO1'!$B:FC,132,FALSE),"N/A")</f>
        <v>N/A</v>
      </c>
      <c r="CX10" s="96" t="str">
        <f>IFERROR(__xludf.DUMMYFUNCTION("IFERROR(
  MAX(FILTER(BK10:CW10, ISNUMBER(BK10:CW10))),
  CW10
)"),"N/A")</f>
        <v>N/A</v>
      </c>
      <c r="CY10" s="104" t="str">
        <f>IFERROR(VLOOKUP($B10,'LOD 300 - COLO2'!$B:S,18,FALSE),"N/A")</f>
        <v>N/A</v>
      </c>
      <c r="CZ10" s="117" t="str">
        <f>IFERROR(VLOOKUP($B10,'LOD 300 - COLO2'!$B:V,21,FALSE),"N/A")</f>
        <v>N/A</v>
      </c>
      <c r="DA10" s="117" t="str">
        <f>IFERROR(VLOOKUP($B10,'LOD 300 - COLO2'!$B:Y,24,FALSE),"N/A")</f>
        <v>N/A</v>
      </c>
      <c r="DB10" s="117" t="str">
        <f>IFERROR(VLOOKUP($B10,'LOD 300 - COLO2'!$B:AB,27,FALSE),"N/A")</f>
        <v>N/A</v>
      </c>
      <c r="DC10" s="92" t="str">
        <f>IFERROR(VLOOKUP($B10,'LOD 300 - COLO2'!$B:AE,30,FALSE),"N/A")</f>
        <v>N/A</v>
      </c>
      <c r="DD10" s="120" t="str">
        <f>IFERROR(VLOOKUP($B10,'LOD 300 - COLO2'!$B:AH,33,FALSE),"N/A")</f>
        <v>N/A</v>
      </c>
      <c r="DE10" s="117" t="str">
        <f>IFERROR(VLOOKUP($B10,'LOD 300 - COLO2'!$B:AK,36,FALSE),"N/A")</f>
        <v>N/A</v>
      </c>
      <c r="DF10" s="117" t="str">
        <f>IFERROR(VLOOKUP($B10,'LOD 300 - COLO2'!$B:AN,39,FALSE),"N/A")</f>
        <v>N/A</v>
      </c>
      <c r="DG10" s="119" t="str">
        <f>IFERROR(VLOOKUP($B10,'LOD 300 - COLO2'!$B:AQ,42,FALSE),"N/A")</f>
        <v>N/A</v>
      </c>
      <c r="DH10" s="87" t="str">
        <f>IFERROR(VLOOKUP($B10,'LOD 300 - COLO2'!$B:AT,45,FALSE),"N/A")</f>
        <v>N/A</v>
      </c>
      <c r="DI10" s="94" t="str">
        <f>IFERROR(VLOOKUP($B10,'LOD 300 - COLO2'!$B:AW,48,FALSE),"N/A")</f>
        <v>N/A</v>
      </c>
      <c r="DJ10" s="95" t="str">
        <f>IFERROR(VLOOKUP($B10,'LOD 300 - COLO2'!$B:AZ,51,FALSE),"N/A")</f>
        <v>N/A</v>
      </c>
      <c r="DK10" s="86" t="str">
        <f>IFERROR(VLOOKUP($B10,'LOD 300 - COLO2'!$B:BC,54,FALSE),"N/A")</f>
        <v>N/A</v>
      </c>
      <c r="DL10" s="86" t="str">
        <f>IFERROR(VLOOKUP($B10,'LOD 300 - COLO2'!$B:BF,57,FALSE),"N/A")</f>
        <v>N/A</v>
      </c>
      <c r="DM10" s="86" t="str">
        <f>IFERROR(VLOOKUP($B10,'LOD 300 - COLO2'!$B:BI,60,FALSE),"N/A")</f>
        <v>N/A</v>
      </c>
      <c r="DN10" s="86" t="str">
        <f>IFERROR(VLOOKUP($B10,'LOD 300 - COLO2'!$B:BL,63,FALSE),"N/A")</f>
        <v>N/A</v>
      </c>
      <c r="DO10" s="86" t="str">
        <f>IFERROR(VLOOKUP($B10,'LOD 300 - COLO2'!$B:BO,66,FALSE),"N/A")</f>
        <v>N/A</v>
      </c>
      <c r="DP10" s="87" t="str">
        <f>IFERROR(VLOOKUP($B10,'LOD 300 - COLO2'!$B:BR,69,FALSE),"N/A")</f>
        <v>N/A</v>
      </c>
      <c r="DQ10" s="87" t="str">
        <f>IFERROR(VLOOKUP($B10,'LOD 300 - COLO2'!$B:BU,72,FALSE),"N/A")</f>
        <v>N/A</v>
      </c>
      <c r="DR10" s="87" t="str">
        <f>IFERROR(VLOOKUP($B10,'LOD 300 - COLO2'!$B:BX,75,FALSE),"N/A")</f>
        <v>N/A</v>
      </c>
      <c r="DS10" s="98" t="str">
        <f>IFERROR(VLOOKUP($B10,'LOD 300 - COLO2'!$B:CA,78,FALSE),"N/A")</f>
        <v>N/A</v>
      </c>
      <c r="DT10" s="98" t="str">
        <f>IFERROR(VLOOKUP($B10,'LOD 300 - COLO2'!$B:CD,81,FALSE),"N/A")</f>
        <v>N/A</v>
      </c>
      <c r="DU10" s="98" t="str">
        <f>IFERROR(VLOOKUP($B10,'LOD 300 - COLO2'!$B:CG,84,FALSE),"N/A")</f>
        <v>N/A</v>
      </c>
      <c r="DV10" s="98" t="str">
        <f>IFERROR(VLOOKUP($B10,'LOD 300 - COLO2'!$B:CJ,87,FALSE),"N/A")</f>
        <v>N/A</v>
      </c>
      <c r="DW10" s="98" t="str">
        <f>IFERROR(VLOOKUP($B10,'LOD 300 - COLO2'!$B:CM,90,FALSE),"N/A")</f>
        <v>N/A</v>
      </c>
      <c r="DX10" s="98" t="str">
        <f>IFERROR(VLOOKUP($B10,'LOD 300 - COLO2'!$B:CP,93,FALSE),"N/A")</f>
        <v>N/A</v>
      </c>
      <c r="DY10" s="87" t="str">
        <f>IFERROR(VLOOKUP($B10,'LOD 300 - COLO2'!$B:CS,96,FALSE),"N/A")</f>
        <v>N/A</v>
      </c>
      <c r="DZ10" s="87" t="str">
        <f>IFERROR(VLOOKUP($B10,'LOD 300 - COLO2'!$B:CV,99,FALSE),"N/A")</f>
        <v>N/A</v>
      </c>
      <c r="EA10" s="87" t="str">
        <f>IFERROR(VLOOKUP($B10,'LOD 300 - COLO2'!$B:DB,105,FALSE),"N/A")</f>
        <v>N/A</v>
      </c>
      <c r="EB10" s="87" t="str">
        <f>IFERROR(VLOOKUP($B10,'LOD 300 - COLO2'!$B:DB,105,FALSE),"N/A")</f>
        <v>N/A</v>
      </c>
      <c r="EC10" s="87" t="str">
        <f>IFERROR(VLOOKUP($B10,'LOD 300 - COLO2'!$B:DE,108,FALSE),"N/A")</f>
        <v>N/A</v>
      </c>
      <c r="ED10" s="87" t="str">
        <f>IFERROR(VLOOKUP($B10,'LOD 300 - COLO2'!$B:DH,111,FALSE),"N/A")</f>
        <v>N/A</v>
      </c>
      <c r="EE10" s="87" t="str">
        <f>IFERROR(VLOOKUP($B10,'LOD 300 - COLO2'!$B:DK,114,FALSE),"N/A")</f>
        <v>N/A</v>
      </c>
      <c r="EF10" s="87" t="str">
        <f>IFERROR(VLOOKUP($B10,'LOD 300 - COLO2'!$B:DN,117,FALSE),"N/A")</f>
        <v>N/A</v>
      </c>
      <c r="EG10" s="87" t="str">
        <f>IFERROR(VLOOKUP($B10,'LOD 300 - COLO2'!$B:DQ,120,FALSE),"N/A")</f>
        <v>N/A</v>
      </c>
      <c r="EH10" s="99" t="str">
        <f>IFERROR(__xludf.DUMMYFUNCTION("IFERROR(
  MAX(FILTER(CZ10:EG10, ISNUMBER(CZ10:EG10))),
  EG10
)"),"N/A")</f>
        <v>N/A</v>
      </c>
      <c r="EI10" s="100" t="str">
        <f>IFERROR(VLOOKUP($B10,'LOD 300 - COLO3'!$B:R,17,FALSE),"N/A")</f>
        <v>N/A</v>
      </c>
      <c r="EJ10" s="127" t="str">
        <f>IFERROR(VLOOKUP($B10,'LOD 300 - COLO3'!$B:U,20,FALSE),"N/A")</f>
        <v>N/A</v>
      </c>
      <c r="EK10" s="127" t="str">
        <f>IFERROR(VLOOKUP($B10,'LOD 300 - COLO3'!$B:X,23,FALSE),"N/A")</f>
        <v>N/A</v>
      </c>
      <c r="EL10" s="127" t="str">
        <f>IFERROR(VLOOKUP($B10,'LOD 300 - COLO3'!$B:AA,26,FALSE),"N/A")</f>
        <v>N/A</v>
      </c>
      <c r="EM10" s="127" t="str">
        <f>IFERROR(VLOOKUP($B10,'LOD 300 - COLO3'!$B:AD,29,FALSE),"N/A")</f>
        <v>N/A</v>
      </c>
      <c r="EN10" s="127" t="str">
        <f>IFERROR(VLOOKUP($B10,'LOD 300 - COLO3'!$B:AG,32,FALSE),"N/A")</f>
        <v>N/A</v>
      </c>
      <c r="EO10" s="127" t="str">
        <f>IFERROR(VLOOKUP($B10,'LOD 300 - COLO3'!$B:AJ,35,FALSE),"N/A")</f>
        <v>N/A</v>
      </c>
      <c r="EP10" s="100" t="str">
        <f>IFERROR(VLOOKUP($B10,'LOD 300 - COLO3'!$B:AM,38,FALSE),"N/A")</f>
        <v>N/A</v>
      </c>
      <c r="EQ10" s="100" t="str">
        <f>IFERROR(VLOOKUP($B10,'LOD 300 - COLO3'!$B:AP,41,FALSE),"N/A")</f>
        <v>N/A</v>
      </c>
      <c r="ER10" s="100" t="str">
        <f>IFERROR(VLOOKUP($B10,'LOD 300 - COLO3'!$B:AS,44,FALSE),"N/A")</f>
        <v>N/A</v>
      </c>
      <c r="ES10" s="100" t="str">
        <f>IFERROR(VLOOKUP($B10,'LOD 300 - COLO3'!$B:AV,47,FALSE),"N/A")</f>
        <v>N/A</v>
      </c>
      <c r="ET10" s="100" t="str">
        <f>IFERROR(VLOOKUP($B10,'LOD 300 - COLO3'!$B:AY,50,FALSE),"N/A")</f>
        <v>N/A</v>
      </c>
      <c r="EU10" s="100" t="str">
        <f>IFERROR(VLOOKUP($B10,'LOD 300 - COLO3'!$B:BB,53,FALSE),"N/A")</f>
        <v>N/A</v>
      </c>
      <c r="EV10" s="100" t="str">
        <f>IFERROR(VLOOKUP($B10,'LOD 300 - COLO3'!$B:BE,56,FALSE),"N/A")</f>
        <v>N/A</v>
      </c>
      <c r="EW10" s="100" t="str">
        <f>IFERROR(VLOOKUP($B10,'LOD 300 - COLO3'!$B:BL,59,FALSE),"N/A")</f>
        <v>N/A</v>
      </c>
      <c r="EX10" s="100" t="str">
        <f>IFERROR(VLOOKUP($B10,'LOD 300 - COLO3'!$B:BO,62,FALSE),"N/A")</f>
        <v>N/A</v>
      </c>
      <c r="EY10" s="103" t="str">
        <f>IFERROR(__xludf.DUMMYFUNCTION("IFERROR(
  MAX(FILTER(EI10:EX10, ISNUMBER(EI10:EX10))),
  EX10
)"),"N/A")</f>
        <v>N/A</v>
      </c>
      <c r="EZ10" s="104" t="str">
        <f>IFERROR(VLOOKUP($B10,'LOD 300 - COLO4'!$B:BT,17,FALSE),"N/A")</f>
        <v>N/A</v>
      </c>
      <c r="FA10" s="103" t="str">
        <f>IFERROR(__xludf.DUMMYFUNCTION("IFERROR(
  MAX(FILTER(EZ10, ISNUMBER(EZ10))),
  EZ10
)"),"N/A")</f>
        <v>N/A</v>
      </c>
      <c r="FB10" s="121">
        <f>IFERROR(VLOOKUP($B10,'LOD 300 - SITE'!$B:S,18,FALSE),"N/A")</f>
        <v>0.84</v>
      </c>
      <c r="FC10" s="122">
        <f>IFERROR(VLOOKUP($B10,'LOD 300 - SITE'!$B:V,21,FALSE),"N/A")</f>
        <v>1</v>
      </c>
      <c r="FD10" s="122">
        <f>IFERROR(VLOOKUP($B10,'LOD 300 - SITE'!$B:Y,24,FALSE),"N/A")</f>
        <v>1</v>
      </c>
      <c r="FE10" s="122">
        <f>IFERROR(VLOOKUP($B10,'LOD 300 - SITE'!$B:AB,27,FALSE),"N/A")</f>
        <v>1</v>
      </c>
      <c r="FF10" s="122">
        <f>IFERROR(VLOOKUP($B10,'LOD 300 - SITE'!$B:AE,30,FALSE),"N/A")</f>
        <v>1</v>
      </c>
      <c r="FG10" s="122">
        <f>IFERROR(VLOOKUP($B10,'LOD 300 - SITE'!$B:AH,33,FALSE),"N/A")</f>
        <v>1</v>
      </c>
      <c r="FH10" s="122">
        <f>IFERROR(VLOOKUP($B10,'LOD 300 - SITE'!$B:AK,36,FALSE),"N/A")</f>
        <v>1</v>
      </c>
      <c r="FI10" s="122">
        <f>IFERROR(VLOOKUP($B10,'LOD 300 - SITE'!$B:AN,39,FALSE),"N/A")</f>
        <v>1</v>
      </c>
      <c r="FJ10" s="122">
        <f>IFERROR(VLOOKUP($B10,'LOD 300 - SITE'!$B:AQ,42,FALSE),"N/A")</f>
        <v>1</v>
      </c>
      <c r="FK10" s="122">
        <f>IFERROR(VLOOKUP($B10,'LOD 300 - SITE'!$B:AT,45,FALSE),"N/A")</f>
        <v>1</v>
      </c>
      <c r="FL10" s="123">
        <f>IFERROR(VLOOKUP($B10,'LOD 300 - SITE'!$B:AW,48,FALSE),"N/A")</f>
        <v>1</v>
      </c>
      <c r="FM10" s="87">
        <f>IFERROR(VLOOKUP($B10,'LOD 300 - SITE'!$B:AZ,51,FALSE),"N/A")</f>
        <v>1</v>
      </c>
      <c r="FN10" s="94">
        <f>IFERROR(VLOOKUP($B10,'LOD 300 - SITE'!$B:BC,54,FALSE),"N/A")</f>
        <v>1</v>
      </c>
      <c r="FO10" s="95">
        <f>IFERROR(VLOOKUP($B10,'LOD 300 - SITE'!$B:BF,57,FALSE),"N/A")</f>
        <v>1</v>
      </c>
      <c r="FP10" s="86">
        <f>IFERROR(VLOOKUP($B10,'LOD 300 - SITE'!$B:BI,60,FALSE),"N/A")</f>
        <v>1</v>
      </c>
      <c r="FQ10" s="86">
        <f>IFERROR(VLOOKUP($B10,'LOD 300 - SITE'!$B:BL,63,FALSE),"N/A")</f>
        <v>1</v>
      </c>
      <c r="FR10" s="86">
        <f>IFERROR(VLOOKUP($B10,'LOD 300 - SITE'!$B:BO,66,FALSE),"N/A")</f>
        <v>1</v>
      </c>
      <c r="FS10" s="86">
        <f>IFERROR(VLOOKUP($B10,'LOD 300 - SITE'!$B:BR,69,FALSE),"N/A")</f>
        <v>1</v>
      </c>
      <c r="FT10" s="86">
        <f>IFERROR(VLOOKUP($B10,'LOD 300 - SITE'!$B:BU,72,FALSE),"N/A")</f>
        <v>1</v>
      </c>
      <c r="FU10" s="86">
        <f>IFERROR(VLOOKUP($B10,'LOD 300 - SITE'!$B:BX,75,FALSE),"N/A")</f>
        <v>1</v>
      </c>
      <c r="FV10" s="86">
        <f>IFERROR(VLOOKUP($B10,'LOD 300 - SITE'!$B:CA,78,FALSE),"N/A")</f>
        <v>1</v>
      </c>
      <c r="FW10" s="87">
        <f>IFERROR(VLOOKUP($B10,'LOD 300 - SITE'!$B:CD,81,FALSE),"N/A")</f>
        <v>1</v>
      </c>
      <c r="FX10" s="108">
        <f>IFERROR(VLOOKUP($B10,'LOD 300 - SITE'!$B:CG,84,FALSE),"N/A")</f>
        <v>1</v>
      </c>
      <c r="FY10" s="108">
        <f>IFERROR(VLOOKUP($B10,'LOD 300 - SITE'!$B:CJ,87,FALSE),"N/A")</f>
        <v>1</v>
      </c>
      <c r="FZ10" s="108">
        <f>IFERROR(VLOOKUP($B10,'LOD 300 - SITE'!$B:CM,90,FALSE),"N/A")</f>
        <v>1</v>
      </c>
      <c r="GA10" s="108">
        <f>IFERROR(VLOOKUP($B10,'LOD 300 - SITE'!$B:CP,93,FALSE),"N/A")</f>
        <v>1</v>
      </c>
      <c r="GB10" s="108">
        <f>IFERROR(VLOOKUP($B10,'LOD 300 - SITE'!$B:CS,96,FALSE),"N/A")</f>
        <v>1</v>
      </c>
      <c r="GC10" s="109">
        <f>IFERROR(VLOOKUP($B10,'LOD 300 - SITE'!$B:CV,99,FALSE),"N/A")</f>
        <v>1</v>
      </c>
      <c r="GD10" s="87">
        <f>IFERROR(VLOOKUP($B10,'LOD 300 - SITE'!$B:CY,102,FALSE),"N/A")</f>
        <v>1</v>
      </c>
      <c r="GE10" s="87">
        <f>IFERROR(VLOOKUP($B10,'LOD 300 - SITE'!$B:DB,105,FALSE),"N/A")</f>
        <v>1</v>
      </c>
      <c r="GF10" s="87">
        <f>IFERROR(VLOOKUP($B10,'LOD 300 - SITE'!$B:DE,108,FALSE),"N/A")</f>
        <v>1</v>
      </c>
      <c r="GG10" s="87">
        <f>IFERROR(VLOOKUP($B10,'LOD 300 - SITE'!$B:DH,111,FALSE),"N/A")</f>
        <v>1</v>
      </c>
      <c r="GH10" s="87">
        <f>IFERROR(VLOOKUP($B10,'LOD 300 - SITE'!$B:DK,114,FALSE),"N/A")</f>
        <v>1</v>
      </c>
      <c r="GI10" s="87">
        <f>IFERROR(VLOOKUP($B10,'LOD 300 - SITE'!$B:DN,117,FALSE),"N/A")</f>
        <v>1</v>
      </c>
      <c r="GJ10" s="87">
        <f>IFERROR(VLOOKUP($B10,'LOD 300 - SITE'!$B:DQ,120,FALSE),"N/A")</f>
        <v>1</v>
      </c>
      <c r="GK10" s="87">
        <f>IFERROR(VLOOKUP($B10,'LOD 300 - SITE'!$B:DT,123,FALSE),"N/A")</f>
        <v>1</v>
      </c>
      <c r="GL10" s="87">
        <f>IFERROR(VLOOKUP($B10,'LOD 300 - SITE'!$B:DW,126,FALSE),"N/A")</f>
        <v>1</v>
      </c>
      <c r="GM10" s="110">
        <f>IFERROR(__xludf.DUMMYFUNCTION("IFERROR(
  MAX(FILTER(FB10:GL10, ISNUMBER(FB10:GL10))),
  GL10
)"),1.0)</f>
        <v>1</v>
      </c>
      <c r="GN10" s="135"/>
      <c r="GO10" s="135"/>
      <c r="GP10" s="135"/>
    </row>
    <row r="11" ht="15.0" customHeight="1" outlineLevel="1">
      <c r="A11" s="60">
        <v>13.0</v>
      </c>
      <c r="B11" s="140" t="s">
        <v>105</v>
      </c>
      <c r="C11" s="70" t="s">
        <v>106</v>
      </c>
      <c r="D11" s="71" t="s">
        <v>85</v>
      </c>
      <c r="E11" s="146" t="s">
        <v>107</v>
      </c>
      <c r="F11" s="13">
        <v>1105.0</v>
      </c>
      <c r="G11" s="147" t="s">
        <v>101</v>
      </c>
      <c r="H11" s="139">
        <v>1105.0</v>
      </c>
      <c r="I11" s="74" t="str">
        <f>IFERROR(VLOOKUP(C8:C150,'R22 RELATÓRIO ACC'!B:F,5,FALSE),"NOT PUBLISHED")</f>
        <v>V9</v>
      </c>
      <c r="J11" s="74" t="str">
        <f>IFERROR(VLOOKUP(C8:C150,'R22 RELATÓRIO ACC'!B:P,15,FALSE),"NOT PUBLISHED")</f>
        <v>27/03/2026</v>
      </c>
      <c r="K11" s="141" t="str">
        <f>IFERROR(VLOOKUP(B8:B199,'RELATÓRIO ACC'!B:F,5,FALSE),"NOT PUBLISHED")</f>
        <v>V2</v>
      </c>
      <c r="L11" s="142" t="str">
        <f>IFERROR(VLOOKUP(B8:B199,'RELATÓRIO ACC'!B:P,15,FALSE),"NOT PUBLISHED")</f>
        <v>26/06/2026</v>
      </c>
      <c r="M11" s="76" t="str">
        <f>IF(OR($D11="UTLS",$D11="GUAR",$D11="STIR",$D11="PUMP",$D11="SITE"),
   VLOOKUP($B11,'LOD 300 - SITE'!B:M,12,FALSE),
   VLOOKUP($B11,'LOD 300 - ADMN'!B:M,12,FALSE)
)</f>
        <v>V4</v>
      </c>
      <c r="N11" s="77" t="str">
        <f>IF(OR($D11="UTLS",$D11="GUAR",$D11="STIR",$D11="PUMP",$D11="SITE"),
   VLOOKUP($B11,'LOD 300 - SITE'!B:N,13,FALSE),
   VLOOKUP($B11,'LOD 300 - ADMN'!B:N,13,FALSE)
)</f>
        <v>05/11/2025</v>
      </c>
      <c r="O11" s="78" t="str">
        <f>IF(OR($D11="UTLS",$D11="GUAR",$D11="STIR",$D11="PUMP",$D11="SITE"),
   VLOOKUP($B11,'LOD 300 - SITE'!B:O,14,FALSE),
   VLOOKUP($B11,'LOD 300 - ADMN'!B:O,14,FALSE)
)</f>
        <v>R22</v>
      </c>
      <c r="P11" s="79" t="str">
        <f>IF(OR($D11="C345",$D11="C12A",$D11="DATA"),
   VLOOKUP($B11,'LOD 300 - COLO3'!B:M,12,FALSE),"N/A")</f>
        <v>V9</v>
      </c>
      <c r="Q11" s="80">
        <f>IF(OR($D11="C345",$D11="C12A",$D11="DATA"),
   VLOOKUP($B11,'LOD 300 - COLO3'!B:N,13,FALSE),"N/A")</f>
        <v>46108</v>
      </c>
      <c r="R11" s="76" t="str">
        <f>IF(OR($D11="C345",$D11="C12A",$D11="DATA"),
   VLOOKUP($B11,'LOD 300 - COLO3'!B:O,14,FALSE),"N/A")</f>
        <v>R22</v>
      </c>
      <c r="S11" s="79" t="str">
        <f>IF(OR($D11="C345",$D11="C12A",$D11="DATA"),
   VLOOKUP($B11,'LOD 300 - COLO4'!B:M,12,FALSE),"N/A")</f>
        <v>N/A</v>
      </c>
      <c r="T11" s="76" t="str">
        <f>IF(OR($D11="C345",$D11="C12A",$D11="DATA"),
   VLOOKUP($B11,'LOD 300 - COLO4'!B:T,13,FALSE),"N/A")</f>
        <v>N/A</v>
      </c>
      <c r="U11" s="81">
        <f>IF(OR($D11="C345",$D11="C12A",$D11="DATA"),
   VLOOKUP($B11,'LOD 300 - COLO4'!B:U,17,FALSE),"N/A")</f>
        <v>0</v>
      </c>
      <c r="V11" s="126" t="s">
        <v>102</v>
      </c>
      <c r="W11" s="144" t="str">
        <f>IFERROR(VLOOKUP($B11,'LOD 300 - ADMN'!$B:S,18,FALSE),"N/A")</f>
        <v>NOT PUBLISHED</v>
      </c>
      <c r="X11" s="122" t="str">
        <f>IFERROR(VLOOKUP($B11,'LOD 300 - ADMN'!$B:V,21,FALSE),"N/A")</f>
        <v>NOT PUBLISHED</v>
      </c>
      <c r="Y11" s="122">
        <f>IFERROR(VLOOKUP($B11,'LOD 300 - ADMN'!$B:Y,24,FALSE),"N/A")</f>
        <v>1</v>
      </c>
      <c r="Z11" s="122">
        <f>IFERROR(VLOOKUP($B11,'LOD 300 - ADMN'!$B:AB,27,FALSE),"N/A")</f>
        <v>1</v>
      </c>
      <c r="AA11" s="122">
        <f>IFERROR(VLOOKUP($B11,'LOD 300 - ADMN'!$B:AE,30,FALSE),"N/A")</f>
        <v>1</v>
      </c>
      <c r="AB11" s="145">
        <f>IFERROR(VLOOKUP($B11,'LOD 300 - ADMN'!$B:AH,33,FALSE),"N/A")</f>
        <v>1</v>
      </c>
      <c r="AC11" s="145">
        <f>IFERROR(VLOOKUP($B11,'LOD 300 - ADMN'!$B:AK,36,FALSE),"N/A")</f>
        <v>1</v>
      </c>
      <c r="AD11" s="122">
        <f>IFERROR(VLOOKUP($B11,'LOD 300 - ADMN'!$B:AN,39,FALSE),"N/A")</f>
        <v>1</v>
      </c>
      <c r="AE11" s="122">
        <f>IFERROR(VLOOKUP($B11,'LOD 300 - ADMN'!$B:AQ,42,FALSE),"N/A")</f>
        <v>1</v>
      </c>
      <c r="AF11" s="122">
        <f>IFERROR(VLOOKUP($B11,'LOD 300 - ADMN'!$B:AT,45,FALSE),"N/A")</f>
        <v>1</v>
      </c>
      <c r="AG11" s="122">
        <f>IFERROR(VLOOKUP($B11,'LOD 300 - ADMN'!$B:AW,48,FALSE),"N/A")</f>
        <v>1</v>
      </c>
      <c r="AH11" s="122">
        <f>IFERROR(VLOOKUP($B11,'LOD 300 - ADMN'!$B:AZ,51,FALSE),"N/A")</f>
        <v>1</v>
      </c>
      <c r="AI11" s="122">
        <f>IFERROR(VLOOKUP($B11,'LOD 300 - ADMN'!$B:BC,54,FALSE),"N/A")</f>
        <v>1</v>
      </c>
      <c r="AJ11" s="87">
        <f>IFERROR(VLOOKUP($B11,'LOD 300 - ADMN'!$B:BF,57,FALSE),"N/A")</f>
        <v>1</v>
      </c>
      <c r="AK11" s="87">
        <f>IFERROR(VLOOKUP($B11,'LOD 300 - ADMN'!$B:EP,60,FALSE),"N/A")</f>
        <v>1</v>
      </c>
      <c r="AL11" s="87">
        <f>IFERROR(VLOOKUP($B11,'LOD 300 - ADMN'!$B:EQ,63,FALSE),"N/A")</f>
        <v>1</v>
      </c>
      <c r="AM11" s="87">
        <f>IFERROR(VLOOKUP($B11,'LOD 300 - ADMN'!$B:BO,66,FALSE),"N/A")</f>
        <v>1</v>
      </c>
      <c r="AN11" s="87">
        <f>IFERROR(VLOOKUP($B11,'LOD 300 - ADMN'!$B:BR,69,FALSE),"N/A")</f>
        <v>1</v>
      </c>
      <c r="AO11" s="87">
        <f>IFERROR(VLOOKUP($B11,'LOD 300 - ADMN'!$B:BU,72,FALSE),"N/A")</f>
        <v>1</v>
      </c>
      <c r="AP11" s="87">
        <f>IFERROR(VLOOKUP($B11,'LOD 300 - ADMN'!$B:BX,75,FALSE),"N/A")</f>
        <v>1</v>
      </c>
      <c r="AQ11" s="87">
        <f>IFERROR(VLOOKUP($B11,'LOD 300 - ADMN'!$B:CA,78,FALSE),"N/A")</f>
        <v>1</v>
      </c>
      <c r="AR11" s="87">
        <f>IFERROR(VLOOKUP($B11,'LOD 300 - ADMN'!$B:CD,81,FALSE),"N/A")</f>
        <v>1</v>
      </c>
      <c r="AS11" s="87">
        <f>IFERROR(VLOOKUP($B11,'LOD 300 - ADMN'!$B:CG,84,FALSE),"N/A")</f>
        <v>1</v>
      </c>
      <c r="AT11" s="87">
        <f>IFERROR(VLOOKUP($B11,'LOD 300 - ADMN'!$B:CJ,87,FALSE),"N/A")</f>
        <v>1</v>
      </c>
      <c r="AU11" s="88">
        <f>IFERROR(VLOOKUP($B11,'LOD 300 - ADMN'!$B:CM,90,FALSE),"N/A")</f>
        <v>1</v>
      </c>
      <c r="AV11" s="88">
        <f>IFERROR(VLOOKUP($B11,'LOD 300 - ADMN'!$B:CP,93,FALSE),"N/A")</f>
        <v>1</v>
      </c>
      <c r="AW11" s="88">
        <f>IFERROR(VLOOKUP($B11,'LOD 300 - ADMN'!$B:CS,96,FALSE),"N/A")</f>
        <v>1</v>
      </c>
      <c r="AX11" s="88">
        <f>IFERROR(VLOOKUP($B11,'LOD 300 - ADMN'!$B:CV,99,FALSE),"N/A")</f>
        <v>1</v>
      </c>
      <c r="AY11" s="88">
        <f>IFERROR(VLOOKUP($B11,'LOD 300 - ADMN'!$B:CY,102,FALSE),"N/A")</f>
        <v>1</v>
      </c>
      <c r="AZ11" s="88">
        <f>IFERROR(VLOOKUP($B11,'LOD 300 - ADMN'!$B:DB,105,FALSE),"N/A")</f>
        <v>1</v>
      </c>
      <c r="BA11" s="87">
        <f>IFERROR(VLOOKUP($B11,'LOD 300 - ADMN'!$B:DE,108,FALSE),"N/A")</f>
        <v>1</v>
      </c>
      <c r="BB11" s="87">
        <f>IFERROR(VLOOKUP($B11,'LOD 300 - ADMN'!$B:DH,111,FALSE),"N/A")</f>
        <v>1</v>
      </c>
      <c r="BC11" s="87">
        <f>IFERROR(VLOOKUP($B11,'LOD 300 - ADMN'!$B:DK,114,FALSE),"N/A")</f>
        <v>1</v>
      </c>
      <c r="BD11" s="87">
        <f>IFERROR(VLOOKUP($B11,'LOD 300 - ADMN'!$B:DN,117,FALSE),"N/A")</f>
        <v>1</v>
      </c>
      <c r="BE11" s="87">
        <f>IFERROR(VLOOKUP($B11,'LOD 300 - ADMN'!$B:DQ,120,FALSE),"N/A")</f>
        <v>1</v>
      </c>
      <c r="BF11" s="87">
        <f>IFERROR(VLOOKUP($B11,'LOD 300 - ADMN'!$B:DT,123,FALSE),"N/A")</f>
        <v>1</v>
      </c>
      <c r="BG11" s="87">
        <f>IFERROR(VLOOKUP($B11,'LOD 300 - ADMN'!$B:DW,126,FALSE),"N/A")</f>
        <v>1</v>
      </c>
      <c r="BH11" s="87">
        <f>IFERROR(VLOOKUP($B11,'LOD 300 - ADMN'!$B:DZ,129,FALSE),"N/A")</f>
        <v>1</v>
      </c>
      <c r="BI11" s="87">
        <f>IFERROR(VLOOKUP($B11,'LOD 300 - ADMN'!$B:EC,132,FALSE),"N/A")</f>
        <v>1</v>
      </c>
      <c r="BJ11" s="90">
        <f>IFERROR(__xludf.DUMMYFUNCTION("IFERROR(
  MAX(FILTER(X11:BI11, ISNUMBER(X11:BI11))),
  BI11
)"),1.0)</f>
        <v>1</v>
      </c>
      <c r="BK11" s="91" t="str">
        <f>IFERROR(VLOOKUP($B11,'LOD 300 - COLO1'!$B:S,18,FALSE),"N/A")</f>
        <v>NOT PUBLISHED</v>
      </c>
      <c r="BL11" s="92" t="str">
        <f>IFERROR(VLOOKUP($B11,'LOD 300 - COLO1'!$B:V,21,FALSE),"N/A")</f>
        <v>NOT PUBLISHED</v>
      </c>
      <c r="BM11" s="92">
        <f>IFERROR(VLOOKUP($B11,'LOD 300 - COLO1'!$B:Y,24,FALSE),"N/A")</f>
        <v>1</v>
      </c>
      <c r="BN11" s="92">
        <f>IFERROR(VLOOKUP($B11,'LOD 300 - COLO1'!$B:AB,27,FALSE),"N/A")</f>
        <v>1</v>
      </c>
      <c r="BO11" s="92">
        <f>IFERROR(VLOOKUP($B11,'LOD 300 - COLO1'!$B:AE,30,FALSE),"N/A")</f>
        <v>1</v>
      </c>
      <c r="BP11" s="92">
        <f>IFERROR(VLOOKUP($B11,'LOD 300 - COLO1'!$B:AH,33,FALSE),"N/A")</f>
        <v>1</v>
      </c>
      <c r="BQ11" s="92">
        <f>IFERROR(VLOOKUP($B11,'LOD 300 - COLO1'!$B:AK,36,FALSE),"N/A")</f>
        <v>1</v>
      </c>
      <c r="BR11" s="92">
        <f>IFERROR(VLOOKUP($B11,'LOD 300 - COLO1'!$B:AN,39,FALSE),"N/A")</f>
        <v>1</v>
      </c>
      <c r="BS11" s="92">
        <f>IFERROR(VLOOKUP($B11,'LOD 300 - COLO1'!$B:AQ,42,FALSE),"N/A")</f>
        <v>1</v>
      </c>
      <c r="BT11" s="92">
        <f>IFERROR(VLOOKUP($B11,'LOD 300 - COLO1'!$B:AT,45,FALSE),"N/A")</f>
        <v>1</v>
      </c>
      <c r="BU11" s="92">
        <f>IFERROR(VLOOKUP($B11,'LOD 300 - COLO1'!$B:AW,48,FALSE),"N/A")</f>
        <v>1</v>
      </c>
      <c r="BV11" s="92">
        <f>IFERROR(VLOOKUP($B11,'LOD 300 - COLO1'!$B:AZ,51,FALSE),"N/A")</f>
        <v>1</v>
      </c>
      <c r="BW11" s="92">
        <f>IFERROR(VLOOKUP($B11,'LOD 300 - COLO1'!$B:BC,54,FALSE),"N/A")</f>
        <v>1</v>
      </c>
      <c r="BX11" s="94">
        <f>IFERROR(VLOOKUP($B11,'LOD 300 - COLO1'!$B:BF,57,FALSE),"N/A")</f>
        <v>1</v>
      </c>
      <c r="BY11" s="94">
        <f>IFERROR(VLOOKUP($B11,'LOD 300 - COLO1'!$B:BI,60,FALSE),"N/A")</f>
        <v>1</v>
      </c>
      <c r="BZ11" s="95">
        <f>IFERROR(VLOOKUP($B11,'LOD 300 - COLO1'!$B:BL,63,FALSE),"N/A")</f>
        <v>1</v>
      </c>
      <c r="CA11" s="86">
        <f>IFERROR(VLOOKUP($B11,'LOD 300 - COLO1'!$B:BO,66,FALSE),"N/A")</f>
        <v>1</v>
      </c>
      <c r="CB11" s="86">
        <f>IFERROR(VLOOKUP($B11,'LOD 300 - COLO1'!$B:BR,69,FALSE),"N/A")</f>
        <v>1</v>
      </c>
      <c r="CC11" s="86">
        <f>IFERROR(VLOOKUP($B11,'LOD 300 - COLO1'!$B:BU,72,FALSE),"N/A")</f>
        <v>1</v>
      </c>
      <c r="CD11" s="86">
        <f>IFERROR(VLOOKUP($B11,'LOD 300 - COLO1'!$B:BX,75,FALSE),"N/A")</f>
        <v>1</v>
      </c>
      <c r="CE11" s="86">
        <f>IFERROR(VLOOKUP($B11,'LOD 300 - COLO1'!$B:CA,78,FALSE),"N/A")</f>
        <v>1</v>
      </c>
      <c r="CF11" s="87">
        <f>IFERROR(VLOOKUP($B11,'LOD 300 - COLO1'!$B:CD,81,FALSE),"N/A")</f>
        <v>1</v>
      </c>
      <c r="CG11" s="86">
        <f>IFERROR(VLOOKUP($B11,'LOD 300 - COLO1'!$B:CG,84,FALSE),"N/A")</f>
        <v>1</v>
      </c>
      <c r="CH11" s="87">
        <f>IFERROR(VLOOKUP($B11,'LOD 300 - COLO1'!$B:CJ,87,FALSE),"N/A")</f>
        <v>1</v>
      </c>
      <c r="CI11" s="88">
        <f>IFERROR(VLOOKUP($B11,'LOD 300 - COLO1'!$B:CM,90,FALSE),"N/A")</f>
        <v>1</v>
      </c>
      <c r="CJ11" s="88">
        <f>IFERROR(VLOOKUP($B11,'LOD 300 - COLO1'!$B:CP,93,FALSE),"N/A")</f>
        <v>1</v>
      </c>
      <c r="CK11" s="88">
        <f>IFERROR(VLOOKUP($B11,'LOD 300 - COLO1'!$B:CS,96,FALSE),"N/A")</f>
        <v>1</v>
      </c>
      <c r="CL11" s="88">
        <f>IFERROR(VLOOKUP($B11,'LOD 300 - COLO1'!$B:CV,99,FALSE),"N/A")</f>
        <v>1</v>
      </c>
      <c r="CM11" s="88">
        <f>IFERROR(VLOOKUP($B11,'LOD 300 - COLO1'!$B:CY,102,FALSE),"N/A")</f>
        <v>1</v>
      </c>
      <c r="CN11" s="89">
        <f>IFERROR(VLOOKUP($B11,'LOD 300 - COLO1'!$B:DB,105,FALSE),"N/A")</f>
        <v>1</v>
      </c>
      <c r="CO11" s="87">
        <f>IFERROR(VLOOKUP($B11,'LOD 300 - COLO1'!$B:EE,108,FALSE),"N/A")</f>
        <v>1</v>
      </c>
      <c r="CP11" s="87">
        <f>IFERROR(VLOOKUP($B11,'LOD 300 - COLO1'!$B:EH,111,FALSE),"N/A")</f>
        <v>1</v>
      </c>
      <c r="CQ11" s="87">
        <f>IFERROR(VLOOKUP($B11,'LOD 300 - COLO1'!$B:EK,114,FALSE),"N/A")</f>
        <v>1</v>
      </c>
      <c r="CR11" s="87">
        <f>IFERROR(VLOOKUP($B11,'LOD 300 - COLO1'!$B:EN,117,FALSE),"N/A")</f>
        <v>1</v>
      </c>
      <c r="CS11" s="87">
        <f>IFERROR(VLOOKUP($B11,'LOD 300 - COLO1'!$B:EQ,120,FALSE),"N/A")</f>
        <v>1</v>
      </c>
      <c r="CT11" s="87">
        <f>IFERROR(VLOOKUP($B11,'LOD 300 - COLO1'!$B:ET,123,FALSE),"N/A")</f>
        <v>1</v>
      </c>
      <c r="CU11" s="87">
        <f>IFERROR(VLOOKUP($B11,'LOD 300 - COLO1'!$B:EW,126,FALSE),"N/A")</f>
        <v>1</v>
      </c>
      <c r="CV11" s="87">
        <f>IFERROR(VLOOKUP($B11,'LOD 300 - COLO1'!$B:EZ,129,FALSE),"N/A")</f>
        <v>1</v>
      </c>
      <c r="CW11" s="87">
        <f>IFERROR(VLOOKUP($B11,'LOD 300 - COLO1'!$B:FC,132,FALSE),"N/A")</f>
        <v>1</v>
      </c>
      <c r="CX11" s="96">
        <f>IFERROR(__xludf.DUMMYFUNCTION("IFERROR(
  MAX(FILTER(BK11:CW11, ISNUMBER(BK11:CW11))),
  CW11
)"),1.0)</f>
        <v>1</v>
      </c>
      <c r="CY11" s="104">
        <f>IFERROR(VLOOKUP($B11,'LOD 300 - COLO2'!$B:S,18,FALSE),"N/A")</f>
        <v>0.79</v>
      </c>
      <c r="CZ11" s="117" t="str">
        <f>IFERROR(VLOOKUP($B11,'LOD 300 - COLO2'!$B:V,21,FALSE),"N/A")</f>
        <v>OUTDATED MODEL</v>
      </c>
      <c r="DA11" s="117" t="str">
        <f>IFERROR(VLOOKUP($B11,'LOD 300 - COLO2'!$B:Y,24,FALSE),"N/A")</f>
        <v>OUTDATED MODEL</v>
      </c>
      <c r="DB11" s="117" t="str">
        <f>IFERROR(VLOOKUP($B11,'LOD 300 - COLO2'!$B:AB,27,FALSE),"N/A")</f>
        <v>OUTDATED MODEL</v>
      </c>
      <c r="DC11" s="92" t="str">
        <f>IFERROR(VLOOKUP($B11,'LOD 300 - COLO2'!$B:AE,30,FALSE),"N/A")</f>
        <v>OUTDATED MODEL</v>
      </c>
      <c r="DD11" s="120" t="str">
        <f>IFERROR(VLOOKUP($B11,'LOD 300 - COLO2'!$B:AH,33,FALSE),"N/A")</f>
        <v>NEXT ROUND</v>
      </c>
      <c r="DE11" s="117">
        <f>IFERROR(VLOOKUP($B11,'LOD 300 - COLO2'!$B:AK,36,FALSE),"N/A")</f>
        <v>1</v>
      </c>
      <c r="DF11" s="117">
        <f>IFERROR(VLOOKUP($B11,'LOD 300 - COLO2'!$B:AN,39,FALSE),"N/A")</f>
        <v>1</v>
      </c>
      <c r="DG11" s="119">
        <f>IFERROR(VLOOKUP($B11,'LOD 300 - COLO2'!$B:AQ,42,FALSE),"N/A")</f>
        <v>1</v>
      </c>
      <c r="DH11" s="87">
        <f>IFERROR(VLOOKUP($B11,'LOD 300 - COLO2'!$B:AT,45,FALSE),"N/A")</f>
        <v>1</v>
      </c>
      <c r="DI11" s="94">
        <f>IFERROR(VLOOKUP($B11,'LOD 300 - COLO2'!$B:AW,48,FALSE),"N/A")</f>
        <v>1</v>
      </c>
      <c r="DJ11" s="95">
        <f>IFERROR(VLOOKUP($B11,'LOD 300 - COLO2'!$B:AZ,51,FALSE),"N/A")</f>
        <v>1</v>
      </c>
      <c r="DK11" s="86">
        <f>IFERROR(VLOOKUP($B11,'LOD 300 - COLO2'!$B:BC,54,FALSE),"N/A")</f>
        <v>1</v>
      </c>
      <c r="DL11" s="86">
        <f>IFERROR(VLOOKUP($B11,'LOD 300 - COLO2'!$B:BF,57,FALSE),"N/A")</f>
        <v>1</v>
      </c>
      <c r="DM11" s="86">
        <f>IFERROR(VLOOKUP($B11,'LOD 300 - COLO2'!$B:BI,60,FALSE),"N/A")</f>
        <v>1</v>
      </c>
      <c r="DN11" s="86">
        <f>IFERROR(VLOOKUP($B11,'LOD 300 - COLO2'!$B:BL,63,FALSE),"N/A")</f>
        <v>1</v>
      </c>
      <c r="DO11" s="86">
        <f>IFERROR(VLOOKUP($B11,'LOD 300 - COLO2'!$B:BO,66,FALSE),"N/A")</f>
        <v>1</v>
      </c>
      <c r="DP11" s="87">
        <f>IFERROR(VLOOKUP($B11,'LOD 300 - COLO2'!$B:BR,69,FALSE),"N/A")</f>
        <v>1</v>
      </c>
      <c r="DQ11" s="87">
        <f>IFERROR(VLOOKUP($B11,'LOD 300 - COLO2'!$B:BU,72,FALSE),"N/A")</f>
        <v>1</v>
      </c>
      <c r="DR11" s="87">
        <f>IFERROR(VLOOKUP($B11,'LOD 300 - COLO2'!$B:BX,75,FALSE),"N/A")</f>
        <v>1</v>
      </c>
      <c r="DS11" s="98">
        <f>IFERROR(VLOOKUP($B11,'LOD 300 - COLO2'!$B:CA,78,FALSE),"N/A")</f>
        <v>1</v>
      </c>
      <c r="DT11" s="98">
        <f>IFERROR(VLOOKUP($B11,'LOD 300 - COLO2'!$B:CD,81,FALSE),"N/A")</f>
        <v>1</v>
      </c>
      <c r="DU11" s="98">
        <f>IFERROR(VLOOKUP($B11,'LOD 300 - COLO2'!$B:CG,84,FALSE),"N/A")</f>
        <v>1</v>
      </c>
      <c r="DV11" s="98">
        <f>IFERROR(VLOOKUP($B11,'LOD 300 - COLO2'!$B:CJ,87,FALSE),"N/A")</f>
        <v>1</v>
      </c>
      <c r="DW11" s="98">
        <f>IFERROR(VLOOKUP($B11,'LOD 300 - COLO2'!$B:CM,90,FALSE),"N/A")</f>
        <v>1</v>
      </c>
      <c r="DX11" s="98">
        <f>IFERROR(VLOOKUP($B11,'LOD 300 - COLO2'!$B:CP,93,FALSE),"N/A")</f>
        <v>1</v>
      </c>
      <c r="DY11" s="87">
        <f>IFERROR(VLOOKUP($B11,'LOD 300 - COLO2'!$B:CS,96,FALSE),"N/A")</f>
        <v>1</v>
      </c>
      <c r="DZ11" s="87">
        <f>IFERROR(VLOOKUP($B11,'LOD 300 - COLO2'!$B:CV,99,FALSE),"N/A")</f>
        <v>1</v>
      </c>
      <c r="EA11" s="87">
        <f>IFERROR(VLOOKUP($B11,'LOD 300 - COLO2'!$B:DB,105,FALSE),"N/A")</f>
        <v>1</v>
      </c>
      <c r="EB11" s="87">
        <f>IFERROR(VLOOKUP($B11,'LOD 300 - COLO2'!$B:DB,105,FALSE),"N/A")</f>
        <v>1</v>
      </c>
      <c r="EC11" s="87">
        <f>IFERROR(VLOOKUP($B11,'LOD 300 - COLO2'!$B:DE,108,FALSE),"N/A")</f>
        <v>1</v>
      </c>
      <c r="ED11" s="87">
        <f>IFERROR(VLOOKUP($B11,'LOD 300 - COLO2'!$B:DH,111,FALSE),"N/A")</f>
        <v>1</v>
      </c>
      <c r="EE11" s="87">
        <f>IFERROR(VLOOKUP($B11,'LOD 300 - COLO2'!$B:DK,114,FALSE),"N/A")</f>
        <v>1</v>
      </c>
      <c r="EF11" s="87">
        <f>IFERROR(VLOOKUP($B11,'LOD 300 - COLO2'!$B:DN,117,FALSE),"N/A")</f>
        <v>1</v>
      </c>
      <c r="EG11" s="87">
        <f>IFERROR(VLOOKUP($B11,'LOD 300 - COLO2'!$B:DQ,120,FALSE),"N/A")</f>
        <v>1</v>
      </c>
      <c r="EH11" s="99">
        <f>IFERROR(__xludf.DUMMYFUNCTION("IFERROR(
  MAX(FILTER(CZ11:EG11, ISNUMBER(CZ11:EG11))),
  EG11
)"),1.0)</f>
        <v>1</v>
      </c>
      <c r="EI11" s="100">
        <f>IFERROR(VLOOKUP($B11,'LOD 300 - COLO3'!$B:R,17,FALSE),"N/A")</f>
        <v>0</v>
      </c>
      <c r="EJ11" s="127">
        <f>IFERROR(VLOOKUP($B11,'LOD 300 - COLO3'!$B:U,20,FALSE),"N/A")</f>
        <v>1</v>
      </c>
      <c r="EK11" s="127">
        <f>IFERROR(VLOOKUP($B11,'LOD 300 - COLO3'!$B:X,23,FALSE),"N/A")</f>
        <v>1</v>
      </c>
      <c r="EL11" s="127">
        <f>IFERROR(VLOOKUP($B11,'LOD 300 - COLO3'!$B:AA,26,FALSE),"N/A")</f>
        <v>1</v>
      </c>
      <c r="EM11" s="127">
        <f>IFERROR(VLOOKUP($B11,'LOD 300 - COLO3'!$B:AD,29,FALSE),"N/A")</f>
        <v>1</v>
      </c>
      <c r="EN11" s="127">
        <f>IFERROR(VLOOKUP($B11,'LOD 300 - COLO3'!$B:AG,32,FALSE),"N/A")</f>
        <v>1</v>
      </c>
      <c r="EO11" s="127">
        <f>IFERROR(VLOOKUP($B11,'LOD 300 - COLO3'!$B:AJ,35,FALSE),"N/A")</f>
        <v>1</v>
      </c>
      <c r="EP11" s="100">
        <f>IFERROR(VLOOKUP($B11,'LOD 300 - COLO3'!$B:AM,38,FALSE),"N/A")</f>
        <v>1</v>
      </c>
      <c r="EQ11" s="100">
        <f>IFERROR(VLOOKUP($B11,'LOD 300 - COLO3'!$B:AP,41,FALSE),"N/A")</f>
        <v>1</v>
      </c>
      <c r="ER11" s="100">
        <f>IFERROR(VLOOKUP($B11,'LOD 300 - COLO3'!$B:AS,44,FALSE),"N/A")</f>
        <v>1</v>
      </c>
      <c r="ES11" s="100">
        <f>IFERROR(VLOOKUP($B11,'LOD 300 - COLO3'!$B:AV,47,FALSE),"N/A")</f>
        <v>1</v>
      </c>
      <c r="ET11" s="100">
        <f>IFERROR(VLOOKUP($B11,'LOD 300 - COLO3'!$B:AY,50,FALSE),"N/A")</f>
        <v>1</v>
      </c>
      <c r="EU11" s="100">
        <f>IFERROR(VLOOKUP($B11,'LOD 300 - COLO3'!$B:BB,53,FALSE),"N/A")</f>
        <v>1</v>
      </c>
      <c r="EV11" s="100">
        <f>IFERROR(VLOOKUP($B11,'LOD 300 - COLO3'!$B:BE,56,FALSE),"N/A")</f>
        <v>1</v>
      </c>
      <c r="EW11" s="100">
        <f>IFERROR(VLOOKUP($B11,'LOD 300 - COLO3'!$B:BL,59,FALSE),"N/A")</f>
        <v>1</v>
      </c>
      <c r="EX11" s="100">
        <f>IFERROR(VLOOKUP($B11,'LOD 300 - COLO3'!$B:BO,62,FALSE),"N/A")</f>
        <v>1</v>
      </c>
      <c r="EY11" s="103">
        <f>IFERROR(__xludf.DUMMYFUNCTION("IFERROR(
  MAX(FILTER(EI11:EX11, ISNUMBER(EI11:EX11))),
  EX11
)"),1.0)</f>
        <v>1</v>
      </c>
      <c r="EZ11" s="104">
        <f>IFERROR(VLOOKUP($B11,'LOD 300 - COLO4'!$B:BT,17,FALSE),"N/A")</f>
        <v>0</v>
      </c>
      <c r="FA11" s="103">
        <f>IFERROR(__xludf.DUMMYFUNCTION("IFERROR(
  MAX(FILTER(EZ11, ISNUMBER(EZ11))),
  EZ11
)"),0.0)</f>
        <v>0</v>
      </c>
      <c r="FB11" s="121" t="str">
        <f>IFERROR(VLOOKUP($B11,'LOD 300 - SITE'!$B:S,18,FALSE),"N/A")</f>
        <v>N/A</v>
      </c>
      <c r="FC11" s="122" t="str">
        <f>IFERROR(VLOOKUP($B11,'LOD 300 - SITE'!$B:V,21,FALSE),"N/A")</f>
        <v>N/A</v>
      </c>
      <c r="FD11" s="122" t="str">
        <f>IFERROR(VLOOKUP($B11,'LOD 300 - SITE'!$B:Y,24,FALSE),"N/A")</f>
        <v>N/A</v>
      </c>
      <c r="FE11" s="122" t="str">
        <f>IFERROR(VLOOKUP($B11,'LOD 300 - SITE'!$B:AB,27,FALSE),"N/A")</f>
        <v>N/A</v>
      </c>
      <c r="FF11" s="122" t="str">
        <f>IFERROR(VLOOKUP($B11,'LOD 300 - SITE'!$B:AE,30,FALSE),"N/A")</f>
        <v>N/A</v>
      </c>
      <c r="FG11" s="122" t="str">
        <f>IFERROR(VLOOKUP($B11,'LOD 300 - SITE'!$B:AH,33,FALSE),"N/A")</f>
        <v>N/A</v>
      </c>
      <c r="FH11" s="122" t="str">
        <f>IFERROR(VLOOKUP($B11,'LOD 300 - SITE'!$B:AK,36,FALSE),"N/A")</f>
        <v>N/A</v>
      </c>
      <c r="FI11" s="122" t="str">
        <f>IFERROR(VLOOKUP($B11,'LOD 300 - SITE'!$B:AN,39,FALSE),"N/A")</f>
        <v>N/A</v>
      </c>
      <c r="FJ11" s="122" t="str">
        <f>IFERROR(VLOOKUP($B11,'LOD 300 - SITE'!$B:AQ,42,FALSE),"N/A")</f>
        <v>N/A</v>
      </c>
      <c r="FK11" s="122" t="str">
        <f>IFERROR(VLOOKUP($B11,'LOD 300 - SITE'!$B:AT,45,FALSE),"N/A")</f>
        <v>N/A</v>
      </c>
      <c r="FL11" s="123" t="str">
        <f>IFERROR(VLOOKUP($B11,'LOD 300 - SITE'!$B:AW,48,FALSE),"N/A")</f>
        <v>N/A</v>
      </c>
      <c r="FM11" s="87" t="str">
        <f>IFERROR(VLOOKUP($B11,'LOD 300 - SITE'!$B:AZ,51,FALSE),"N/A")</f>
        <v>N/A</v>
      </c>
      <c r="FN11" s="94" t="str">
        <f>IFERROR(VLOOKUP($B11,'LOD 300 - SITE'!$B:BC,54,FALSE),"N/A")</f>
        <v>N/A</v>
      </c>
      <c r="FO11" s="95" t="str">
        <f>IFERROR(VLOOKUP($B11,'LOD 300 - SITE'!$B:BF,57,FALSE),"N/A")</f>
        <v>N/A</v>
      </c>
      <c r="FP11" s="86" t="str">
        <f>IFERROR(VLOOKUP($B11,'LOD 300 - SITE'!$B:BI,60,FALSE),"N/A")</f>
        <v>N/A</v>
      </c>
      <c r="FQ11" s="86" t="str">
        <f>IFERROR(VLOOKUP($B11,'LOD 300 - SITE'!$B:BL,63,FALSE),"N/A")</f>
        <v>N/A</v>
      </c>
      <c r="FR11" s="86" t="str">
        <f>IFERROR(VLOOKUP($B11,'LOD 300 - SITE'!$B:BO,66,FALSE),"N/A")</f>
        <v>N/A</v>
      </c>
      <c r="FS11" s="86" t="str">
        <f>IFERROR(VLOOKUP($B11,'LOD 300 - SITE'!$B:BR,69,FALSE),"N/A")</f>
        <v>N/A</v>
      </c>
      <c r="FT11" s="86" t="str">
        <f>IFERROR(VLOOKUP($B11,'LOD 300 - SITE'!$B:BU,72,FALSE),"N/A")</f>
        <v>N/A</v>
      </c>
      <c r="FU11" s="86" t="str">
        <f>IFERROR(VLOOKUP($B11,'LOD 300 - SITE'!$B:BX,75,FALSE),"N/A")</f>
        <v>N/A</v>
      </c>
      <c r="FV11" s="86" t="str">
        <f>IFERROR(VLOOKUP($B11,'LOD 300 - SITE'!$B:CA,78,FALSE),"N/A")</f>
        <v>N/A</v>
      </c>
      <c r="FW11" s="87" t="str">
        <f>IFERROR(VLOOKUP($B11,'LOD 300 - SITE'!$B:CD,81,FALSE),"N/A")</f>
        <v>N/A</v>
      </c>
      <c r="FX11" s="108" t="str">
        <f>IFERROR(VLOOKUP($B11,'LOD 300 - SITE'!$B:CG,84,FALSE),"N/A")</f>
        <v>N/A</v>
      </c>
      <c r="FY11" s="108" t="str">
        <f>IFERROR(VLOOKUP($B11,'LOD 300 - SITE'!$B:CJ,87,FALSE),"N/A")</f>
        <v>N/A</v>
      </c>
      <c r="FZ11" s="108" t="str">
        <f>IFERROR(VLOOKUP($B11,'LOD 300 - SITE'!$B:CM,90,FALSE),"N/A")</f>
        <v>N/A</v>
      </c>
      <c r="GA11" s="108" t="str">
        <f>IFERROR(VLOOKUP($B11,'LOD 300 - SITE'!$B:CP,93,FALSE),"N/A")</f>
        <v>N/A</v>
      </c>
      <c r="GB11" s="108" t="str">
        <f>IFERROR(VLOOKUP($B11,'LOD 300 - SITE'!$B:CS,96,FALSE),"N/A")</f>
        <v>N/A</v>
      </c>
      <c r="GC11" s="109" t="str">
        <f>IFERROR(VLOOKUP($B11,'LOD 300 - SITE'!$B:CV,99,FALSE),"N/A")</f>
        <v>N/A</v>
      </c>
      <c r="GD11" s="87" t="str">
        <f>IFERROR(VLOOKUP($B11,'LOD 300 - SITE'!$B:CY,102,FALSE),"N/A")</f>
        <v>N/A</v>
      </c>
      <c r="GE11" s="87" t="str">
        <f>IFERROR(VLOOKUP($B11,'LOD 300 - SITE'!$B:DB,105,FALSE),"N/A")</f>
        <v>N/A</v>
      </c>
      <c r="GF11" s="87" t="str">
        <f>IFERROR(VLOOKUP($B11,'LOD 300 - SITE'!$B:DE,108,FALSE),"N/A")</f>
        <v>N/A</v>
      </c>
      <c r="GG11" s="87" t="str">
        <f>IFERROR(VLOOKUP($B11,'LOD 300 - SITE'!$B:DH,111,FALSE),"N/A")</f>
        <v>N/A</v>
      </c>
      <c r="GH11" s="87" t="str">
        <f>IFERROR(VLOOKUP($B11,'LOD 300 - SITE'!$B:DK,114,FALSE),"N/A")</f>
        <v>N/A</v>
      </c>
      <c r="GI11" s="87" t="str">
        <f>IFERROR(VLOOKUP($B11,'LOD 300 - SITE'!$B:DN,117,FALSE),"N/A")</f>
        <v>N/A</v>
      </c>
      <c r="GJ11" s="87" t="str">
        <f>IFERROR(VLOOKUP($B11,'LOD 300 - SITE'!$B:DQ,120,FALSE),"N/A")</f>
        <v>N/A</v>
      </c>
      <c r="GK11" s="87" t="str">
        <f>IFERROR(VLOOKUP($B11,'LOD 300 - SITE'!$B:DT,123,FALSE),"N/A")</f>
        <v>N/A</v>
      </c>
      <c r="GL11" s="87" t="str">
        <f>IFERROR(VLOOKUP($B11,'LOD 300 - SITE'!$B:DW,126,FALSE),"N/A")</f>
        <v>N/A</v>
      </c>
      <c r="GM11" s="110" t="str">
        <f>IFERROR(__xludf.DUMMYFUNCTION("IFERROR(
  MAX(FILTER(FB11:GL11, ISNUMBER(FB11:GL11))),
  GL11
)"),"N/A")</f>
        <v>N/A</v>
      </c>
      <c r="GN11" s="111"/>
      <c r="GO11" s="111"/>
      <c r="GP11" s="111"/>
    </row>
    <row r="12" ht="15.0" customHeight="1" outlineLevel="1">
      <c r="A12" s="60">
        <v>14.0</v>
      </c>
      <c r="B12" s="140" t="s">
        <v>108</v>
      </c>
      <c r="C12" s="70" t="s">
        <v>109</v>
      </c>
      <c r="D12" s="71" t="s">
        <v>85</v>
      </c>
      <c r="E12" s="138" t="s">
        <v>100</v>
      </c>
      <c r="F12" s="13">
        <v>1104.0</v>
      </c>
      <c r="G12" s="139" t="s">
        <v>101</v>
      </c>
      <c r="H12" s="139">
        <v>1127.0</v>
      </c>
      <c r="I12" s="74" t="str">
        <f>IFERROR(VLOOKUP(C9:C151,'R22 RELATÓRIO ACC'!B:F,5,FALSE),"NOT PUBLISHED")</f>
        <v>V13</v>
      </c>
      <c r="J12" s="74" t="str">
        <f>IFERROR(VLOOKUP(C9:C151,'R22 RELATÓRIO ACC'!B:P,15,FALSE),"NOT PUBLISHED")</f>
        <v>02/03/2026</v>
      </c>
      <c r="K12" s="141" t="str">
        <f>IFERROR(VLOOKUP(B9:B200,'RELATÓRIO ACC'!B:F,5,FALSE),"NOT PUBLISHED")</f>
        <v>V3</v>
      </c>
      <c r="L12" s="142" t="str">
        <f>IFERROR(VLOOKUP(B9:B200,'RELATÓRIO ACC'!B:P,15,FALSE),"NOT PUBLISHED")</f>
        <v>24/06/2026</v>
      </c>
      <c r="M12" s="76" t="str">
        <f>IF(OR($D12="UTLS",$D12="GUAR",$D12="STIR",$D12="PUMP",$D12="SITE"),
   VLOOKUP($B12,'LOD 300 - SITE'!B:M,12,FALSE),
   VLOOKUP($B12,'LOD 300 - ADMN'!B:M,12,FALSE)
)</f>
        <v>V10</v>
      </c>
      <c r="N12" s="77" t="str">
        <f>IF(OR($D12="UTLS",$D12="GUAR",$D12="STIR",$D12="PUMP",$D12="SITE"),
   VLOOKUP($B12,'LOD 300 - SITE'!B:N,13,FALSE),
   VLOOKUP($B12,'LOD 300 - ADMN'!B:N,13,FALSE)
)</f>
        <v>05/11/2025</v>
      </c>
      <c r="O12" s="78" t="str">
        <f>IF(OR($D12="UTLS",$D12="GUAR",$D12="STIR",$D12="PUMP",$D12="SITE"),
   VLOOKUP($B12,'LOD 300 - SITE'!B:O,14,FALSE),
   VLOOKUP($B12,'LOD 300 - ADMN'!B:O,14,FALSE)
)</f>
        <v>R22</v>
      </c>
      <c r="P12" s="79" t="str">
        <f>IF(OR($D12="C345",$D12="C12A",$D12="DATA"),
   VLOOKUP($B12,'LOD 300 - COLO3'!B:M,12,FALSE),"N/A")</f>
        <v>V13</v>
      </c>
      <c r="Q12" s="80">
        <f>IF(OR($D12="C345",$D12="C12A",$D12="DATA"),
   VLOOKUP($B12,'LOD 300 - COLO3'!B:N,13,FALSE),"N/A")</f>
        <v>46083</v>
      </c>
      <c r="R12" s="76" t="str">
        <f>IF(OR($D12="C345",$D12="C12A",$D12="DATA"),
   VLOOKUP($B12,'LOD 300 - COLO3'!B:O,14,FALSE),"N/A")</f>
        <v>R22</v>
      </c>
      <c r="S12" s="79" t="str">
        <f>IF(OR($D12="C345",$D12="C12A",$D12="DATA"),
   VLOOKUP($B12,'LOD 300 - COLO4'!B:M,12,FALSE),"N/A")</f>
        <v>N/A</v>
      </c>
      <c r="T12" s="76" t="str">
        <f>IF(OR($D12="C345",$D12="C12A",$D12="DATA"),
   VLOOKUP($B12,'LOD 300 - COLO4'!B:T,13,FALSE),"N/A")</f>
        <v>N/A</v>
      </c>
      <c r="U12" s="81">
        <f>IF(OR($D12="C345",$D12="C12A",$D12="DATA"),
   VLOOKUP($B12,'LOD 300 - COLO4'!B:U,17,FALSE),"N/A")</f>
        <v>0</v>
      </c>
      <c r="V12" s="126" t="s">
        <v>102</v>
      </c>
      <c r="W12" s="144">
        <f>IFERROR(VLOOKUP($B12,'LOD 300 - ADMN'!$B:S,18,FALSE),"N/A")</f>
        <v>0.78</v>
      </c>
      <c r="X12" s="122">
        <f>IFERROR(VLOOKUP($B12,'LOD 300 - ADMN'!$B:V,21,FALSE),"N/A")</f>
        <v>1</v>
      </c>
      <c r="Y12" s="122">
        <f>IFERROR(VLOOKUP($B12,'LOD 300 - ADMN'!$B:Y,24,FALSE),"N/A")</f>
        <v>1</v>
      </c>
      <c r="Z12" s="122">
        <f>IFERROR(VLOOKUP($B12,'LOD 300 - ADMN'!$B:AB,27,FALSE),"N/A")</f>
        <v>1</v>
      </c>
      <c r="AA12" s="122">
        <f>IFERROR(VLOOKUP($B12,'LOD 300 - ADMN'!$B:AE,30,FALSE),"N/A")</f>
        <v>1</v>
      </c>
      <c r="AB12" s="145">
        <f>IFERROR(VLOOKUP($B12,'LOD 300 - ADMN'!$B:AH,33,FALSE),"N/A")</f>
        <v>1</v>
      </c>
      <c r="AC12" s="145">
        <f>IFERROR(VLOOKUP($B12,'LOD 300 - ADMN'!$B:AK,36,FALSE),"N/A")</f>
        <v>1</v>
      </c>
      <c r="AD12" s="122">
        <f>IFERROR(VLOOKUP($B12,'LOD 300 - ADMN'!$B:AN,39,FALSE),"N/A")</f>
        <v>1</v>
      </c>
      <c r="AE12" s="122">
        <f>IFERROR(VLOOKUP($B12,'LOD 300 - ADMN'!$B:AQ,42,FALSE),"N/A")</f>
        <v>1</v>
      </c>
      <c r="AF12" s="122">
        <f>IFERROR(VLOOKUP($B12,'LOD 300 - ADMN'!$B:AT,45,FALSE),"N/A")</f>
        <v>1</v>
      </c>
      <c r="AG12" s="122">
        <f>IFERROR(VLOOKUP($B12,'LOD 300 - ADMN'!$B:AW,48,FALSE),"N/A")</f>
        <v>1</v>
      </c>
      <c r="AH12" s="122">
        <f>IFERROR(VLOOKUP($B12,'LOD 300 - ADMN'!$B:AZ,51,FALSE),"N/A")</f>
        <v>1</v>
      </c>
      <c r="AI12" s="122">
        <f>IFERROR(VLOOKUP($B12,'LOD 300 - ADMN'!$B:BC,54,FALSE),"N/A")</f>
        <v>1</v>
      </c>
      <c r="AJ12" s="87">
        <f>IFERROR(VLOOKUP($B12,'LOD 300 - ADMN'!$B:BF,57,FALSE),"N/A")</f>
        <v>1</v>
      </c>
      <c r="AK12" s="87">
        <f>IFERROR(VLOOKUP($B12,'LOD 300 - ADMN'!$B:EP,60,FALSE),"N/A")</f>
        <v>1</v>
      </c>
      <c r="AL12" s="87">
        <f>IFERROR(VLOOKUP($B12,'LOD 300 - ADMN'!$B:EQ,63,FALSE),"N/A")</f>
        <v>1</v>
      </c>
      <c r="AM12" s="87">
        <f>IFERROR(VLOOKUP($B12,'LOD 300 - ADMN'!$B:BO,66,FALSE),"N/A")</f>
        <v>1</v>
      </c>
      <c r="AN12" s="87">
        <f>IFERROR(VLOOKUP($B12,'LOD 300 - ADMN'!$B:BR,69,FALSE),"N/A")</f>
        <v>1</v>
      </c>
      <c r="AO12" s="87">
        <f>IFERROR(VLOOKUP($B12,'LOD 300 - ADMN'!$B:BU,72,FALSE),"N/A")</f>
        <v>1</v>
      </c>
      <c r="AP12" s="87">
        <f>IFERROR(VLOOKUP($B12,'LOD 300 - ADMN'!$B:BX,75,FALSE),"N/A")</f>
        <v>1</v>
      </c>
      <c r="AQ12" s="87">
        <f>IFERROR(VLOOKUP($B12,'LOD 300 - ADMN'!$B:CA,78,FALSE),"N/A")</f>
        <v>1</v>
      </c>
      <c r="AR12" s="87">
        <f>IFERROR(VLOOKUP($B12,'LOD 300 - ADMN'!$B:CD,81,FALSE),"N/A")</f>
        <v>1</v>
      </c>
      <c r="AS12" s="87">
        <f>IFERROR(VLOOKUP($B12,'LOD 300 - ADMN'!$B:CG,84,FALSE),"N/A")</f>
        <v>1</v>
      </c>
      <c r="AT12" s="87">
        <f>IFERROR(VLOOKUP($B12,'LOD 300 - ADMN'!$B:CJ,87,FALSE),"N/A")</f>
        <v>1</v>
      </c>
      <c r="AU12" s="88">
        <f>IFERROR(VLOOKUP($B12,'LOD 300 - ADMN'!$B:CM,90,FALSE),"N/A")</f>
        <v>1</v>
      </c>
      <c r="AV12" s="88">
        <f>IFERROR(VLOOKUP($B12,'LOD 300 - ADMN'!$B:CP,93,FALSE),"N/A")</f>
        <v>1</v>
      </c>
      <c r="AW12" s="88">
        <f>IFERROR(VLOOKUP($B12,'LOD 300 - ADMN'!$B:CS,96,FALSE),"N/A")</f>
        <v>1</v>
      </c>
      <c r="AX12" s="88">
        <f>IFERROR(VLOOKUP($B12,'LOD 300 - ADMN'!$B:CV,99,FALSE),"N/A")</f>
        <v>1</v>
      </c>
      <c r="AY12" s="88">
        <f>IFERROR(VLOOKUP($B12,'LOD 300 - ADMN'!$B:CY,102,FALSE),"N/A")</f>
        <v>1</v>
      </c>
      <c r="AZ12" s="88">
        <f>IFERROR(VLOOKUP($B12,'LOD 300 - ADMN'!$B:DB,105,FALSE),"N/A")</f>
        <v>1</v>
      </c>
      <c r="BA12" s="87">
        <f>IFERROR(VLOOKUP($B12,'LOD 300 - ADMN'!$B:DE,108,FALSE),"N/A")</f>
        <v>1</v>
      </c>
      <c r="BB12" s="87">
        <f>IFERROR(VLOOKUP($B12,'LOD 300 - ADMN'!$B:DH,111,FALSE),"N/A")</f>
        <v>1</v>
      </c>
      <c r="BC12" s="87">
        <f>IFERROR(VLOOKUP($B12,'LOD 300 - ADMN'!$B:DK,114,FALSE),"N/A")</f>
        <v>1</v>
      </c>
      <c r="BD12" s="87">
        <f>IFERROR(VLOOKUP($B12,'LOD 300 - ADMN'!$B:DN,117,FALSE),"N/A")</f>
        <v>1</v>
      </c>
      <c r="BE12" s="87">
        <f>IFERROR(VLOOKUP($B12,'LOD 300 - ADMN'!$B:DQ,120,FALSE),"N/A")</f>
        <v>1</v>
      </c>
      <c r="BF12" s="87">
        <f>IFERROR(VLOOKUP($B12,'LOD 300 - ADMN'!$B:DT,123,FALSE),"N/A")</f>
        <v>1</v>
      </c>
      <c r="BG12" s="87">
        <f>IFERROR(VLOOKUP($B12,'LOD 300 - ADMN'!$B:DW,126,FALSE),"N/A")</f>
        <v>1</v>
      </c>
      <c r="BH12" s="87">
        <f>IFERROR(VLOOKUP($B12,'LOD 300 - ADMN'!$B:DZ,129,FALSE),"N/A")</f>
        <v>1</v>
      </c>
      <c r="BI12" s="87">
        <f>IFERROR(VLOOKUP($B12,'LOD 300 - ADMN'!$B:EC,132,FALSE),"N/A")</f>
        <v>1</v>
      </c>
      <c r="BJ12" s="90">
        <f>IFERROR(__xludf.DUMMYFUNCTION("IFERROR(
  MAX(FILTER(X12:BI12, ISNUMBER(X12:BI12))),
  BI12
)"),1.0)</f>
        <v>1</v>
      </c>
      <c r="BK12" s="91">
        <f>IFERROR(VLOOKUP($B12,'LOD 300 - COLO1'!$B:S,18,FALSE),"N/A")</f>
        <v>0.78</v>
      </c>
      <c r="BL12" s="92">
        <f>IFERROR(VLOOKUP($B12,'LOD 300 - COLO1'!$B:V,21,FALSE),"N/A")</f>
        <v>1</v>
      </c>
      <c r="BM12" s="92">
        <f>IFERROR(VLOOKUP($B12,'LOD 300 - COLO1'!$B:Y,24,FALSE),"N/A")</f>
        <v>1</v>
      </c>
      <c r="BN12" s="92">
        <f>IFERROR(VLOOKUP($B12,'LOD 300 - COLO1'!$B:AB,27,FALSE),"N/A")</f>
        <v>1</v>
      </c>
      <c r="BO12" s="92">
        <f>IFERROR(VLOOKUP($B12,'LOD 300 - COLO1'!$B:AE,30,FALSE),"N/A")</f>
        <v>1</v>
      </c>
      <c r="BP12" s="92">
        <f>IFERROR(VLOOKUP($B12,'LOD 300 - COLO1'!$B:AH,33,FALSE),"N/A")</f>
        <v>1</v>
      </c>
      <c r="BQ12" s="92">
        <f>IFERROR(VLOOKUP($B12,'LOD 300 - COLO1'!$B:AK,36,FALSE),"N/A")</f>
        <v>1</v>
      </c>
      <c r="BR12" s="92">
        <f>IFERROR(VLOOKUP($B12,'LOD 300 - COLO1'!$B:AN,39,FALSE),"N/A")</f>
        <v>1</v>
      </c>
      <c r="BS12" s="92">
        <f>IFERROR(VLOOKUP($B12,'LOD 300 - COLO1'!$B:AQ,42,FALSE),"N/A")</f>
        <v>1</v>
      </c>
      <c r="BT12" s="92">
        <f>IFERROR(VLOOKUP($B12,'LOD 300 - COLO1'!$B:AT,45,FALSE),"N/A")</f>
        <v>1</v>
      </c>
      <c r="BU12" s="92">
        <f>IFERROR(VLOOKUP($B12,'LOD 300 - COLO1'!$B:AW,48,FALSE),"N/A")</f>
        <v>1</v>
      </c>
      <c r="BV12" s="92">
        <f>IFERROR(VLOOKUP($B12,'LOD 300 - COLO1'!$B:AZ,51,FALSE),"N/A")</f>
        <v>1</v>
      </c>
      <c r="BW12" s="92">
        <f>IFERROR(VLOOKUP($B12,'LOD 300 - COLO1'!$B:BC,54,FALSE),"N/A")</f>
        <v>1</v>
      </c>
      <c r="BX12" s="94">
        <f>IFERROR(VLOOKUP($B12,'LOD 300 - COLO1'!$B:BF,57,FALSE),"N/A")</f>
        <v>1</v>
      </c>
      <c r="BY12" s="94">
        <f>IFERROR(VLOOKUP($B12,'LOD 300 - COLO1'!$B:BI,60,FALSE),"N/A")</f>
        <v>1</v>
      </c>
      <c r="BZ12" s="95">
        <f>IFERROR(VLOOKUP($B12,'LOD 300 - COLO1'!$B:BL,63,FALSE),"N/A")</f>
        <v>1</v>
      </c>
      <c r="CA12" s="86">
        <f>IFERROR(VLOOKUP($B12,'LOD 300 - COLO1'!$B:BO,66,FALSE),"N/A")</f>
        <v>1</v>
      </c>
      <c r="CB12" s="86">
        <f>IFERROR(VLOOKUP($B12,'LOD 300 - COLO1'!$B:BR,69,FALSE),"N/A")</f>
        <v>1</v>
      </c>
      <c r="CC12" s="86">
        <f>IFERROR(VLOOKUP($B12,'LOD 300 - COLO1'!$B:BU,72,FALSE),"N/A")</f>
        <v>1</v>
      </c>
      <c r="CD12" s="86">
        <f>IFERROR(VLOOKUP($B12,'LOD 300 - COLO1'!$B:BX,75,FALSE),"N/A")</f>
        <v>1</v>
      </c>
      <c r="CE12" s="86">
        <f>IFERROR(VLOOKUP($B12,'LOD 300 - COLO1'!$B:CA,78,FALSE),"N/A")</f>
        <v>1</v>
      </c>
      <c r="CF12" s="87">
        <f>IFERROR(VLOOKUP($B12,'LOD 300 - COLO1'!$B:CD,81,FALSE),"N/A")</f>
        <v>1</v>
      </c>
      <c r="CG12" s="86">
        <f>IFERROR(VLOOKUP($B12,'LOD 300 - COLO1'!$B:CG,84,FALSE),"N/A")</f>
        <v>1</v>
      </c>
      <c r="CH12" s="87">
        <f>IFERROR(VLOOKUP($B12,'LOD 300 - COLO1'!$B:CJ,87,FALSE),"N/A")</f>
        <v>1</v>
      </c>
      <c r="CI12" s="88">
        <f>IFERROR(VLOOKUP($B12,'LOD 300 - COLO1'!$B:CM,90,FALSE),"N/A")</f>
        <v>1</v>
      </c>
      <c r="CJ12" s="88">
        <f>IFERROR(VLOOKUP($B12,'LOD 300 - COLO1'!$B:CP,93,FALSE),"N/A")</f>
        <v>1</v>
      </c>
      <c r="CK12" s="88">
        <f>IFERROR(VLOOKUP($B12,'LOD 300 - COLO1'!$B:CS,96,FALSE),"N/A")</f>
        <v>1</v>
      </c>
      <c r="CL12" s="88">
        <f>IFERROR(VLOOKUP($B12,'LOD 300 - COLO1'!$B:CV,99,FALSE),"N/A")</f>
        <v>1</v>
      </c>
      <c r="CM12" s="88">
        <f>IFERROR(VLOOKUP($B12,'LOD 300 - COLO1'!$B:CY,102,FALSE),"N/A")</f>
        <v>1</v>
      </c>
      <c r="CN12" s="89">
        <f>IFERROR(VLOOKUP($B12,'LOD 300 - COLO1'!$B:DB,105,FALSE),"N/A")</f>
        <v>1</v>
      </c>
      <c r="CO12" s="87">
        <f>IFERROR(VLOOKUP($B12,'LOD 300 - COLO1'!$B:EE,108,FALSE),"N/A")</f>
        <v>1</v>
      </c>
      <c r="CP12" s="87">
        <f>IFERROR(VLOOKUP($B12,'LOD 300 - COLO1'!$B:EH,111,FALSE),"N/A")</f>
        <v>1</v>
      </c>
      <c r="CQ12" s="87">
        <f>IFERROR(VLOOKUP($B12,'LOD 300 - COLO1'!$B:EK,114,FALSE),"N/A")</f>
        <v>1</v>
      </c>
      <c r="CR12" s="87">
        <f>IFERROR(VLOOKUP($B12,'LOD 300 - COLO1'!$B:EN,117,FALSE),"N/A")</f>
        <v>1</v>
      </c>
      <c r="CS12" s="87">
        <f>IFERROR(VLOOKUP($B12,'LOD 300 - COLO1'!$B:EQ,120,FALSE),"N/A")</f>
        <v>1</v>
      </c>
      <c r="CT12" s="87">
        <f>IFERROR(VLOOKUP($B12,'LOD 300 - COLO1'!$B:ET,123,FALSE),"N/A")</f>
        <v>1</v>
      </c>
      <c r="CU12" s="87">
        <f>IFERROR(VLOOKUP($B12,'LOD 300 - COLO1'!$B:EW,126,FALSE),"N/A")</f>
        <v>1</v>
      </c>
      <c r="CV12" s="87">
        <f>IFERROR(VLOOKUP($B12,'LOD 300 - COLO1'!$B:EZ,129,FALSE),"N/A")</f>
        <v>1</v>
      </c>
      <c r="CW12" s="87">
        <f>IFERROR(VLOOKUP($B12,'LOD 300 - COLO1'!$B:FC,132,FALSE),"N/A")</f>
        <v>1</v>
      </c>
      <c r="CX12" s="96">
        <f>IFERROR(__xludf.DUMMYFUNCTION("IFERROR(
  MAX(FILTER(BK12:CW12, ISNUMBER(BK12:CW12))),
  CW12
)"),1.0)</f>
        <v>1</v>
      </c>
      <c r="CY12" s="104">
        <f>IFERROR(VLOOKUP($B12,'LOD 300 - COLO2'!$B:S,18,FALSE),"N/A")</f>
        <v>0.62</v>
      </c>
      <c r="CZ12" s="117" t="str">
        <f>IFERROR(VLOOKUP($B12,'LOD 300 - COLO2'!$B:V,21,FALSE),"N/A")</f>
        <v>OUTDATED MODEL</v>
      </c>
      <c r="DA12" s="117" t="str">
        <f>IFERROR(VLOOKUP($B12,'LOD 300 - COLO2'!$B:Y,24,FALSE),"N/A")</f>
        <v>OUTDATED MODEL</v>
      </c>
      <c r="DB12" s="117" t="str">
        <f>IFERROR(VLOOKUP($B12,'LOD 300 - COLO2'!$B:AB,27,FALSE),"N/A")</f>
        <v>OUTDATED MODEL</v>
      </c>
      <c r="DC12" s="92" t="str">
        <f>IFERROR(VLOOKUP($B12,'LOD 300 - COLO2'!$B:AE,30,FALSE),"N/A")</f>
        <v>OUTDATED MODEL</v>
      </c>
      <c r="DD12" s="120" t="str">
        <f>IFERROR(VLOOKUP($B12,'LOD 300 - COLO2'!$B:AH,33,FALSE),"N/A")</f>
        <v>NEXT ROUND</v>
      </c>
      <c r="DE12" s="117">
        <f>IFERROR(VLOOKUP($B12,'LOD 300 - COLO2'!$B:AK,36,FALSE),"N/A")</f>
        <v>1</v>
      </c>
      <c r="DF12" s="117">
        <f>IFERROR(VLOOKUP($B12,'LOD 300 - COLO2'!$B:AN,39,FALSE),"N/A")</f>
        <v>1</v>
      </c>
      <c r="DG12" s="119">
        <f>IFERROR(VLOOKUP($B12,'LOD 300 - COLO2'!$B:AQ,42,FALSE),"N/A")</f>
        <v>1</v>
      </c>
      <c r="DH12" s="87">
        <f>IFERROR(VLOOKUP($B12,'LOD 300 - COLO2'!$B:AT,45,FALSE),"N/A")</f>
        <v>1</v>
      </c>
      <c r="DI12" s="94">
        <f>IFERROR(VLOOKUP($B12,'LOD 300 - COLO2'!$B:AW,48,FALSE),"N/A")</f>
        <v>1</v>
      </c>
      <c r="DJ12" s="95">
        <f>IFERROR(VLOOKUP($B12,'LOD 300 - COLO2'!$B:AZ,51,FALSE),"N/A")</f>
        <v>1</v>
      </c>
      <c r="DK12" s="86">
        <f>IFERROR(VLOOKUP($B12,'LOD 300 - COLO2'!$B:BC,54,FALSE),"N/A")</f>
        <v>1</v>
      </c>
      <c r="DL12" s="86">
        <f>IFERROR(VLOOKUP($B12,'LOD 300 - COLO2'!$B:BF,57,FALSE),"N/A")</f>
        <v>1</v>
      </c>
      <c r="DM12" s="86">
        <f>IFERROR(VLOOKUP($B12,'LOD 300 - COLO2'!$B:BI,60,FALSE),"N/A")</f>
        <v>1</v>
      </c>
      <c r="DN12" s="86">
        <f>IFERROR(VLOOKUP($B12,'LOD 300 - COLO2'!$B:BL,63,FALSE),"N/A")</f>
        <v>1</v>
      </c>
      <c r="DO12" s="86">
        <f>IFERROR(VLOOKUP($B12,'LOD 300 - COLO2'!$B:BO,66,FALSE),"N/A")</f>
        <v>1</v>
      </c>
      <c r="DP12" s="87">
        <f>IFERROR(VLOOKUP($B12,'LOD 300 - COLO2'!$B:BR,69,FALSE),"N/A")</f>
        <v>1</v>
      </c>
      <c r="DQ12" s="87">
        <f>IFERROR(VLOOKUP($B12,'LOD 300 - COLO2'!$B:BU,72,FALSE),"N/A")</f>
        <v>1</v>
      </c>
      <c r="DR12" s="87">
        <f>IFERROR(VLOOKUP($B12,'LOD 300 - COLO2'!$B:BX,75,FALSE),"N/A")</f>
        <v>1</v>
      </c>
      <c r="DS12" s="98">
        <f>IFERROR(VLOOKUP($B12,'LOD 300 - COLO2'!$B:CA,78,FALSE),"N/A")</f>
        <v>1</v>
      </c>
      <c r="DT12" s="98">
        <f>IFERROR(VLOOKUP($B12,'LOD 300 - COLO2'!$B:CD,81,FALSE),"N/A")</f>
        <v>1</v>
      </c>
      <c r="DU12" s="98">
        <f>IFERROR(VLOOKUP($B12,'LOD 300 - COLO2'!$B:CG,84,FALSE),"N/A")</f>
        <v>1</v>
      </c>
      <c r="DV12" s="98">
        <f>IFERROR(VLOOKUP($B12,'LOD 300 - COLO2'!$B:CJ,87,FALSE),"N/A")</f>
        <v>1</v>
      </c>
      <c r="DW12" s="98">
        <f>IFERROR(VLOOKUP($B12,'LOD 300 - COLO2'!$B:CM,90,FALSE),"N/A")</f>
        <v>1</v>
      </c>
      <c r="DX12" s="98">
        <f>IFERROR(VLOOKUP($B12,'LOD 300 - COLO2'!$B:CP,93,FALSE),"N/A")</f>
        <v>1</v>
      </c>
      <c r="DY12" s="87">
        <f>IFERROR(VLOOKUP($B12,'LOD 300 - COLO2'!$B:CS,96,FALSE),"N/A")</f>
        <v>1</v>
      </c>
      <c r="DZ12" s="87">
        <f>IFERROR(VLOOKUP($B12,'LOD 300 - COLO2'!$B:CV,99,FALSE),"N/A")</f>
        <v>1</v>
      </c>
      <c r="EA12" s="87">
        <f>IFERROR(VLOOKUP($B12,'LOD 300 - COLO2'!$B:DB,105,FALSE),"N/A")</f>
        <v>1</v>
      </c>
      <c r="EB12" s="87">
        <f>IFERROR(VLOOKUP($B12,'LOD 300 - COLO2'!$B:DB,105,FALSE),"N/A")</f>
        <v>1</v>
      </c>
      <c r="EC12" s="87">
        <f>IFERROR(VLOOKUP($B12,'LOD 300 - COLO2'!$B:DE,108,FALSE),"N/A")</f>
        <v>1</v>
      </c>
      <c r="ED12" s="87">
        <f>IFERROR(VLOOKUP($B12,'LOD 300 - COLO2'!$B:DH,111,FALSE),"N/A")</f>
        <v>1</v>
      </c>
      <c r="EE12" s="87">
        <f>IFERROR(VLOOKUP($B12,'LOD 300 - COLO2'!$B:DK,114,FALSE),"N/A")</f>
        <v>1</v>
      </c>
      <c r="EF12" s="87">
        <f>IFERROR(VLOOKUP($B12,'LOD 300 - COLO2'!$B:DN,117,FALSE),"N/A")</f>
        <v>1</v>
      </c>
      <c r="EG12" s="87">
        <f>IFERROR(VLOOKUP($B12,'LOD 300 - COLO2'!$B:DQ,120,FALSE),"N/A")</f>
        <v>1</v>
      </c>
      <c r="EH12" s="99">
        <f>IFERROR(__xludf.DUMMYFUNCTION("IFERROR(
  MAX(FILTER(CZ12:EG12, ISNUMBER(CZ12:EG12))),
  EG12
)"),1.0)</f>
        <v>1</v>
      </c>
      <c r="EI12" s="100">
        <f>IFERROR(VLOOKUP($B12,'LOD 300 - COLO3'!$B:R,17,FALSE),"N/A")</f>
        <v>0</v>
      </c>
      <c r="EJ12" s="127" t="str">
        <f>IFERROR(VLOOKUP($B12,'LOD 300 - COLO3'!$B:U,20,FALSE),"N/A")</f>
        <v>NEXT ROUND</v>
      </c>
      <c r="EK12" s="127">
        <f>IFERROR(VLOOKUP($B12,'LOD 300 - COLO3'!$B:X,23,FALSE),"N/A")</f>
        <v>1</v>
      </c>
      <c r="EL12" s="127">
        <f>IFERROR(VLOOKUP($B12,'LOD 300 - COLO3'!$B:AA,26,FALSE),"N/A")</f>
        <v>1</v>
      </c>
      <c r="EM12" s="127">
        <f>IFERROR(VLOOKUP($B12,'LOD 300 - COLO3'!$B:AD,29,FALSE),"N/A")</f>
        <v>1</v>
      </c>
      <c r="EN12" s="127">
        <f>IFERROR(VLOOKUP($B12,'LOD 300 - COLO3'!$B:AG,32,FALSE),"N/A")</f>
        <v>1</v>
      </c>
      <c r="EO12" s="127">
        <f>IFERROR(VLOOKUP($B12,'LOD 300 - COLO3'!$B:AJ,35,FALSE),"N/A")</f>
        <v>1</v>
      </c>
      <c r="EP12" s="100">
        <f>IFERROR(VLOOKUP($B12,'LOD 300 - COLO3'!$B:AM,38,FALSE),"N/A")</f>
        <v>1</v>
      </c>
      <c r="EQ12" s="100">
        <f>IFERROR(VLOOKUP($B12,'LOD 300 - COLO3'!$B:AP,41,FALSE),"N/A")</f>
        <v>1</v>
      </c>
      <c r="ER12" s="100">
        <f>IFERROR(VLOOKUP($B12,'LOD 300 - COLO3'!$B:AS,44,FALSE),"N/A")</f>
        <v>1</v>
      </c>
      <c r="ES12" s="100">
        <f>IFERROR(VLOOKUP($B12,'LOD 300 - COLO3'!$B:AV,47,FALSE),"N/A")</f>
        <v>1</v>
      </c>
      <c r="ET12" s="100">
        <f>IFERROR(VLOOKUP($B12,'LOD 300 - COLO3'!$B:AY,50,FALSE),"N/A")</f>
        <v>1</v>
      </c>
      <c r="EU12" s="100">
        <f>IFERROR(VLOOKUP($B12,'LOD 300 - COLO3'!$B:BB,53,FALSE),"N/A")</f>
        <v>1</v>
      </c>
      <c r="EV12" s="100">
        <f>IFERROR(VLOOKUP($B12,'LOD 300 - COLO3'!$B:BE,56,FALSE),"N/A")</f>
        <v>1</v>
      </c>
      <c r="EW12" s="100">
        <f>IFERROR(VLOOKUP($B12,'LOD 300 - COLO3'!$B:BL,59,FALSE),"N/A")</f>
        <v>1</v>
      </c>
      <c r="EX12" s="100">
        <f>IFERROR(VLOOKUP($B12,'LOD 300 - COLO3'!$B:BO,62,FALSE),"N/A")</f>
        <v>1</v>
      </c>
      <c r="EY12" s="103">
        <f>IFERROR(__xludf.DUMMYFUNCTION("IFERROR(
  MAX(FILTER(EI12:EX12, ISNUMBER(EI12:EX12))),
  EX12
)"),1.0)</f>
        <v>1</v>
      </c>
      <c r="EZ12" s="104">
        <f>IFERROR(VLOOKUP($B12,'LOD 300 - COLO4'!$B:BT,17,FALSE),"N/A")</f>
        <v>0</v>
      </c>
      <c r="FA12" s="103">
        <f>IFERROR(__xludf.DUMMYFUNCTION("IFERROR(
  MAX(FILTER(EZ12, ISNUMBER(EZ12))),
  EZ12
)"),0.0)</f>
        <v>0</v>
      </c>
      <c r="FB12" s="121" t="str">
        <f>IFERROR(VLOOKUP($B12,'LOD 300 - SITE'!$B:S,18,FALSE),"N/A")</f>
        <v>N/A</v>
      </c>
      <c r="FC12" s="122" t="str">
        <f>IFERROR(VLOOKUP($B12,'LOD 300 - SITE'!$B:V,21,FALSE),"N/A")</f>
        <v>N/A</v>
      </c>
      <c r="FD12" s="122" t="str">
        <f>IFERROR(VLOOKUP($B12,'LOD 300 - SITE'!$B:Y,24,FALSE),"N/A")</f>
        <v>N/A</v>
      </c>
      <c r="FE12" s="122" t="str">
        <f>IFERROR(VLOOKUP($B12,'LOD 300 - SITE'!$B:AB,27,FALSE),"N/A")</f>
        <v>N/A</v>
      </c>
      <c r="FF12" s="122" t="str">
        <f>IFERROR(VLOOKUP($B12,'LOD 300 - SITE'!$B:AE,30,FALSE),"N/A")</f>
        <v>N/A</v>
      </c>
      <c r="FG12" s="122" t="str">
        <f>IFERROR(VLOOKUP($B12,'LOD 300 - SITE'!$B:AH,33,FALSE),"N/A")</f>
        <v>N/A</v>
      </c>
      <c r="FH12" s="122" t="str">
        <f>IFERROR(VLOOKUP($B12,'LOD 300 - SITE'!$B:AK,36,FALSE),"N/A")</f>
        <v>N/A</v>
      </c>
      <c r="FI12" s="122" t="str">
        <f>IFERROR(VLOOKUP($B12,'LOD 300 - SITE'!$B:AN,39,FALSE),"N/A")</f>
        <v>N/A</v>
      </c>
      <c r="FJ12" s="122" t="str">
        <f>IFERROR(VLOOKUP($B12,'LOD 300 - SITE'!$B:AQ,42,FALSE),"N/A")</f>
        <v>N/A</v>
      </c>
      <c r="FK12" s="122" t="str">
        <f>IFERROR(VLOOKUP($B12,'LOD 300 - SITE'!$B:AT,45,FALSE),"N/A")</f>
        <v>N/A</v>
      </c>
      <c r="FL12" s="123" t="str">
        <f>IFERROR(VLOOKUP($B12,'LOD 300 - SITE'!$B:AW,48,FALSE),"N/A")</f>
        <v>N/A</v>
      </c>
      <c r="FM12" s="87" t="str">
        <f>IFERROR(VLOOKUP($B12,'LOD 300 - SITE'!$B:AZ,51,FALSE),"N/A")</f>
        <v>N/A</v>
      </c>
      <c r="FN12" s="94" t="str">
        <f>IFERROR(VLOOKUP($B12,'LOD 300 - SITE'!$B:BC,54,FALSE),"N/A")</f>
        <v>N/A</v>
      </c>
      <c r="FO12" s="95" t="str">
        <f>IFERROR(VLOOKUP($B12,'LOD 300 - SITE'!$B:BF,57,FALSE),"N/A")</f>
        <v>N/A</v>
      </c>
      <c r="FP12" s="86" t="str">
        <f>IFERROR(VLOOKUP($B12,'LOD 300 - SITE'!$B:BI,60,FALSE),"N/A")</f>
        <v>N/A</v>
      </c>
      <c r="FQ12" s="86" t="str">
        <f>IFERROR(VLOOKUP($B12,'LOD 300 - SITE'!$B:BL,63,FALSE),"N/A")</f>
        <v>N/A</v>
      </c>
      <c r="FR12" s="86" t="str">
        <f>IFERROR(VLOOKUP($B12,'LOD 300 - SITE'!$B:BO,66,FALSE),"N/A")</f>
        <v>N/A</v>
      </c>
      <c r="FS12" s="86" t="str">
        <f>IFERROR(VLOOKUP($B12,'LOD 300 - SITE'!$B:BR,69,FALSE),"N/A")</f>
        <v>N/A</v>
      </c>
      <c r="FT12" s="86" t="str">
        <f>IFERROR(VLOOKUP($B12,'LOD 300 - SITE'!$B:BU,72,FALSE),"N/A")</f>
        <v>N/A</v>
      </c>
      <c r="FU12" s="86" t="str">
        <f>IFERROR(VLOOKUP($B12,'LOD 300 - SITE'!$B:BX,75,FALSE),"N/A")</f>
        <v>N/A</v>
      </c>
      <c r="FV12" s="86" t="str">
        <f>IFERROR(VLOOKUP($B12,'LOD 300 - SITE'!$B:CA,78,FALSE),"N/A")</f>
        <v>N/A</v>
      </c>
      <c r="FW12" s="87" t="str">
        <f>IFERROR(VLOOKUP($B12,'LOD 300 - SITE'!$B:CD,81,FALSE),"N/A")</f>
        <v>N/A</v>
      </c>
      <c r="FX12" s="108" t="str">
        <f>IFERROR(VLOOKUP($B12,'LOD 300 - SITE'!$B:CG,84,FALSE),"N/A")</f>
        <v>N/A</v>
      </c>
      <c r="FY12" s="108" t="str">
        <f>IFERROR(VLOOKUP($B12,'LOD 300 - SITE'!$B:CJ,87,FALSE),"N/A")</f>
        <v>N/A</v>
      </c>
      <c r="FZ12" s="108" t="str">
        <f>IFERROR(VLOOKUP($B12,'LOD 300 - SITE'!$B:CM,90,FALSE),"N/A")</f>
        <v>N/A</v>
      </c>
      <c r="GA12" s="108" t="str">
        <f>IFERROR(VLOOKUP($B12,'LOD 300 - SITE'!$B:CP,93,FALSE),"N/A")</f>
        <v>N/A</v>
      </c>
      <c r="GB12" s="108" t="str">
        <f>IFERROR(VLOOKUP($B12,'LOD 300 - SITE'!$B:CS,96,FALSE),"N/A")</f>
        <v>N/A</v>
      </c>
      <c r="GC12" s="109" t="str">
        <f>IFERROR(VLOOKUP($B12,'LOD 300 - SITE'!$B:CV,99,FALSE),"N/A")</f>
        <v>N/A</v>
      </c>
      <c r="GD12" s="87" t="str">
        <f>IFERROR(VLOOKUP($B12,'LOD 300 - SITE'!$B:CY,102,FALSE),"N/A")</f>
        <v>N/A</v>
      </c>
      <c r="GE12" s="87" t="str">
        <f>IFERROR(VLOOKUP($B12,'LOD 300 - SITE'!$B:DB,105,FALSE),"N/A")</f>
        <v>N/A</v>
      </c>
      <c r="GF12" s="87" t="str">
        <f>IFERROR(VLOOKUP($B12,'LOD 300 - SITE'!$B:DE,108,FALSE),"N/A")</f>
        <v>N/A</v>
      </c>
      <c r="GG12" s="87" t="str">
        <f>IFERROR(VLOOKUP($B12,'LOD 300 - SITE'!$B:DH,111,FALSE),"N/A")</f>
        <v>N/A</v>
      </c>
      <c r="GH12" s="87" t="str">
        <f>IFERROR(VLOOKUP($B12,'LOD 300 - SITE'!$B:DK,114,FALSE),"N/A")</f>
        <v>N/A</v>
      </c>
      <c r="GI12" s="87" t="str">
        <f>IFERROR(VLOOKUP($B12,'LOD 300 - SITE'!$B:DN,117,FALSE),"N/A")</f>
        <v>N/A</v>
      </c>
      <c r="GJ12" s="87" t="str">
        <f>IFERROR(VLOOKUP($B12,'LOD 300 - SITE'!$B:DQ,120,FALSE),"N/A")</f>
        <v>N/A</v>
      </c>
      <c r="GK12" s="87" t="str">
        <f>IFERROR(VLOOKUP($B12,'LOD 300 - SITE'!$B:DT,123,FALSE),"N/A")</f>
        <v>N/A</v>
      </c>
      <c r="GL12" s="87" t="str">
        <f>IFERROR(VLOOKUP($B12,'LOD 300 - SITE'!$B:DW,126,FALSE),"N/A")</f>
        <v>N/A</v>
      </c>
      <c r="GM12" s="110" t="str">
        <f>IFERROR(__xludf.DUMMYFUNCTION("IFERROR(
  MAX(FILTER(FB12:GL12, ISNUMBER(FB12:GL12))),
  GL12
)"),"N/A")</f>
        <v>N/A</v>
      </c>
      <c r="GN12" s="111"/>
      <c r="GO12" s="111"/>
      <c r="GP12" s="111"/>
    </row>
    <row r="13" ht="15.0" customHeight="1" outlineLevel="1">
      <c r="A13" s="60">
        <v>15.0</v>
      </c>
      <c r="B13" s="140" t="s">
        <v>110</v>
      </c>
      <c r="C13" s="70" t="s">
        <v>111</v>
      </c>
      <c r="D13" s="71" t="s">
        <v>90</v>
      </c>
      <c r="E13" s="138" t="s">
        <v>100</v>
      </c>
      <c r="F13" s="13">
        <v>1104.0</v>
      </c>
      <c r="G13" s="139" t="s">
        <v>101</v>
      </c>
      <c r="H13" s="139">
        <v>1127.0</v>
      </c>
      <c r="I13" s="74" t="str">
        <f>IFERROR(VLOOKUP(C10:C152,'R22 RELATÓRIO ACC'!B:F,5,FALSE),"NOT PUBLISHED")</f>
        <v>V12</v>
      </c>
      <c r="J13" s="74" t="str">
        <f>IFERROR(VLOOKUP(C10:C152,'R22 RELATÓRIO ACC'!B:P,15,FALSE),"NOT PUBLISHED")</f>
        <v>06/04/2026</v>
      </c>
      <c r="K13" s="141" t="str">
        <f>IFERROR(VLOOKUP(B10:B201,'RELATÓRIO ACC'!B:F,5,FALSE),"NOT PUBLISHED")</f>
        <v>V1</v>
      </c>
      <c r="L13" s="142" t="str">
        <f>IFERROR(VLOOKUP(B10:B201,'RELATÓRIO ACC'!B:P,15,FALSE),"NOT PUBLISHED")</f>
        <v>15/05/2026</v>
      </c>
      <c r="M13" s="76" t="str">
        <f>IF(OR($D13="UTLS",$D13="GUAR",$D13="STIR",$D13="PUMP",$D13="SITE"),
   VLOOKUP($B13,'LOD 300 - SITE'!B:M,12,FALSE),
   VLOOKUP($B13,'LOD 300 - ADMN'!B:M,12,FALSE)
)</f>
        <v>V7</v>
      </c>
      <c r="N13" s="80">
        <f>IF(OR($D13="UTLS",$D13="GUAR",$D13="STIR",$D13="PUMP",$D13="SITE"),
   VLOOKUP($B13,'LOD 300 - SITE'!B:N,13,FALSE),
   VLOOKUP($B13,'LOD 300 - ADMN'!B:N,13,FALSE)
)</f>
        <v>45897</v>
      </c>
      <c r="O13" s="143" t="str">
        <f>IF(OR($D13="UTLS",$D13="GUAR",$D13="STIR",$D13="PUMP",$D13="SITE"),
   VLOOKUP($B13,'LOD 300 - SITE'!B:O,14,FALSE),
   VLOOKUP($B13,'LOD 300 - ADMN'!B:O,14,FALSE)
)</f>
        <v>R22</v>
      </c>
      <c r="P13" s="79" t="str">
        <f>IF(OR($D13="C345",$D13="C12A",$D13="DATA"),
   VLOOKUP($B13,'LOD 300 - COLO3'!B:M,12,FALSE),"N/A")</f>
        <v>N/A</v>
      </c>
      <c r="Q13" s="76" t="str">
        <f>IF(OR($D13="C345",$D13="C12A",$D13="DATA"),
   VLOOKUP($B13,'LOD 300 - COLO3'!B:N,13,FALSE),"N/A")</f>
        <v>N/A</v>
      </c>
      <c r="R13" s="76" t="str">
        <f>IF(OR($D13="C345",$D13="C12A",$D13="DATA"),
   VLOOKUP($B13,'LOD 300 - COLO3'!B:O,14,FALSE),"N/A")</f>
        <v>N/A</v>
      </c>
      <c r="S13" s="79" t="str">
        <f>IF(OR($D13="C345",$D13="C12A",$D13="DATA"),
   VLOOKUP($B13,'LOD 300 - COLO4'!B:M,12,FALSE),"N/A")</f>
        <v>N/A</v>
      </c>
      <c r="T13" s="76" t="str">
        <f>IF(OR($D13="C345",$D13="C12A",$D13="DATA"),
   VLOOKUP($B13,'LOD 300 - COLO4'!B:T,13,FALSE),"N/A")</f>
        <v>N/A</v>
      </c>
      <c r="U13" s="76" t="str">
        <f>IF(OR($D13="C345",$D13="C12A",$D13="DATA"),
   VLOOKUP($B13,'LOD 300 - COLO4'!B:U,17,FALSE),"N/A")</f>
        <v>N/A</v>
      </c>
      <c r="V13" s="148" t="s">
        <v>87</v>
      </c>
      <c r="W13" s="144" t="str">
        <f>IFERROR(VLOOKUP($B13,'LOD 300 - ADMN'!$B:S,18,FALSE),"N/A")</f>
        <v>N/A</v>
      </c>
      <c r="X13" s="122" t="str">
        <f>IFERROR(VLOOKUP($B13,'LOD 300 - ADMN'!$B:V,21,FALSE),"N/A")</f>
        <v>N/A</v>
      </c>
      <c r="Y13" s="122" t="str">
        <f>IFERROR(VLOOKUP($B13,'LOD 300 - ADMN'!$B:Y,24,FALSE),"N/A")</f>
        <v>N/A</v>
      </c>
      <c r="Z13" s="122" t="str">
        <f>IFERROR(VLOOKUP($B13,'LOD 300 - ADMN'!$B:AB,27,FALSE),"N/A")</f>
        <v>N/A</v>
      </c>
      <c r="AA13" s="122" t="str">
        <f>IFERROR(VLOOKUP($B13,'LOD 300 - ADMN'!$B:AE,30,FALSE),"N/A")</f>
        <v>N/A</v>
      </c>
      <c r="AB13" s="145" t="str">
        <f>IFERROR(VLOOKUP($B13,'LOD 300 - ADMN'!$B:AH,33,FALSE),"N/A")</f>
        <v>N/A</v>
      </c>
      <c r="AC13" s="145" t="str">
        <f>IFERROR(VLOOKUP($B13,'LOD 300 - ADMN'!$B:AK,36,FALSE),"N/A")</f>
        <v>N/A</v>
      </c>
      <c r="AD13" s="122" t="str">
        <f>IFERROR(VLOOKUP($B13,'LOD 300 - ADMN'!$B:AN,39,FALSE),"N/A")</f>
        <v>N/A</v>
      </c>
      <c r="AE13" s="122" t="str">
        <f>IFERROR(VLOOKUP($B13,'LOD 300 - ADMN'!$B:AQ,42,FALSE),"N/A")</f>
        <v>N/A</v>
      </c>
      <c r="AF13" s="122" t="str">
        <f>IFERROR(VLOOKUP($B13,'LOD 300 - ADMN'!$B:AT,45,FALSE),"N/A")</f>
        <v>N/A</v>
      </c>
      <c r="AG13" s="122" t="str">
        <f>IFERROR(VLOOKUP($B13,'LOD 300 - ADMN'!$B:AW,48,FALSE),"N/A")</f>
        <v>N/A</v>
      </c>
      <c r="AH13" s="122" t="str">
        <f>IFERROR(VLOOKUP($B13,'LOD 300 - ADMN'!$B:AZ,51,FALSE),"N/A")</f>
        <v>N/A</v>
      </c>
      <c r="AI13" s="122" t="str">
        <f>IFERROR(VLOOKUP($B13,'LOD 300 - ADMN'!$B:BC,54,FALSE),"N/A")</f>
        <v>N/A</v>
      </c>
      <c r="AJ13" s="87" t="str">
        <f>IFERROR(VLOOKUP($B13,'LOD 300 - ADMN'!$B:BF,57,FALSE),"N/A")</f>
        <v>N/A</v>
      </c>
      <c r="AK13" s="87" t="str">
        <f>IFERROR(VLOOKUP($B13,'LOD 300 - ADMN'!$B:EP,60,FALSE),"N/A")</f>
        <v>N/A</v>
      </c>
      <c r="AL13" s="87" t="str">
        <f>IFERROR(VLOOKUP($B13,'LOD 300 - ADMN'!$B:EQ,63,FALSE),"N/A")</f>
        <v>N/A</v>
      </c>
      <c r="AM13" s="87" t="str">
        <f>IFERROR(VLOOKUP($B13,'LOD 300 - ADMN'!$B:BO,66,FALSE),"N/A")</f>
        <v>N/A</v>
      </c>
      <c r="AN13" s="87" t="str">
        <f>IFERROR(VLOOKUP($B13,'LOD 300 - ADMN'!$B:BR,69,FALSE),"N/A")</f>
        <v>N/A</v>
      </c>
      <c r="AO13" s="87" t="str">
        <f>IFERROR(VLOOKUP($B13,'LOD 300 - ADMN'!$B:BU,72,FALSE),"N/A")</f>
        <v>N/A</v>
      </c>
      <c r="AP13" s="87" t="str">
        <f>IFERROR(VLOOKUP($B13,'LOD 300 - ADMN'!$B:BX,75,FALSE),"N/A")</f>
        <v>N/A</v>
      </c>
      <c r="AQ13" s="87" t="str">
        <f>IFERROR(VLOOKUP($B13,'LOD 300 - ADMN'!$B:CA,78,FALSE),"N/A")</f>
        <v>N/A</v>
      </c>
      <c r="AR13" s="87" t="str">
        <f>IFERROR(VLOOKUP($B13,'LOD 300 - ADMN'!$B:CD,81,FALSE),"N/A")</f>
        <v>N/A</v>
      </c>
      <c r="AS13" s="87" t="str">
        <f>IFERROR(VLOOKUP($B13,'LOD 300 - ADMN'!$B:CG,84,FALSE),"N/A")</f>
        <v>N/A</v>
      </c>
      <c r="AT13" s="87" t="str">
        <f>IFERROR(VLOOKUP($B13,'LOD 300 - ADMN'!$B:CJ,87,FALSE),"N/A")</f>
        <v>N/A</v>
      </c>
      <c r="AU13" s="88" t="str">
        <f>IFERROR(VLOOKUP($B13,'LOD 300 - ADMN'!$B:CM,90,FALSE),"N/A")</f>
        <v>N/A</v>
      </c>
      <c r="AV13" s="88" t="str">
        <f>IFERROR(VLOOKUP($B13,'LOD 300 - ADMN'!$B:CP,93,FALSE),"N/A")</f>
        <v>N/A</v>
      </c>
      <c r="AW13" s="88" t="str">
        <f>IFERROR(VLOOKUP($B13,'LOD 300 - ADMN'!$B:CS,96,FALSE),"N/A")</f>
        <v>N/A</v>
      </c>
      <c r="AX13" s="88" t="str">
        <f>IFERROR(VLOOKUP($B13,'LOD 300 - ADMN'!$B:CV,99,FALSE),"N/A")</f>
        <v>N/A</v>
      </c>
      <c r="AY13" s="88" t="str">
        <f>IFERROR(VLOOKUP($B13,'LOD 300 - ADMN'!$B:CY,102,FALSE),"N/A")</f>
        <v>N/A</v>
      </c>
      <c r="AZ13" s="88" t="str">
        <f>IFERROR(VLOOKUP($B13,'LOD 300 - ADMN'!$B:DB,105,FALSE),"N/A")</f>
        <v>N/A</v>
      </c>
      <c r="BA13" s="87" t="str">
        <f>IFERROR(VLOOKUP($B13,'LOD 300 - ADMN'!$B:DE,108,FALSE),"N/A")</f>
        <v>N/A</v>
      </c>
      <c r="BB13" s="87" t="str">
        <f>IFERROR(VLOOKUP($B13,'LOD 300 - ADMN'!$B:DH,111,FALSE),"N/A")</f>
        <v>N/A</v>
      </c>
      <c r="BC13" s="87" t="str">
        <f>IFERROR(VLOOKUP($B13,'LOD 300 - ADMN'!$B:DK,114,FALSE),"N/A")</f>
        <v>N/A</v>
      </c>
      <c r="BD13" s="87" t="str">
        <f>IFERROR(VLOOKUP($B13,'LOD 300 - ADMN'!$B:DN,117,FALSE),"N/A")</f>
        <v>N/A</v>
      </c>
      <c r="BE13" s="87" t="str">
        <f>IFERROR(VLOOKUP($B13,'LOD 300 - ADMN'!$B:DQ,120,FALSE),"N/A")</f>
        <v>N/A</v>
      </c>
      <c r="BF13" s="87" t="str">
        <f>IFERROR(VLOOKUP($B13,'LOD 300 - ADMN'!$B:DT,123,FALSE),"N/A")</f>
        <v>N/A</v>
      </c>
      <c r="BG13" s="87" t="str">
        <f>IFERROR(VLOOKUP($B13,'LOD 300 - ADMN'!$B:DW,126,FALSE),"N/A")</f>
        <v>N/A</v>
      </c>
      <c r="BH13" s="87" t="str">
        <f>IFERROR(VLOOKUP($B13,'LOD 300 - ADMN'!$B:DZ,129,FALSE),"N/A")</f>
        <v>N/A</v>
      </c>
      <c r="BI13" s="87" t="str">
        <f>IFERROR(VLOOKUP($B13,'LOD 300 - ADMN'!$B:EC,132,FALSE),"N/A")</f>
        <v>N/A</v>
      </c>
      <c r="BJ13" s="90" t="str">
        <f>IFERROR(__xludf.DUMMYFUNCTION("IFERROR(
  MAX(FILTER(X13:BI13, ISNUMBER(X13:BI13))),
  BI13
)"),"N/A")</f>
        <v>N/A</v>
      </c>
      <c r="BK13" s="91" t="str">
        <f>IFERROR(VLOOKUP($B13,'LOD 300 - COLO1'!$B:S,18,FALSE),"N/A")</f>
        <v>N/A</v>
      </c>
      <c r="BL13" s="92" t="str">
        <f>IFERROR(VLOOKUP($B13,'LOD 300 - COLO1'!$B:V,21,FALSE),"N/A")</f>
        <v>N/A</v>
      </c>
      <c r="BM13" s="92" t="str">
        <f>IFERROR(VLOOKUP($B13,'LOD 300 - COLO1'!$B:Y,24,FALSE),"N/A")</f>
        <v>N/A</v>
      </c>
      <c r="BN13" s="92" t="str">
        <f>IFERROR(VLOOKUP($B13,'LOD 300 - COLO1'!$B:AB,27,FALSE),"N/A")</f>
        <v>N/A</v>
      </c>
      <c r="BO13" s="92" t="str">
        <f>IFERROR(VLOOKUP($B13,'LOD 300 - COLO1'!$B:AE,30,FALSE),"N/A")</f>
        <v>N/A</v>
      </c>
      <c r="BP13" s="92" t="str">
        <f>IFERROR(VLOOKUP($B13,'LOD 300 - COLO1'!$B:AH,33,FALSE),"N/A")</f>
        <v>N/A</v>
      </c>
      <c r="BQ13" s="92" t="str">
        <f>IFERROR(VLOOKUP($B13,'LOD 300 - COLO1'!$B:AK,36,FALSE),"N/A")</f>
        <v>N/A</v>
      </c>
      <c r="BR13" s="92" t="str">
        <f>IFERROR(VLOOKUP($B13,'LOD 300 - COLO1'!$B:AN,39,FALSE),"N/A")</f>
        <v>N/A</v>
      </c>
      <c r="BS13" s="92" t="str">
        <f>IFERROR(VLOOKUP($B13,'LOD 300 - COLO1'!$B:AQ,42,FALSE),"N/A")</f>
        <v>N/A</v>
      </c>
      <c r="BT13" s="92" t="str">
        <f>IFERROR(VLOOKUP($B13,'LOD 300 - COLO1'!$B:AT,45,FALSE),"N/A")</f>
        <v>N/A</v>
      </c>
      <c r="BU13" s="92" t="str">
        <f>IFERROR(VLOOKUP($B13,'LOD 300 - COLO1'!$B:AW,48,FALSE),"N/A")</f>
        <v>N/A</v>
      </c>
      <c r="BV13" s="92" t="str">
        <f>IFERROR(VLOOKUP($B13,'LOD 300 - COLO1'!$B:AZ,51,FALSE),"N/A")</f>
        <v>N/A</v>
      </c>
      <c r="BW13" s="92" t="str">
        <f>IFERROR(VLOOKUP($B13,'LOD 300 - COLO1'!$B:BC,54,FALSE),"N/A")</f>
        <v>N/A</v>
      </c>
      <c r="BX13" s="94" t="str">
        <f>IFERROR(VLOOKUP($B13,'LOD 300 - COLO1'!$B:BF,57,FALSE),"N/A")</f>
        <v>N/A</v>
      </c>
      <c r="BY13" s="94" t="str">
        <f>IFERROR(VLOOKUP($B13,'LOD 300 - COLO1'!$B:BI,60,FALSE),"N/A")</f>
        <v>N/A</v>
      </c>
      <c r="BZ13" s="95" t="str">
        <f>IFERROR(VLOOKUP($B13,'LOD 300 - COLO1'!$B:BL,63,FALSE),"N/A")</f>
        <v>N/A</v>
      </c>
      <c r="CA13" s="86" t="str">
        <f>IFERROR(VLOOKUP($B13,'LOD 300 - COLO1'!$B:BO,66,FALSE),"N/A")</f>
        <v>N/A</v>
      </c>
      <c r="CB13" s="86" t="str">
        <f>IFERROR(VLOOKUP($B13,'LOD 300 - COLO1'!$B:BR,69,FALSE),"N/A")</f>
        <v>N/A</v>
      </c>
      <c r="CC13" s="86" t="str">
        <f>IFERROR(VLOOKUP($B13,'LOD 300 - COLO1'!$B:BU,72,FALSE),"N/A")</f>
        <v>N/A</v>
      </c>
      <c r="CD13" s="86" t="str">
        <f>IFERROR(VLOOKUP($B13,'LOD 300 - COLO1'!$B:BX,75,FALSE),"N/A")</f>
        <v>N/A</v>
      </c>
      <c r="CE13" s="86" t="str">
        <f>IFERROR(VLOOKUP($B13,'LOD 300 - COLO1'!$B:CA,78,FALSE),"N/A")</f>
        <v>N/A</v>
      </c>
      <c r="CF13" s="87" t="str">
        <f>IFERROR(VLOOKUP($B13,'LOD 300 - COLO1'!$B:CD,81,FALSE),"N/A")</f>
        <v>N/A</v>
      </c>
      <c r="CG13" s="86" t="str">
        <f>IFERROR(VLOOKUP($B13,'LOD 300 - COLO1'!$B:CG,84,FALSE),"N/A")</f>
        <v>N/A</v>
      </c>
      <c r="CH13" s="87" t="str">
        <f>IFERROR(VLOOKUP($B13,'LOD 300 - COLO1'!$B:CJ,87,FALSE),"N/A")</f>
        <v>N/A</v>
      </c>
      <c r="CI13" s="88" t="str">
        <f>IFERROR(VLOOKUP($B13,'LOD 300 - COLO1'!$B:CM,90,FALSE),"N/A")</f>
        <v>N/A</v>
      </c>
      <c r="CJ13" s="88" t="str">
        <f>IFERROR(VLOOKUP($B13,'LOD 300 - COLO1'!$B:CP,93,FALSE),"N/A")</f>
        <v>N/A</v>
      </c>
      <c r="CK13" s="88" t="str">
        <f>IFERROR(VLOOKUP($B13,'LOD 300 - COLO1'!$B:CS,96,FALSE),"N/A")</f>
        <v>N/A</v>
      </c>
      <c r="CL13" s="88" t="str">
        <f>IFERROR(VLOOKUP($B13,'LOD 300 - COLO1'!$B:CV,99,FALSE),"N/A")</f>
        <v>N/A</v>
      </c>
      <c r="CM13" s="88" t="str">
        <f>IFERROR(VLOOKUP($B13,'LOD 300 - COLO1'!$B:CY,102,FALSE),"N/A")</f>
        <v>N/A</v>
      </c>
      <c r="CN13" s="89" t="str">
        <f>IFERROR(VLOOKUP($B13,'LOD 300 - COLO1'!$B:DB,105,FALSE),"N/A")</f>
        <v>N/A</v>
      </c>
      <c r="CO13" s="87" t="str">
        <f>IFERROR(VLOOKUP($B13,'LOD 300 - COLO1'!$B:EE,108,FALSE),"N/A")</f>
        <v>N/A</v>
      </c>
      <c r="CP13" s="87" t="str">
        <f>IFERROR(VLOOKUP($B13,'LOD 300 - COLO1'!$B:EH,111,FALSE),"N/A")</f>
        <v>N/A</v>
      </c>
      <c r="CQ13" s="87" t="str">
        <f>IFERROR(VLOOKUP($B13,'LOD 300 - COLO1'!$B:EK,114,FALSE),"N/A")</f>
        <v>N/A</v>
      </c>
      <c r="CR13" s="87" t="str">
        <f>IFERROR(VLOOKUP($B13,'LOD 300 - COLO1'!$B:EN,117,FALSE),"N/A")</f>
        <v>N/A</v>
      </c>
      <c r="CS13" s="87" t="str">
        <f>IFERROR(VLOOKUP($B13,'LOD 300 - COLO1'!$B:EQ,120,FALSE),"N/A")</f>
        <v>N/A</v>
      </c>
      <c r="CT13" s="87" t="str">
        <f>IFERROR(VLOOKUP($B13,'LOD 300 - COLO1'!$B:ET,123,FALSE),"N/A")</f>
        <v>N/A</v>
      </c>
      <c r="CU13" s="87" t="str">
        <f>IFERROR(VLOOKUP($B13,'LOD 300 - COLO1'!$B:EW,126,FALSE),"N/A")</f>
        <v>N/A</v>
      </c>
      <c r="CV13" s="87" t="str">
        <f>IFERROR(VLOOKUP($B13,'LOD 300 - COLO1'!$B:EZ,129,FALSE),"N/A")</f>
        <v>N/A</v>
      </c>
      <c r="CW13" s="87" t="str">
        <f>IFERROR(VLOOKUP($B13,'LOD 300 - COLO1'!$B:FC,132,FALSE),"N/A")</f>
        <v>N/A</v>
      </c>
      <c r="CX13" s="96" t="str">
        <f>IFERROR(__xludf.DUMMYFUNCTION("IFERROR(
  MAX(FILTER(BK13:CW13, ISNUMBER(BK13:CW13))),
  CW13
)"),"N/A")</f>
        <v>N/A</v>
      </c>
      <c r="CY13" s="104" t="str">
        <f>IFERROR(VLOOKUP($B13,'LOD 300 - COLO2'!$B:S,18,FALSE),"N/A")</f>
        <v>N/A</v>
      </c>
      <c r="CZ13" s="117" t="str">
        <f>IFERROR(VLOOKUP($B13,'LOD 300 - COLO2'!$B:V,21,FALSE),"N/A")</f>
        <v>N/A</v>
      </c>
      <c r="DA13" s="117" t="str">
        <f>IFERROR(VLOOKUP($B13,'LOD 300 - COLO2'!$B:Y,24,FALSE),"N/A")</f>
        <v>N/A</v>
      </c>
      <c r="DB13" s="117" t="str">
        <f>IFERROR(VLOOKUP($B13,'LOD 300 - COLO2'!$B:AB,27,FALSE),"N/A")</f>
        <v>N/A</v>
      </c>
      <c r="DC13" s="92" t="str">
        <f>IFERROR(VLOOKUP($B13,'LOD 300 - COLO2'!$B:AE,30,FALSE),"N/A")</f>
        <v>N/A</v>
      </c>
      <c r="DD13" s="120" t="str">
        <f>IFERROR(VLOOKUP($B13,'LOD 300 - COLO2'!$B:AH,33,FALSE),"N/A")</f>
        <v>N/A</v>
      </c>
      <c r="DE13" s="117" t="str">
        <f>IFERROR(VLOOKUP($B13,'LOD 300 - COLO2'!$B:AK,36,FALSE),"N/A")</f>
        <v>N/A</v>
      </c>
      <c r="DF13" s="117" t="str">
        <f>IFERROR(VLOOKUP($B13,'LOD 300 - COLO2'!$B:AN,39,FALSE),"N/A")</f>
        <v>N/A</v>
      </c>
      <c r="DG13" s="119" t="str">
        <f>IFERROR(VLOOKUP($B13,'LOD 300 - COLO2'!$B:AQ,42,FALSE),"N/A")</f>
        <v>N/A</v>
      </c>
      <c r="DH13" s="87" t="str">
        <f>IFERROR(VLOOKUP($B13,'LOD 300 - COLO2'!$B:AT,45,FALSE),"N/A")</f>
        <v>N/A</v>
      </c>
      <c r="DI13" s="94" t="str">
        <f>IFERROR(VLOOKUP($B13,'LOD 300 - COLO2'!$B:AW,48,FALSE),"N/A")</f>
        <v>N/A</v>
      </c>
      <c r="DJ13" s="95" t="str">
        <f>IFERROR(VLOOKUP($B13,'LOD 300 - COLO2'!$B:AZ,51,FALSE),"N/A")</f>
        <v>N/A</v>
      </c>
      <c r="DK13" s="86" t="str">
        <f>IFERROR(VLOOKUP($B13,'LOD 300 - COLO2'!$B:BC,54,FALSE),"N/A")</f>
        <v>N/A</v>
      </c>
      <c r="DL13" s="86" t="str">
        <f>IFERROR(VLOOKUP($B13,'LOD 300 - COLO2'!$B:BF,57,FALSE),"N/A")</f>
        <v>N/A</v>
      </c>
      <c r="DM13" s="86" t="str">
        <f>IFERROR(VLOOKUP($B13,'LOD 300 - COLO2'!$B:BI,60,FALSE),"N/A")</f>
        <v>N/A</v>
      </c>
      <c r="DN13" s="86" t="str">
        <f>IFERROR(VLOOKUP($B13,'LOD 300 - COLO2'!$B:BL,63,FALSE),"N/A")</f>
        <v>N/A</v>
      </c>
      <c r="DO13" s="86" t="str">
        <f>IFERROR(VLOOKUP($B13,'LOD 300 - COLO2'!$B:BO,66,FALSE),"N/A")</f>
        <v>N/A</v>
      </c>
      <c r="DP13" s="87" t="str">
        <f>IFERROR(VLOOKUP($B13,'LOD 300 - COLO2'!$B:BR,69,FALSE),"N/A")</f>
        <v>N/A</v>
      </c>
      <c r="DQ13" s="87" t="str">
        <f>IFERROR(VLOOKUP($B13,'LOD 300 - COLO2'!$B:BU,72,FALSE),"N/A")</f>
        <v>N/A</v>
      </c>
      <c r="DR13" s="87" t="str">
        <f>IFERROR(VLOOKUP($B13,'LOD 300 - COLO2'!$B:BX,75,FALSE),"N/A")</f>
        <v>N/A</v>
      </c>
      <c r="DS13" s="98" t="str">
        <f>IFERROR(VLOOKUP($B13,'LOD 300 - COLO2'!$B:CA,78,FALSE),"N/A")</f>
        <v>N/A</v>
      </c>
      <c r="DT13" s="98" t="str">
        <f>IFERROR(VLOOKUP($B13,'LOD 300 - COLO2'!$B:CD,81,FALSE),"N/A")</f>
        <v>N/A</v>
      </c>
      <c r="DU13" s="98" t="str">
        <f>IFERROR(VLOOKUP($B13,'LOD 300 - COLO2'!$B:CG,84,FALSE),"N/A")</f>
        <v>N/A</v>
      </c>
      <c r="DV13" s="98" t="str">
        <f>IFERROR(VLOOKUP($B13,'LOD 300 - COLO2'!$B:CJ,87,FALSE),"N/A")</f>
        <v>N/A</v>
      </c>
      <c r="DW13" s="98" t="str">
        <f>IFERROR(VLOOKUP($B13,'LOD 300 - COLO2'!$B:CM,90,FALSE),"N/A")</f>
        <v>N/A</v>
      </c>
      <c r="DX13" s="98" t="str">
        <f>IFERROR(VLOOKUP($B13,'LOD 300 - COLO2'!$B:CP,93,FALSE),"N/A")</f>
        <v>N/A</v>
      </c>
      <c r="DY13" s="87" t="str">
        <f>IFERROR(VLOOKUP($B13,'LOD 300 - COLO2'!$B:CS,96,FALSE),"N/A")</f>
        <v>N/A</v>
      </c>
      <c r="DZ13" s="87" t="str">
        <f>IFERROR(VLOOKUP($B13,'LOD 300 - COLO2'!$B:CV,99,FALSE),"N/A")</f>
        <v>N/A</v>
      </c>
      <c r="EA13" s="87" t="str">
        <f>IFERROR(VLOOKUP($B13,'LOD 300 - COLO2'!$B:DB,105,FALSE),"N/A")</f>
        <v>N/A</v>
      </c>
      <c r="EB13" s="87" t="str">
        <f>IFERROR(VLOOKUP($B13,'LOD 300 - COLO2'!$B:DB,105,FALSE),"N/A")</f>
        <v>N/A</v>
      </c>
      <c r="EC13" s="87" t="str">
        <f>IFERROR(VLOOKUP($B13,'LOD 300 - COLO2'!$B:DE,108,FALSE),"N/A")</f>
        <v>N/A</v>
      </c>
      <c r="ED13" s="87" t="str">
        <f>IFERROR(VLOOKUP($B13,'LOD 300 - COLO2'!$B:DH,111,FALSE),"N/A")</f>
        <v>N/A</v>
      </c>
      <c r="EE13" s="87" t="str">
        <f>IFERROR(VLOOKUP($B13,'LOD 300 - COLO2'!$B:DK,114,FALSE),"N/A")</f>
        <v>N/A</v>
      </c>
      <c r="EF13" s="87" t="str">
        <f>IFERROR(VLOOKUP($B13,'LOD 300 - COLO2'!$B:DN,117,FALSE),"N/A")</f>
        <v>N/A</v>
      </c>
      <c r="EG13" s="87" t="str">
        <f>IFERROR(VLOOKUP($B13,'LOD 300 - COLO2'!$B:DQ,120,FALSE),"N/A")</f>
        <v>N/A</v>
      </c>
      <c r="EH13" s="99" t="str">
        <f>IFERROR(__xludf.DUMMYFUNCTION("IFERROR(
  MAX(FILTER(CZ13:EG13, ISNUMBER(CZ13:EG13))),
  EG13
)"),"N/A")</f>
        <v>N/A</v>
      </c>
      <c r="EI13" s="100" t="str">
        <f>IFERROR(VLOOKUP($B13,'LOD 300 - COLO3'!$B:R,17,FALSE),"N/A")</f>
        <v>N/A</v>
      </c>
      <c r="EJ13" s="127" t="str">
        <f>IFERROR(VLOOKUP($B13,'LOD 300 - COLO3'!$B:U,20,FALSE),"N/A")</f>
        <v>N/A</v>
      </c>
      <c r="EK13" s="127" t="str">
        <f>IFERROR(VLOOKUP($B13,'LOD 300 - COLO3'!$B:X,23,FALSE),"N/A")</f>
        <v>N/A</v>
      </c>
      <c r="EL13" s="127" t="str">
        <f>IFERROR(VLOOKUP($B13,'LOD 300 - COLO3'!$B:AA,26,FALSE),"N/A")</f>
        <v>N/A</v>
      </c>
      <c r="EM13" s="127" t="str">
        <f>IFERROR(VLOOKUP($B13,'LOD 300 - COLO3'!$B:AD,29,FALSE),"N/A")</f>
        <v>N/A</v>
      </c>
      <c r="EN13" s="127" t="str">
        <f>IFERROR(VLOOKUP($B13,'LOD 300 - COLO3'!$B:AG,32,FALSE),"N/A")</f>
        <v>N/A</v>
      </c>
      <c r="EO13" s="127" t="str">
        <f>IFERROR(VLOOKUP($B13,'LOD 300 - COLO3'!$B:AJ,35,FALSE),"N/A")</f>
        <v>N/A</v>
      </c>
      <c r="EP13" s="100" t="str">
        <f>IFERROR(VLOOKUP($B13,'LOD 300 - COLO3'!$B:AM,38,FALSE),"N/A")</f>
        <v>N/A</v>
      </c>
      <c r="EQ13" s="100" t="str">
        <f>IFERROR(VLOOKUP($B13,'LOD 300 - COLO3'!$B:AP,41,FALSE),"N/A")</f>
        <v>N/A</v>
      </c>
      <c r="ER13" s="100" t="str">
        <f>IFERROR(VLOOKUP($B13,'LOD 300 - COLO3'!$B:AS,44,FALSE),"N/A")</f>
        <v>N/A</v>
      </c>
      <c r="ES13" s="100" t="str">
        <f>IFERROR(VLOOKUP($B13,'LOD 300 - COLO3'!$B:AV,47,FALSE),"N/A")</f>
        <v>N/A</v>
      </c>
      <c r="ET13" s="100" t="str">
        <f>IFERROR(VLOOKUP($B13,'LOD 300 - COLO3'!$B:AY,50,FALSE),"N/A")</f>
        <v>N/A</v>
      </c>
      <c r="EU13" s="100" t="str">
        <f>IFERROR(VLOOKUP($B13,'LOD 300 - COLO3'!$B:BB,53,FALSE),"N/A")</f>
        <v>N/A</v>
      </c>
      <c r="EV13" s="100" t="str">
        <f>IFERROR(VLOOKUP($B13,'LOD 300 - COLO3'!$B:BE,56,FALSE),"N/A")</f>
        <v>N/A</v>
      </c>
      <c r="EW13" s="100" t="str">
        <f>IFERROR(VLOOKUP($B13,'LOD 300 - COLO3'!$B:BL,59,FALSE),"N/A")</f>
        <v>N/A</v>
      </c>
      <c r="EX13" s="100" t="str">
        <f>IFERROR(VLOOKUP($B13,'LOD 300 - COLO3'!$B:BO,62,FALSE),"N/A")</f>
        <v>N/A</v>
      </c>
      <c r="EY13" s="103" t="str">
        <f>IFERROR(__xludf.DUMMYFUNCTION("IFERROR(
  MAX(FILTER(EI13:EX13, ISNUMBER(EI13:EX13))),
  EX13
)"),"N/A")</f>
        <v>N/A</v>
      </c>
      <c r="EZ13" s="104" t="str">
        <f>IFERROR(VLOOKUP($B13,'LOD 300 - COLO4'!$B:BT,17,FALSE),"N/A")</f>
        <v>N/A</v>
      </c>
      <c r="FA13" s="103" t="str">
        <f>IFERROR(__xludf.DUMMYFUNCTION("IFERROR(
  MAX(FILTER(EZ13, ISNUMBER(EZ13))),
  EZ13
)"),"N/A")</f>
        <v>N/A</v>
      </c>
      <c r="FB13" s="121" t="str">
        <f>IFERROR(VLOOKUP($B13,'LOD 300 - SITE'!$B:S,18,FALSE),"N/A")</f>
        <v>NOT PUBLISHED</v>
      </c>
      <c r="FC13" s="122">
        <f>IFERROR(VLOOKUP($B13,'LOD 300 - SITE'!$B:V,21,FALSE),"N/A")</f>
        <v>1</v>
      </c>
      <c r="FD13" s="122">
        <f>IFERROR(VLOOKUP($B13,'LOD 300 - SITE'!$B:Y,24,FALSE),"N/A")</f>
        <v>1</v>
      </c>
      <c r="FE13" s="122">
        <f>IFERROR(VLOOKUP($B13,'LOD 300 - SITE'!$B:AB,27,FALSE),"N/A")</f>
        <v>1</v>
      </c>
      <c r="FF13" s="122">
        <f>IFERROR(VLOOKUP($B13,'LOD 300 - SITE'!$B:AE,30,FALSE),"N/A")</f>
        <v>1</v>
      </c>
      <c r="FG13" s="122">
        <f>IFERROR(VLOOKUP($B13,'LOD 300 - SITE'!$B:AH,33,FALSE),"N/A")</f>
        <v>1</v>
      </c>
      <c r="FH13" s="122">
        <f>IFERROR(VLOOKUP($B13,'LOD 300 - SITE'!$B:AK,36,FALSE),"N/A")</f>
        <v>1</v>
      </c>
      <c r="FI13" s="122">
        <f>IFERROR(VLOOKUP($B13,'LOD 300 - SITE'!$B:AN,39,FALSE),"N/A")</f>
        <v>1</v>
      </c>
      <c r="FJ13" s="122">
        <f>IFERROR(VLOOKUP($B13,'LOD 300 - SITE'!$B:AQ,42,FALSE),"N/A")</f>
        <v>1</v>
      </c>
      <c r="FK13" s="122">
        <f>IFERROR(VLOOKUP($B13,'LOD 300 - SITE'!$B:AT,45,FALSE),"N/A")</f>
        <v>1</v>
      </c>
      <c r="FL13" s="123">
        <f>IFERROR(VLOOKUP($B13,'LOD 300 - SITE'!$B:AW,48,FALSE),"N/A")</f>
        <v>1</v>
      </c>
      <c r="FM13" s="87">
        <f>IFERROR(VLOOKUP($B13,'LOD 300 - SITE'!$B:AZ,51,FALSE),"N/A")</f>
        <v>1</v>
      </c>
      <c r="FN13" s="94">
        <f>IFERROR(VLOOKUP($B13,'LOD 300 - SITE'!$B:BC,54,FALSE),"N/A")</f>
        <v>1</v>
      </c>
      <c r="FO13" s="95">
        <f>IFERROR(VLOOKUP($B13,'LOD 300 - SITE'!$B:BF,57,FALSE),"N/A")</f>
        <v>1</v>
      </c>
      <c r="FP13" s="86">
        <f>IFERROR(VLOOKUP($B13,'LOD 300 - SITE'!$B:BI,60,FALSE),"N/A")</f>
        <v>1</v>
      </c>
      <c r="FQ13" s="86">
        <f>IFERROR(VLOOKUP($B13,'LOD 300 - SITE'!$B:BL,63,FALSE),"N/A")</f>
        <v>1</v>
      </c>
      <c r="FR13" s="86">
        <f>IFERROR(VLOOKUP($B13,'LOD 300 - SITE'!$B:BO,66,FALSE),"N/A")</f>
        <v>1</v>
      </c>
      <c r="FS13" s="86">
        <f>IFERROR(VLOOKUP($B13,'LOD 300 - SITE'!$B:BR,69,FALSE),"N/A")</f>
        <v>1</v>
      </c>
      <c r="FT13" s="86">
        <f>IFERROR(VLOOKUP($B13,'LOD 300 - SITE'!$B:BU,72,FALSE),"N/A")</f>
        <v>1</v>
      </c>
      <c r="FU13" s="86">
        <f>IFERROR(VLOOKUP($B13,'LOD 300 - SITE'!$B:BX,75,FALSE),"N/A")</f>
        <v>1</v>
      </c>
      <c r="FV13" s="86">
        <f>IFERROR(VLOOKUP($B13,'LOD 300 - SITE'!$B:CA,78,FALSE),"N/A")</f>
        <v>1</v>
      </c>
      <c r="FW13" s="87">
        <f>IFERROR(VLOOKUP($B13,'LOD 300 - SITE'!$B:CD,81,FALSE),"N/A")</f>
        <v>1</v>
      </c>
      <c r="FX13" s="108">
        <f>IFERROR(VLOOKUP($B13,'LOD 300 - SITE'!$B:CG,84,FALSE),"N/A")</f>
        <v>1</v>
      </c>
      <c r="FY13" s="108">
        <f>IFERROR(VLOOKUP($B13,'LOD 300 - SITE'!$B:CJ,87,FALSE),"N/A")</f>
        <v>1</v>
      </c>
      <c r="FZ13" s="108">
        <f>IFERROR(VLOOKUP($B13,'LOD 300 - SITE'!$B:CM,90,FALSE),"N/A")</f>
        <v>1</v>
      </c>
      <c r="GA13" s="108">
        <f>IFERROR(VLOOKUP($B13,'LOD 300 - SITE'!$B:CP,93,FALSE),"N/A")</f>
        <v>1</v>
      </c>
      <c r="GB13" s="108">
        <f>IFERROR(VLOOKUP($B13,'LOD 300 - SITE'!$B:CS,96,FALSE),"N/A")</f>
        <v>1</v>
      </c>
      <c r="GC13" s="109">
        <f>IFERROR(VLOOKUP($B13,'LOD 300 - SITE'!$B:CV,99,FALSE),"N/A")</f>
        <v>1</v>
      </c>
      <c r="GD13" s="87">
        <f>IFERROR(VLOOKUP($B13,'LOD 300 - SITE'!$B:CY,102,FALSE),"N/A")</f>
        <v>1</v>
      </c>
      <c r="GE13" s="87">
        <f>IFERROR(VLOOKUP($B13,'LOD 300 - SITE'!$B:DB,105,FALSE),"N/A")</f>
        <v>1</v>
      </c>
      <c r="GF13" s="87">
        <f>IFERROR(VLOOKUP($B13,'LOD 300 - SITE'!$B:DE,108,FALSE),"N/A")</f>
        <v>1</v>
      </c>
      <c r="GG13" s="87">
        <f>IFERROR(VLOOKUP($B13,'LOD 300 - SITE'!$B:DH,111,FALSE),"N/A")</f>
        <v>1</v>
      </c>
      <c r="GH13" s="87">
        <f>IFERROR(VLOOKUP($B13,'LOD 300 - SITE'!$B:DK,114,FALSE),"N/A")</f>
        <v>1</v>
      </c>
      <c r="GI13" s="87">
        <f>IFERROR(VLOOKUP($B13,'LOD 300 - SITE'!$B:DN,117,FALSE),"N/A")</f>
        <v>1</v>
      </c>
      <c r="GJ13" s="87">
        <f>IFERROR(VLOOKUP($B13,'LOD 300 - SITE'!$B:DQ,120,FALSE),"N/A")</f>
        <v>1</v>
      </c>
      <c r="GK13" s="87">
        <f>IFERROR(VLOOKUP($B13,'LOD 300 - SITE'!$B:DT,123,FALSE),"N/A")</f>
        <v>1</v>
      </c>
      <c r="GL13" s="87">
        <f>IFERROR(VLOOKUP($B13,'LOD 300 - SITE'!$B:DW,126,FALSE),"N/A")</f>
        <v>1</v>
      </c>
      <c r="GM13" s="110">
        <f>IFERROR(__xludf.DUMMYFUNCTION("IFERROR(
  MAX(FILTER(FB13:GL13, ISNUMBER(FB13:GL13))),
  GL13
)"),1.0)</f>
        <v>1</v>
      </c>
      <c r="GN13" s="135"/>
      <c r="GO13" s="135"/>
      <c r="GP13" s="135"/>
    </row>
    <row r="14" ht="15.0" customHeight="1" outlineLevel="1">
      <c r="A14" s="60">
        <v>16.0</v>
      </c>
      <c r="B14" s="140" t="s">
        <v>112</v>
      </c>
      <c r="C14" s="70" t="s">
        <v>113</v>
      </c>
      <c r="D14" s="71" t="s">
        <v>85</v>
      </c>
      <c r="E14" s="138" t="s">
        <v>114</v>
      </c>
      <c r="F14" s="149">
        <v>1106.0</v>
      </c>
      <c r="G14" s="139" t="s">
        <v>115</v>
      </c>
      <c r="H14" s="150">
        <v>0.0</v>
      </c>
      <c r="I14" s="74" t="str">
        <f>IFERROR(VLOOKUP(C11:C153,'R22 RELATÓRIO ACC'!B:F,5,FALSE),"NOT PUBLISHED")</f>
        <v>NOT PUBLISHED</v>
      </c>
      <c r="J14" s="74" t="str">
        <f>IFERROR(VLOOKUP(C11:C153,'R22 RELATÓRIO ACC'!B:P,15,FALSE),"NOT PUBLISHED")</f>
        <v>NOT PUBLISHED</v>
      </c>
      <c r="K14" s="141" t="str">
        <f>IFERROR(VLOOKUP(B11:B202,'RELATÓRIO ACC'!B:F,5,FALSE),"NOT PUBLISHED")</f>
        <v>NOT PUBLISHED</v>
      </c>
      <c r="L14" s="142" t="str">
        <f>IFERROR(VLOOKUP(B11:B202,'RELATÓRIO ACC'!B:P,15,FALSE),"NOT PUBLISHED")</f>
        <v>NOT PUBLISHED</v>
      </c>
      <c r="M14" s="76" t="str">
        <f>IF(OR($D14="UTLS",$D14="GUAR",$D14="STIR",$D14="PUMP",$D14="SITE"),
   VLOOKUP($B14,'LOD 300 - SITE'!B:M,12,FALSE),
   VLOOKUP($B14,'LOD 300 - ADMN'!B:M,12,FALSE)
)</f>
        <v>NOT PUBLISHED</v>
      </c>
      <c r="N14" s="76" t="str">
        <f>IF(OR($D14="UTLS",$D14="GUAR",$D14="STIR",$D14="PUMP",$D14="SITE"),
   VLOOKUP($B14,'LOD 300 - SITE'!B:N,13,FALSE),
   VLOOKUP($B14,'LOD 300 - ADMN'!B:N,13,FALSE)
)</f>
        <v>NOT PUBLISHED</v>
      </c>
      <c r="O14" s="78" t="str">
        <f>IF(OR($D14="UTLS",$D14="GUAR",$D14="STIR",$D14="PUMP",$D14="SITE"),
   VLOOKUP($B14,'LOD 300 - SITE'!B:O,14,FALSE),
   VLOOKUP($B14,'LOD 300 - ADMN'!B:O,14,FALSE)
)</f>
        <v>NOT PUBLISHED</v>
      </c>
      <c r="P14" s="79" t="str">
        <f>IF(OR($D14="C345",$D14="C12A",$D14="DATA"),
   VLOOKUP($B14,'LOD 300 - COLO3'!B:M,12,FALSE),"N/A")</f>
        <v>NOT PUBLISHED</v>
      </c>
      <c r="Q14" s="76" t="str">
        <f>IF(OR($D14="C345",$D14="C12A",$D14="DATA"),
   VLOOKUP($B14,'LOD 300 - COLO3'!B:N,13,FALSE),"N/A")</f>
        <v>NOT PUBLISHED</v>
      </c>
      <c r="R14" s="76" t="str">
        <f>IF(OR($D14="C345",$D14="C12A",$D14="DATA"),
   VLOOKUP($B14,'LOD 300 - COLO3'!B:O,14,FALSE),"N/A")</f>
        <v>NOT PUBLISHED</v>
      </c>
      <c r="S14" s="79" t="str">
        <f>IF(OR($D14="C345",$D14="C12A",$D14="DATA"),
   VLOOKUP($B14,'LOD 300 - COLO4'!B:M,12,FALSE),"N/A")</f>
        <v>N/A</v>
      </c>
      <c r="T14" s="76" t="str">
        <f>IF(OR($D14="C345",$D14="C12A",$D14="DATA"),
   VLOOKUP($B14,'LOD 300 - COLO4'!B:T,13,FALSE),"N/A")</f>
        <v>N/A</v>
      </c>
      <c r="U14" s="76" t="str">
        <f>IF(OR($D14="C345",$D14="C12A",$D14="DATA"),
   VLOOKUP($B14,'LOD 300 - COLO4'!B:U,17,FALSE),"N/A")</f>
        <v>NOT PUBLISHED</v>
      </c>
      <c r="V14" s="126"/>
      <c r="W14" s="144" t="str">
        <f>IFERROR(VLOOKUP($B14,'LOD 300 - ADMN'!$B:S,18,FALSE),"N/A")</f>
        <v>NOT PUBLISHED</v>
      </c>
      <c r="X14" s="122" t="str">
        <f>IFERROR(VLOOKUP($B14,'LOD 300 - ADMN'!$B:V,21,FALSE),"N/A")</f>
        <v>NOT PUBLISHED</v>
      </c>
      <c r="Y14" s="122" t="str">
        <f>IFERROR(VLOOKUP($B14,'LOD 300 - ADMN'!$B:Y,24,FALSE),"N/A")</f>
        <v>NOT PUBLISHED</v>
      </c>
      <c r="Z14" s="122" t="str">
        <f>IFERROR(VLOOKUP($B14,'LOD 300 - ADMN'!$B:AB,27,FALSE),"N/A")</f>
        <v>NOT PUBLISHED</v>
      </c>
      <c r="AA14" s="122" t="str">
        <f>IFERROR(VLOOKUP($B14,'LOD 300 - ADMN'!$B:AE,30,FALSE),"N/A")</f>
        <v>NOT PUBLISHED</v>
      </c>
      <c r="AB14" s="145" t="str">
        <f>IFERROR(VLOOKUP($B14,'LOD 300 - ADMN'!$B:AH,33,FALSE),"N/A")</f>
        <v>NOT PUBLISHED</v>
      </c>
      <c r="AC14" s="145" t="str">
        <f>IFERROR(VLOOKUP($B14,'LOD 300 - ADMN'!$B:AK,36,FALSE),"N/A")</f>
        <v>NOT PUBLISHED</v>
      </c>
      <c r="AD14" s="122" t="str">
        <f>IFERROR(VLOOKUP($B14,'LOD 300 - ADMN'!$B:AN,39,FALSE),"N/A")</f>
        <v>NOT PUBLISHED</v>
      </c>
      <c r="AE14" s="122" t="str">
        <f>IFERROR(VLOOKUP($B14,'LOD 300 - ADMN'!$B:AQ,42,FALSE),"N/A")</f>
        <v>NOT PUBLISHED</v>
      </c>
      <c r="AF14" s="122" t="str">
        <f>IFERROR(VLOOKUP($B14,'LOD 300 - ADMN'!$B:AT,45,FALSE),"N/A")</f>
        <v>NOT PUBLISHED</v>
      </c>
      <c r="AG14" s="122" t="str">
        <f>IFERROR(VLOOKUP($B14,'LOD 300 - ADMN'!$B:AW,48,FALSE),"N/A")</f>
        <v>NOT PUBLISHED</v>
      </c>
      <c r="AH14" s="122" t="str">
        <f>IFERROR(VLOOKUP($B14,'LOD 300 - ADMN'!$B:AZ,51,FALSE),"N/A")</f>
        <v>NOT PUBLISHED</v>
      </c>
      <c r="AI14" s="122" t="str">
        <f>IFERROR(VLOOKUP($B14,'LOD 300 - ADMN'!$B:BC,54,FALSE),"N/A")</f>
        <v>NOT PUBLISHED</v>
      </c>
      <c r="AJ14" s="87" t="str">
        <f>IFERROR(VLOOKUP($B14,'LOD 300 - ADMN'!$B:BF,57,FALSE),"N/A")</f>
        <v>NOT PUBLISHED</v>
      </c>
      <c r="AK14" s="87" t="str">
        <f>IFERROR(VLOOKUP($B14,'LOD 300 - ADMN'!$B:EP,60,FALSE),"N/A")</f>
        <v>NOT PUBLISHED</v>
      </c>
      <c r="AL14" s="87" t="str">
        <f>IFERROR(VLOOKUP($B14,'LOD 300 - ADMN'!$B:EQ,63,FALSE),"N/A")</f>
        <v>NOT PUBLISHED</v>
      </c>
      <c r="AM14" s="87" t="str">
        <f>IFERROR(VLOOKUP($B14,'LOD 300 - ADMN'!$B:BO,66,FALSE),"N/A")</f>
        <v>NOT PUBLISHED</v>
      </c>
      <c r="AN14" s="87" t="str">
        <f>IFERROR(VLOOKUP($B14,'LOD 300 - ADMN'!$B:BR,69,FALSE),"N/A")</f>
        <v>NOT PUBLISHED</v>
      </c>
      <c r="AO14" s="87" t="str">
        <f>IFERROR(VLOOKUP($B14,'LOD 300 - ADMN'!$B:BU,72,FALSE),"N/A")</f>
        <v>NOT PUBLISHED</v>
      </c>
      <c r="AP14" s="87" t="str">
        <f>IFERROR(VLOOKUP($B14,'LOD 300 - ADMN'!$B:BX,75,FALSE),"N/A")</f>
        <v>NOT PUBLISHED</v>
      </c>
      <c r="AQ14" s="87" t="str">
        <f>IFERROR(VLOOKUP($B14,'LOD 300 - ADMN'!$B:CA,78,FALSE),"N/A")</f>
        <v>NOT PUBLISHED</v>
      </c>
      <c r="AR14" s="87" t="str">
        <f>IFERROR(VLOOKUP($B14,'LOD 300 - ADMN'!$B:CD,81,FALSE),"N/A")</f>
        <v>NOT PUBLISHED</v>
      </c>
      <c r="AS14" s="87" t="str">
        <f>IFERROR(VLOOKUP($B14,'LOD 300 - ADMN'!$B:CG,84,FALSE),"N/A")</f>
        <v>NOT PUBLISHED</v>
      </c>
      <c r="AT14" s="87" t="str">
        <f>IFERROR(VLOOKUP($B14,'LOD 300 - ADMN'!$B:CJ,87,FALSE),"N/A")</f>
        <v>NOT PUBLISHED</v>
      </c>
      <c r="AU14" s="88" t="str">
        <f>IFERROR(VLOOKUP($B14,'LOD 300 - ADMN'!$B:CM,90,FALSE),"N/A")</f>
        <v>NOT PUBLISHED</v>
      </c>
      <c r="AV14" s="88" t="str">
        <f>IFERROR(VLOOKUP($B14,'LOD 300 - ADMN'!$B:CP,93,FALSE),"N/A")</f>
        <v>NOT PUBLISHED</v>
      </c>
      <c r="AW14" s="88" t="str">
        <f>IFERROR(VLOOKUP($B14,'LOD 300 - ADMN'!$B:CS,96,FALSE),"N/A")</f>
        <v>NOT PUBLISHED</v>
      </c>
      <c r="AX14" s="88" t="str">
        <f>IFERROR(VLOOKUP($B14,'LOD 300 - ADMN'!$B:CV,99,FALSE),"N/A")</f>
        <v>NOT PUBLISHED</v>
      </c>
      <c r="AY14" s="88" t="str">
        <f>IFERROR(VLOOKUP($B14,'LOD 300 - ADMN'!$B:CY,102,FALSE),"N/A")</f>
        <v>NOT PUBLISHED</v>
      </c>
      <c r="AZ14" s="88" t="str">
        <f>IFERROR(VLOOKUP($B14,'LOD 300 - ADMN'!$B:DB,105,FALSE),"N/A")</f>
        <v>NOT PUBLISHED</v>
      </c>
      <c r="BA14" s="87" t="str">
        <f>IFERROR(VLOOKUP($B14,'LOD 300 - ADMN'!$B:DE,108,FALSE),"N/A")</f>
        <v>NOT PUBLISHED</v>
      </c>
      <c r="BB14" s="87" t="str">
        <f>IFERROR(VLOOKUP($B14,'LOD 300 - ADMN'!$B:DH,111,FALSE),"N/A")</f>
        <v>NOT PUBLISHED</v>
      </c>
      <c r="BC14" s="87" t="str">
        <f>IFERROR(VLOOKUP($B14,'LOD 300 - ADMN'!$B:DK,114,FALSE),"N/A")</f>
        <v>NOT PUBLISHED</v>
      </c>
      <c r="BD14" s="87" t="str">
        <f>IFERROR(VLOOKUP($B14,'LOD 300 - ADMN'!$B:DN,117,FALSE),"N/A")</f>
        <v>NOT PUBLISHED</v>
      </c>
      <c r="BE14" s="87" t="str">
        <f>IFERROR(VLOOKUP($B14,'LOD 300 - ADMN'!$B:DQ,120,FALSE),"N/A")</f>
        <v>NOT PUBLISHED</v>
      </c>
      <c r="BF14" s="87" t="str">
        <f>IFERROR(VLOOKUP($B14,'LOD 300 - ADMN'!$B:DT,123,FALSE),"N/A")</f>
        <v>NOT PUBLISHED</v>
      </c>
      <c r="BG14" s="87" t="str">
        <f>IFERROR(VLOOKUP($B14,'LOD 300 - ADMN'!$B:DW,126,FALSE),"N/A")</f>
        <v>NOT PUBLISHED</v>
      </c>
      <c r="BH14" s="87" t="str">
        <f>IFERROR(VLOOKUP($B14,'LOD 300 - ADMN'!$B:DZ,129,FALSE),"N/A")</f>
        <v>NOT PUBLISHED</v>
      </c>
      <c r="BI14" s="134"/>
      <c r="BJ14" s="90" t="str">
        <f>IFERROR(__xludf.DUMMYFUNCTION("IFERROR(
  MAX(FILTER(X14:BH14, ISNUMBER(X14:BH14))),
  BH14
)"),"NOT PUBLISHED")</f>
        <v>NOT PUBLISHED</v>
      </c>
      <c r="BK14" s="91" t="str">
        <f>IFERROR(VLOOKUP($B14,'LOD 300 - COLO1'!$B:S,18,FALSE),"N/A")</f>
        <v>NOT PUBLISHED</v>
      </c>
      <c r="BL14" s="92" t="str">
        <f>IFERROR(VLOOKUP($B14,'LOD 300 - COLO1'!$B:V,21,FALSE),"N/A")</f>
        <v>NOT PUBLISHED</v>
      </c>
      <c r="BM14" s="92" t="str">
        <f>IFERROR(VLOOKUP($B14,'LOD 300 - COLO1'!$B:Y,24,FALSE),"N/A")</f>
        <v>NOT PUBLISHED</v>
      </c>
      <c r="BN14" s="92" t="str">
        <f>IFERROR(VLOOKUP($B14,'LOD 300 - COLO1'!$B:AB,27,FALSE),"N/A")</f>
        <v>NOT PUBLISHED</v>
      </c>
      <c r="BO14" s="92" t="str">
        <f>IFERROR(VLOOKUP($B14,'LOD 300 - COLO1'!$B:AE,30,FALSE),"N/A")</f>
        <v>NOT PUBLISHED</v>
      </c>
      <c r="BP14" s="92" t="str">
        <f>IFERROR(VLOOKUP($B14,'LOD 300 - COLO1'!$B:AH,33,FALSE),"N/A")</f>
        <v>NOT PUBLISHED</v>
      </c>
      <c r="BQ14" s="92" t="str">
        <f>IFERROR(VLOOKUP($B14,'LOD 300 - COLO1'!$B:AK,36,FALSE),"N/A")</f>
        <v>NOT PUBLISHED</v>
      </c>
      <c r="BR14" s="92" t="str">
        <f>IFERROR(VLOOKUP($B14,'LOD 300 - COLO1'!$B:AN,39,FALSE),"N/A")</f>
        <v>NOT PUBLISHED</v>
      </c>
      <c r="BS14" s="92" t="str">
        <f>IFERROR(VLOOKUP($B14,'LOD 300 - COLO1'!$B:AQ,42,FALSE),"N/A")</f>
        <v>NOT PUBLISHED</v>
      </c>
      <c r="BT14" s="92" t="str">
        <f>IFERROR(VLOOKUP($B14,'LOD 300 - COLO1'!$B:AT,45,FALSE),"N/A")</f>
        <v>NOT PUBLISHED</v>
      </c>
      <c r="BU14" s="92" t="str">
        <f>IFERROR(VLOOKUP($B14,'LOD 300 - COLO1'!$B:AW,48,FALSE),"N/A")</f>
        <v>NOT PUBLISHED</v>
      </c>
      <c r="BV14" s="92" t="str">
        <f>IFERROR(VLOOKUP($B14,'LOD 300 - COLO1'!$B:AZ,51,FALSE),"N/A")</f>
        <v>NOT PUBLISHED</v>
      </c>
      <c r="BW14" s="92" t="str">
        <f>IFERROR(VLOOKUP($B14,'LOD 300 - COLO1'!$B:BC,54,FALSE),"N/A")</f>
        <v>NOT PUBLISHED</v>
      </c>
      <c r="BX14" s="94" t="str">
        <f>IFERROR(VLOOKUP($B14,'LOD 300 - COLO1'!$B:BF,57,FALSE),"N/A")</f>
        <v>NOT PUBLISHED</v>
      </c>
      <c r="BY14" s="94" t="str">
        <f>IFERROR(VLOOKUP($B14,'LOD 300 - COLO1'!$B:BI,60,FALSE),"N/A")</f>
        <v>NOT PUBLISHED</v>
      </c>
      <c r="BZ14" s="95" t="str">
        <f>IFERROR(VLOOKUP($B14,'LOD 300 - COLO1'!$B:BL,63,FALSE),"N/A")</f>
        <v>NOT PUBLISHED</v>
      </c>
      <c r="CA14" s="86" t="str">
        <f>IFERROR(VLOOKUP($B14,'LOD 300 - COLO1'!$B:BO,66,FALSE),"N/A")</f>
        <v>NOT PUBLISHED</v>
      </c>
      <c r="CB14" s="86" t="str">
        <f>IFERROR(VLOOKUP($B14,'LOD 300 - COLO1'!$B:BR,69,FALSE),"N/A")</f>
        <v>NOT PUBLISHED</v>
      </c>
      <c r="CC14" s="86" t="str">
        <f>IFERROR(VLOOKUP($B14,'LOD 300 - COLO1'!$B:BU,72,FALSE),"N/A")</f>
        <v>NOT PUBLISHED</v>
      </c>
      <c r="CD14" s="86" t="str">
        <f>IFERROR(VLOOKUP($B14,'LOD 300 - COLO1'!$B:BX,75,FALSE),"N/A")</f>
        <v>NOT PUBLISHED</v>
      </c>
      <c r="CE14" s="86" t="str">
        <f>IFERROR(VLOOKUP($B14,'LOD 300 - COLO1'!$B:CA,78,FALSE),"N/A")</f>
        <v>NOT PUBLISHED</v>
      </c>
      <c r="CF14" s="87" t="str">
        <f>IFERROR(VLOOKUP($B14,'LOD 300 - COLO1'!$B:CD,81,FALSE),"N/A")</f>
        <v>NOT PUBLISHED</v>
      </c>
      <c r="CG14" s="86" t="str">
        <f>IFERROR(VLOOKUP($B14,'LOD 300 - COLO1'!$B:CG,84,FALSE),"N/A")</f>
        <v>NOT PUBLISHED</v>
      </c>
      <c r="CH14" s="87" t="str">
        <f>IFERROR(VLOOKUP($B14,'LOD 300 - COLO1'!$B:CJ,87,FALSE),"N/A")</f>
        <v>NOT PUBLISHED</v>
      </c>
      <c r="CI14" s="88" t="str">
        <f>IFERROR(VLOOKUP($B14,'LOD 300 - COLO1'!$B:CM,90,FALSE),"N/A")</f>
        <v>NOT PUBLISHED</v>
      </c>
      <c r="CJ14" s="88" t="str">
        <f>IFERROR(VLOOKUP($B14,'LOD 300 - COLO1'!$B:CP,93,FALSE),"N/A")</f>
        <v>NOT PUBLISHED</v>
      </c>
      <c r="CK14" s="88" t="str">
        <f>IFERROR(VLOOKUP($B14,'LOD 300 - COLO1'!$B:CS,96,FALSE),"N/A")</f>
        <v>NOT PUBLISHED</v>
      </c>
      <c r="CL14" s="88" t="str">
        <f>IFERROR(VLOOKUP($B14,'LOD 300 - COLO1'!$B:CV,99,FALSE),"N/A")</f>
        <v>NOT PUBLISHED</v>
      </c>
      <c r="CM14" s="88" t="str">
        <f>IFERROR(VLOOKUP($B14,'LOD 300 - COLO1'!$B:CY,102,FALSE),"N/A")</f>
        <v>NOT PUBLISHED</v>
      </c>
      <c r="CN14" s="89" t="str">
        <f>IFERROR(VLOOKUP($B14,'LOD 300 - COLO1'!$B:DB,105,FALSE),"N/A")</f>
        <v>NOT PUBLISHED</v>
      </c>
      <c r="CO14" s="87" t="str">
        <f>IFERROR(VLOOKUP($B14,'LOD 300 - COLO1'!$B:EE,108,FALSE),"N/A")</f>
        <v>NOT PUBLISHED</v>
      </c>
      <c r="CP14" s="87" t="str">
        <f>IFERROR(VLOOKUP($B14,'LOD 300 - COLO1'!$B:EH,111,FALSE),"N/A")</f>
        <v>NOT PUBLISHED</v>
      </c>
      <c r="CQ14" s="87" t="str">
        <f>IFERROR(VLOOKUP($B14,'LOD 300 - COLO1'!$B:EK,114,FALSE),"N/A")</f>
        <v>NOT PUBLISHED</v>
      </c>
      <c r="CR14" s="87" t="str">
        <f>IFERROR(VLOOKUP($B14,'LOD 300 - COLO1'!$B:EN,117,FALSE),"N/A")</f>
        <v>NOT PUBLISHED</v>
      </c>
      <c r="CS14" s="87" t="str">
        <f>IFERROR(VLOOKUP($B14,'LOD 300 - COLO1'!$B:EQ,120,FALSE),"N/A")</f>
        <v>NOT PUBLISHED</v>
      </c>
      <c r="CT14" s="87" t="str">
        <f>IFERROR(VLOOKUP($B14,'LOD 300 - COLO1'!$B:ET,123,FALSE),"N/A")</f>
        <v>NOT PUBLISHED</v>
      </c>
      <c r="CU14" s="87" t="str">
        <f>IFERROR(VLOOKUP($B14,'LOD 300 - COLO1'!$B:EW,126,FALSE),"N/A")</f>
        <v>NOT PUBLISHED</v>
      </c>
      <c r="CV14" s="87" t="str">
        <f>IFERROR(VLOOKUP($B14,'LOD 300 - COLO1'!$B:EZ,129,FALSE),"N/A")</f>
        <v>NOT PUBLISHED</v>
      </c>
      <c r="CW14" s="135"/>
      <c r="CX14" s="96" t="str">
        <f>IFERROR(__xludf.DUMMYFUNCTION("IFERROR(
  MAX(FILTER(BK14:CV14, ISNUMBER(BK14:CV14))),
  CV14
)"),"NOT PUBLISHED")</f>
        <v>NOT PUBLISHED</v>
      </c>
      <c r="CY14" s="104" t="str">
        <f>IFERROR(VLOOKUP($B14,'LOD 300 - COLO2'!$B:S,18,FALSE),"N/A")</f>
        <v>NOT PUBLISHED</v>
      </c>
      <c r="CZ14" s="117" t="str">
        <f>IFERROR(VLOOKUP($B14,'LOD 300 - COLO2'!$B:V,21,FALSE),"N/A")</f>
        <v>NOT PUBLISHED</v>
      </c>
      <c r="DA14" s="117" t="str">
        <f>IFERROR(VLOOKUP($B14,'LOD 300 - COLO2'!$B:Y,24,FALSE),"N/A")</f>
        <v>NOT PUBLISHED</v>
      </c>
      <c r="DB14" s="117" t="str">
        <f>IFERROR(VLOOKUP($B14,'LOD 300 - COLO2'!$B:AB,27,FALSE),"N/A")</f>
        <v>NOT PUBLISHED</v>
      </c>
      <c r="DC14" s="92" t="str">
        <f>IFERROR(VLOOKUP($B14,'LOD 300 - COLO2'!$B:AE,30,FALSE),"N/A")</f>
        <v>NOT PUBLISHED</v>
      </c>
      <c r="DD14" s="120" t="str">
        <f>IFERROR(VLOOKUP($B14,'LOD 300 - COLO2'!$B:AH,33,FALSE),"N/A")</f>
        <v>NOT PUBLISHED</v>
      </c>
      <c r="DE14" s="117" t="str">
        <f>IFERROR(VLOOKUP($B14,'LOD 300 - COLO2'!$B:AK,36,FALSE),"N/A")</f>
        <v>NOT PUBLISHED</v>
      </c>
      <c r="DF14" s="117" t="str">
        <f>IFERROR(VLOOKUP($B14,'LOD 300 - COLO2'!$B:AN,39,FALSE),"N/A")</f>
        <v>NOT PUBLISHED</v>
      </c>
      <c r="DG14" s="119" t="str">
        <f>IFERROR(VLOOKUP($B14,'LOD 300 - COLO2'!$B:AQ,42,FALSE),"N/A")</f>
        <v>NOT PUBLISHED</v>
      </c>
      <c r="DH14" s="87" t="str">
        <f>IFERROR(VLOOKUP($B14,'LOD 300 - COLO2'!$B:AT,45,FALSE),"N/A")</f>
        <v>NOT PUBLISHED</v>
      </c>
      <c r="DI14" s="94" t="str">
        <f>IFERROR(VLOOKUP($B14,'LOD 300 - COLO2'!$B:AW,48,FALSE),"N/A")</f>
        <v>NOT PUBLISHED</v>
      </c>
      <c r="DJ14" s="95" t="str">
        <f>IFERROR(VLOOKUP($B14,'LOD 300 - COLO2'!$B:AZ,51,FALSE),"N/A")</f>
        <v>NOT PUBLISHED</v>
      </c>
      <c r="DK14" s="86" t="str">
        <f>IFERROR(VLOOKUP($B14,'LOD 300 - COLO2'!$B:BC,54,FALSE),"N/A")</f>
        <v>NOT PUBLISHED</v>
      </c>
      <c r="DL14" s="86" t="str">
        <f>IFERROR(VLOOKUP($B14,'LOD 300 - COLO2'!$B:BF,57,FALSE),"N/A")</f>
        <v>NOT PUBLISHED</v>
      </c>
      <c r="DM14" s="86" t="str">
        <f>IFERROR(VLOOKUP($B14,'LOD 300 - COLO2'!$B:BI,60,FALSE),"N/A")</f>
        <v>NOT PUBLISHED</v>
      </c>
      <c r="DN14" s="86" t="str">
        <f>IFERROR(VLOOKUP($B14,'LOD 300 - COLO2'!$B:BL,63,FALSE),"N/A")</f>
        <v>NOT PUBLISHED</v>
      </c>
      <c r="DO14" s="86" t="str">
        <f>IFERROR(VLOOKUP($B14,'LOD 300 - COLO2'!$B:BO,66,FALSE),"N/A")</f>
        <v>NOT PUBLISHED</v>
      </c>
      <c r="DP14" s="87" t="str">
        <f>IFERROR(VLOOKUP($B14,'LOD 300 - COLO2'!$B:BR,69,FALSE),"N/A")</f>
        <v>NOT PUBLISHED</v>
      </c>
      <c r="DQ14" s="87" t="str">
        <f>IFERROR(VLOOKUP($B14,'LOD 300 - COLO2'!$B:BU,72,FALSE),"N/A")</f>
        <v>NOT PUBLISHED</v>
      </c>
      <c r="DR14" s="87" t="str">
        <f>IFERROR(VLOOKUP($B14,'LOD 300 - COLO2'!$B:BX,75,FALSE),"N/A")</f>
        <v>NOT PUBLISHED</v>
      </c>
      <c r="DS14" s="98" t="str">
        <f>IFERROR(VLOOKUP($B14,'LOD 300 - COLO2'!$B:CA,78,FALSE),"N/A")</f>
        <v>NOT PUBLISHED</v>
      </c>
      <c r="DT14" s="98" t="str">
        <f>IFERROR(VLOOKUP($B14,'LOD 300 - COLO2'!$B:CD,81,FALSE),"N/A")</f>
        <v>NOT PUBLISHED</v>
      </c>
      <c r="DU14" s="98" t="str">
        <f>IFERROR(VLOOKUP($B14,'LOD 300 - COLO2'!$B:CG,84,FALSE),"N/A")</f>
        <v>NOT PUBLISHED</v>
      </c>
      <c r="DV14" s="98" t="str">
        <f>IFERROR(VLOOKUP($B14,'LOD 300 - COLO2'!$B:CJ,87,FALSE),"N/A")</f>
        <v>NOT PUBLISHED</v>
      </c>
      <c r="DW14" s="98" t="str">
        <f>IFERROR(VLOOKUP($B14,'LOD 300 - COLO2'!$B:CM,90,FALSE),"N/A")</f>
        <v>NOT PUBLISHED</v>
      </c>
      <c r="DX14" s="98" t="str">
        <f>IFERROR(VLOOKUP($B14,'LOD 300 - COLO2'!$B:CP,93,FALSE),"N/A")</f>
        <v>NOT PUBLISHED</v>
      </c>
      <c r="DY14" s="87" t="str">
        <f>IFERROR(VLOOKUP($B14,'LOD 300 - COLO2'!$B:CS,96,FALSE),"N/A")</f>
        <v>NOT PUBLISHED</v>
      </c>
      <c r="DZ14" s="87" t="str">
        <f>IFERROR(VLOOKUP($B14,'LOD 300 - COLO2'!$B:CV,99,FALSE),"N/A")</f>
        <v>NOT PUBLISHED</v>
      </c>
      <c r="EA14" s="87" t="str">
        <f>IFERROR(VLOOKUP($B14,'LOD 300 - COLO2'!$B:DB,105,FALSE),"N/A")</f>
        <v>NOT PUBLISHED</v>
      </c>
      <c r="EB14" s="87" t="str">
        <f>IFERROR(VLOOKUP($B14,'LOD 300 - COLO2'!$B:DB,105,FALSE),"N/A")</f>
        <v>NOT PUBLISHED</v>
      </c>
      <c r="EC14" s="87" t="str">
        <f>IFERROR(VLOOKUP($B14,'LOD 300 - COLO2'!$B:DE,108,FALSE),"N/A")</f>
        <v>NOT PUBLISHED</v>
      </c>
      <c r="ED14" s="87" t="str">
        <f>IFERROR(VLOOKUP($B14,'LOD 300 - COLO2'!$B:DH,111,FALSE),"N/A")</f>
        <v>NOT PUBLISHED</v>
      </c>
      <c r="EE14" s="87" t="str">
        <f>IFERROR(VLOOKUP($B14,'LOD 300 - COLO2'!$B:DK,114,FALSE),"N/A")</f>
        <v>NOT PUBLISHED</v>
      </c>
      <c r="EF14" s="87" t="str">
        <f>IFERROR(VLOOKUP($B14,'LOD 300 - COLO2'!$B:DN,117,FALSE),"N/A")</f>
        <v>NOT PUBLISHED</v>
      </c>
      <c r="EG14" s="135"/>
      <c r="EH14" s="99" t="str">
        <f>IFERROR(__xludf.DUMMYFUNCTION("IFERROR(
  MAX(FILTER(CZ14:EF14, ISNUMBER(CZ14:EF14))),
  EF14
)"),"NOT PUBLISHED")</f>
        <v>NOT PUBLISHED</v>
      </c>
      <c r="EI14" s="100" t="str">
        <f>IFERROR(VLOOKUP($B14,'LOD 300 - COLO3'!$B:R,17,FALSE),"N/A")</f>
        <v>NOT PUBLISHED</v>
      </c>
      <c r="EJ14" s="127" t="str">
        <f>IFERROR(VLOOKUP($B14,'LOD 300 - COLO3'!$B:U,20,FALSE),"N/A")</f>
        <v>NOT PUBLISHED</v>
      </c>
      <c r="EK14" s="127" t="str">
        <f>IFERROR(VLOOKUP($B14,'LOD 300 - COLO3'!$B:X,23,FALSE),"N/A")</f>
        <v>NOT PUBLISHED</v>
      </c>
      <c r="EL14" s="127" t="str">
        <f>IFERROR(VLOOKUP($B14,'LOD 300 - COLO3'!$B:AA,26,FALSE),"N/A")</f>
        <v>NOT PUBLISHED</v>
      </c>
      <c r="EM14" s="127" t="str">
        <f>IFERROR(VLOOKUP($B14,'LOD 300 - COLO3'!$B:AD,29,FALSE),"N/A")</f>
        <v>NOT PUBLISHED</v>
      </c>
      <c r="EN14" s="127" t="str">
        <f>IFERROR(VLOOKUP($B14,'LOD 300 - COLO3'!$B:AG,32,FALSE),"N/A")</f>
        <v>NOT PUBLISHED</v>
      </c>
      <c r="EO14" s="127" t="str">
        <f>IFERROR(VLOOKUP($B14,'LOD 300 - COLO3'!$B:AJ,35,FALSE),"N/A")</f>
        <v>NOT PUBLISHED</v>
      </c>
      <c r="EP14" s="100" t="str">
        <f>IFERROR(VLOOKUP($B14,'LOD 300 - COLO3'!$B:AM,38,FALSE),"N/A")</f>
        <v>NOT PUBLISHED</v>
      </c>
      <c r="EQ14" s="100" t="str">
        <f>IFERROR(VLOOKUP($B14,'LOD 300 - COLO3'!$B:AP,41,FALSE),"N/A")</f>
        <v>NOT PUBLISHED</v>
      </c>
      <c r="ER14" s="100" t="str">
        <f>IFERROR(VLOOKUP($B14,'LOD 300 - COLO3'!$B:AS,44,FALSE),"N/A")</f>
        <v>NOT PUBLISHED</v>
      </c>
      <c r="ES14" s="100" t="str">
        <f>IFERROR(VLOOKUP($B14,'LOD 300 - COLO3'!$B:AV,47,FALSE),"N/A")</f>
        <v>NOT PUBLISHED</v>
      </c>
      <c r="ET14" s="100" t="str">
        <f>IFERROR(VLOOKUP($B14,'LOD 300 - COLO3'!$B:AY,50,FALSE),"N/A")</f>
        <v>NOT PUBLISHED</v>
      </c>
      <c r="EU14" s="100" t="str">
        <f>IFERROR(VLOOKUP($B14,'LOD 300 - COLO3'!$B:BB,53,FALSE),"N/A")</f>
        <v>NOT PUBLISHED</v>
      </c>
      <c r="EV14" s="100" t="str">
        <f>IFERROR(VLOOKUP($B14,'LOD 300 - COLO3'!$B:BE,56,FALSE),"N/A")</f>
        <v>NOT PUBLISHED</v>
      </c>
      <c r="EW14" s="100" t="str">
        <f>IFERROR(VLOOKUP($B14,'LOD 300 - COLO3'!$B:BL,59,FALSE),"N/A")</f>
        <v>NOT PUBLISHED</v>
      </c>
      <c r="EX14" s="136"/>
      <c r="EY14" s="103" t="str">
        <f>IFERROR(__xludf.DUMMYFUNCTION("IFERROR(
  MAX(FILTER(EI14:EW14, ISNUMBER(EI14:EW14))),
  EW14
)"),"NOT PUBLISHED")</f>
        <v>NOT PUBLISHED</v>
      </c>
      <c r="EZ14" s="104" t="str">
        <f>IFERROR(VLOOKUP($B14,'LOD 300 - COLO4'!$B:BT,17,FALSE),"N/A")</f>
        <v>NOT PUBLISHED</v>
      </c>
      <c r="FA14" s="103" t="str">
        <f>IFERROR(__xludf.DUMMYFUNCTION("IFERROR(
  MAX(FILTER(EZ14, ISNUMBER(EZ14))),
  EZ14
)"),"NOT PUBLISHED")</f>
        <v>NOT PUBLISHED</v>
      </c>
      <c r="FB14" s="121" t="str">
        <f>IFERROR(VLOOKUP($B14,'LOD 300 - SITE'!$B:S,18,FALSE),"N/A")</f>
        <v>N/A</v>
      </c>
      <c r="FC14" s="122" t="str">
        <f>IFERROR(VLOOKUP($B14,'LOD 300 - SITE'!$B:V,21,FALSE),"N/A")</f>
        <v>N/A</v>
      </c>
      <c r="FD14" s="122" t="str">
        <f>IFERROR(VLOOKUP($B14,'LOD 300 - SITE'!$B:Y,24,FALSE),"N/A")</f>
        <v>N/A</v>
      </c>
      <c r="FE14" s="122" t="str">
        <f>IFERROR(VLOOKUP($B14,'LOD 300 - SITE'!$B:AB,27,FALSE),"N/A")</f>
        <v>N/A</v>
      </c>
      <c r="FF14" s="122" t="str">
        <f>IFERROR(VLOOKUP($B14,'LOD 300 - SITE'!$B:AE,30,FALSE),"N/A")</f>
        <v>N/A</v>
      </c>
      <c r="FG14" s="122" t="str">
        <f>IFERROR(VLOOKUP($B14,'LOD 300 - SITE'!$B:AH,33,FALSE),"N/A")</f>
        <v>N/A</v>
      </c>
      <c r="FH14" s="122" t="str">
        <f>IFERROR(VLOOKUP($B14,'LOD 300 - SITE'!$B:AK,36,FALSE),"N/A")</f>
        <v>N/A</v>
      </c>
      <c r="FI14" s="122" t="str">
        <f>IFERROR(VLOOKUP($B14,'LOD 300 - SITE'!$B:AN,39,FALSE),"N/A")</f>
        <v>N/A</v>
      </c>
      <c r="FJ14" s="122" t="str">
        <f>IFERROR(VLOOKUP($B14,'LOD 300 - SITE'!$B:AQ,42,FALSE),"N/A")</f>
        <v>N/A</v>
      </c>
      <c r="FK14" s="122" t="str">
        <f>IFERROR(VLOOKUP($B14,'LOD 300 - SITE'!$B:AT,45,FALSE),"N/A")</f>
        <v>N/A</v>
      </c>
      <c r="FL14" s="123" t="str">
        <f>IFERROR(VLOOKUP($B14,'LOD 300 - SITE'!$B:AW,48,FALSE),"N/A")</f>
        <v>N/A</v>
      </c>
      <c r="FM14" s="87" t="str">
        <f>IFERROR(VLOOKUP($B14,'LOD 300 - SITE'!$B:AZ,51,FALSE),"N/A")</f>
        <v>N/A</v>
      </c>
      <c r="FN14" s="94" t="str">
        <f>IFERROR(VLOOKUP($B14,'LOD 300 - SITE'!$B:BC,54,FALSE),"N/A")</f>
        <v>N/A</v>
      </c>
      <c r="FO14" s="95" t="str">
        <f>IFERROR(VLOOKUP($B14,'LOD 300 - SITE'!$B:BF,57,FALSE),"N/A")</f>
        <v>N/A</v>
      </c>
      <c r="FP14" s="86" t="str">
        <f>IFERROR(VLOOKUP($B14,'LOD 300 - SITE'!$B:BI,60,FALSE),"N/A")</f>
        <v>N/A</v>
      </c>
      <c r="FQ14" s="86" t="str">
        <f>IFERROR(VLOOKUP($B14,'LOD 300 - SITE'!$B:BL,63,FALSE),"N/A")</f>
        <v>N/A</v>
      </c>
      <c r="FR14" s="86" t="str">
        <f>IFERROR(VLOOKUP($B14,'LOD 300 - SITE'!$B:BO,66,FALSE),"N/A")</f>
        <v>N/A</v>
      </c>
      <c r="FS14" s="86" t="str">
        <f>IFERROR(VLOOKUP($B14,'LOD 300 - SITE'!$B:BR,69,FALSE),"N/A")</f>
        <v>N/A</v>
      </c>
      <c r="FT14" s="86" t="str">
        <f>IFERROR(VLOOKUP($B14,'LOD 300 - SITE'!$B:BU,72,FALSE),"N/A")</f>
        <v>N/A</v>
      </c>
      <c r="FU14" s="86" t="str">
        <f>IFERROR(VLOOKUP($B14,'LOD 300 - SITE'!$B:BX,75,FALSE),"N/A")</f>
        <v>N/A</v>
      </c>
      <c r="FV14" s="86" t="str">
        <f>IFERROR(VLOOKUP($B14,'LOD 300 - SITE'!$B:CA,78,FALSE),"N/A")</f>
        <v>N/A</v>
      </c>
      <c r="FW14" s="87" t="str">
        <f>IFERROR(VLOOKUP($B14,'LOD 300 - SITE'!$B:CD,81,FALSE),"N/A")</f>
        <v>N/A</v>
      </c>
      <c r="FX14" s="108" t="str">
        <f>IFERROR(VLOOKUP($B14,'LOD 300 - SITE'!$B:CG,84,FALSE),"N/A")</f>
        <v>N/A</v>
      </c>
      <c r="FY14" s="108" t="str">
        <f>IFERROR(VLOOKUP($B14,'LOD 300 - SITE'!$B:CJ,87,FALSE),"N/A")</f>
        <v>N/A</v>
      </c>
      <c r="FZ14" s="108" t="str">
        <f>IFERROR(VLOOKUP($B14,'LOD 300 - SITE'!$B:CM,90,FALSE),"N/A")</f>
        <v>N/A</v>
      </c>
      <c r="GA14" s="108" t="str">
        <f>IFERROR(VLOOKUP($B14,'LOD 300 - SITE'!$B:CP,93,FALSE),"N/A")</f>
        <v>N/A</v>
      </c>
      <c r="GB14" s="108" t="str">
        <f>IFERROR(VLOOKUP($B14,'LOD 300 - SITE'!$B:CS,96,FALSE),"N/A")</f>
        <v>N/A</v>
      </c>
      <c r="GC14" s="109" t="str">
        <f>IFERROR(VLOOKUP($B14,'LOD 300 - SITE'!$B:CV,99,FALSE),"N/A")</f>
        <v>N/A</v>
      </c>
      <c r="GD14" s="87" t="str">
        <f>IFERROR(VLOOKUP($B14,'LOD 300 - SITE'!$B:CY,102,FALSE),"N/A")</f>
        <v>N/A</v>
      </c>
      <c r="GE14" s="87" t="str">
        <f>IFERROR(VLOOKUP($B14,'LOD 300 - SITE'!$B:DB,105,FALSE),"N/A")</f>
        <v>N/A</v>
      </c>
      <c r="GF14" s="87" t="str">
        <f>IFERROR(VLOOKUP($B14,'LOD 300 - SITE'!$B:DE,108,FALSE),"N/A")</f>
        <v>N/A</v>
      </c>
      <c r="GG14" s="87" t="str">
        <f>IFERROR(VLOOKUP($B14,'LOD 300 - SITE'!$B:DH,111,FALSE),"N/A")</f>
        <v>N/A</v>
      </c>
      <c r="GH14" s="87" t="str">
        <f>IFERROR(VLOOKUP($B14,'LOD 300 - SITE'!$B:DK,114,FALSE),"N/A")</f>
        <v>N/A</v>
      </c>
      <c r="GI14" s="87" t="str">
        <f>IFERROR(VLOOKUP($B14,'LOD 300 - SITE'!$B:DN,117,FALSE),"N/A")</f>
        <v>N/A</v>
      </c>
      <c r="GJ14" s="87" t="str">
        <f>IFERROR(VLOOKUP($B14,'LOD 300 - SITE'!$B:DQ,120,FALSE),"N/A")</f>
        <v>N/A</v>
      </c>
      <c r="GK14" s="87" t="str">
        <f>IFERROR(VLOOKUP($B14,'LOD 300 - SITE'!$B:DT,123,FALSE),"N/A")</f>
        <v>N/A</v>
      </c>
      <c r="GL14" s="135"/>
      <c r="GM14" s="110" t="str">
        <f>IFERROR(__xludf.DUMMYFUNCTION("IFERROR(
  MAX(FILTER(FB14:GK14, ISNUMBER(FB14:GK14))),
  GK14
)"),"N/A")</f>
        <v>N/A</v>
      </c>
      <c r="GN14" s="68"/>
      <c r="GO14" s="68"/>
      <c r="GP14" s="68"/>
    </row>
    <row r="15" ht="15.0" customHeight="1" outlineLevel="1">
      <c r="A15" s="60">
        <v>18.0</v>
      </c>
      <c r="B15" s="140" t="s">
        <v>116</v>
      </c>
      <c r="C15" s="70" t="s">
        <v>117</v>
      </c>
      <c r="D15" s="71" t="s">
        <v>85</v>
      </c>
      <c r="E15" s="146" t="s">
        <v>118</v>
      </c>
      <c r="F15" s="149">
        <v>1107.0</v>
      </c>
      <c r="G15" s="147" t="s">
        <v>119</v>
      </c>
      <c r="H15" s="150">
        <v>0.0</v>
      </c>
      <c r="I15" s="74" t="str">
        <f>IFERROR(VLOOKUP(C12:C154,'R22 RELATÓRIO ACC'!B:F,5,FALSE),"NOT PUBLISHED")</f>
        <v>NOT PUBLISHED</v>
      </c>
      <c r="J15" s="74" t="str">
        <f>IFERROR(VLOOKUP(C12:C154,'R22 RELATÓRIO ACC'!B:P,15,FALSE),"NOT PUBLISHED")</f>
        <v>NOT PUBLISHED</v>
      </c>
      <c r="K15" s="141" t="str">
        <f>IFERROR(VLOOKUP(B13:B204,'RELATÓRIO ACC'!B:F,5,FALSE),"NOT PUBLISHED")</f>
        <v>NOT PUBLISHED</v>
      </c>
      <c r="L15" s="142" t="str">
        <f>IFERROR(VLOOKUP(B13:B204,'RELATÓRIO ACC'!B:P,15,FALSE),"NOT PUBLISHED")</f>
        <v>NOT PUBLISHED</v>
      </c>
      <c r="M15" s="76" t="str">
        <f>IF(OR($D15="UTLS",$D15="GUAR",$D15="STIR",$D15="PUMP",$D15="SITE"),
   VLOOKUP($B15,'LOD 300 - SITE'!B:M,12,FALSE),
   VLOOKUP($B15,'LOD 300 - ADMN'!B:M,12,FALSE)
)</f>
        <v>NOT PUBLISHED</v>
      </c>
      <c r="N15" s="76" t="str">
        <f>IF(OR($D15="UTLS",$D15="GUAR",$D15="STIR",$D15="PUMP",$D15="SITE"),
   VLOOKUP($B15,'LOD 300 - SITE'!B:N,13,FALSE),
   VLOOKUP($B15,'LOD 300 - ADMN'!B:N,13,FALSE)
)</f>
        <v>NOT PUBLISHED</v>
      </c>
      <c r="O15" s="78" t="str">
        <f>IF(OR($D15="UTLS",$D15="GUAR",$D15="STIR",$D15="PUMP",$D15="SITE"),
   VLOOKUP($B15,'LOD 300 - SITE'!B:O,14,FALSE),
   VLOOKUP($B15,'LOD 300 - ADMN'!B:O,14,FALSE)
)</f>
        <v>NOT PUBLISHED</v>
      </c>
      <c r="P15" s="79" t="str">
        <f>IF(OR($D15="C345",$D15="C12A",$D15="DATA"),
   VLOOKUP($B15,'LOD 300 - COLO3'!B:M,12,FALSE),"N/A")</f>
        <v>NOT PUBLISHED</v>
      </c>
      <c r="Q15" s="76" t="str">
        <f>IF(OR($D15="C345",$D15="C12A",$D15="DATA"),
   VLOOKUP($B15,'LOD 300 - COLO3'!B:N,13,FALSE),"N/A")</f>
        <v>NOT PUBLISHED</v>
      </c>
      <c r="R15" s="76" t="str">
        <f>IF(OR($D15="C345",$D15="C12A",$D15="DATA"),
   VLOOKUP($B15,'LOD 300 - COLO3'!B:O,14,FALSE),"N/A")</f>
        <v>NOT PUBLISHED</v>
      </c>
      <c r="S15" s="79" t="str">
        <f>IF(OR($D15="C345",$D15="C12A",$D15="DATA"),
   VLOOKUP($B15,'LOD 300 - COLO4'!B:M,12,FALSE),"N/A")</f>
        <v>N/A</v>
      </c>
      <c r="T15" s="76" t="str">
        <f>IF(OR($D15="C345",$D15="C12A",$D15="DATA"),
   VLOOKUP($B15,'LOD 300 - COLO4'!B:T,13,FALSE),"N/A")</f>
        <v>N/A</v>
      </c>
      <c r="U15" s="76" t="str">
        <f>IF(OR($D15="C345",$D15="C12A",$D15="DATA"),
   VLOOKUP($B15,'LOD 300 - COLO4'!B:U,17,FALSE),"N/A")</f>
        <v>NOT PUBLISHED</v>
      </c>
      <c r="V15" s="126"/>
      <c r="W15" s="144" t="str">
        <f>IFERROR(VLOOKUP($B15,'LOD 300 - ADMN'!$B:S,18,FALSE),"N/A")</f>
        <v>NOT PUBLISHED</v>
      </c>
      <c r="X15" s="122" t="str">
        <f>IFERROR(VLOOKUP($B15,'LOD 300 - ADMN'!$B:V,21,FALSE),"N/A")</f>
        <v>NOT PUBLISHED</v>
      </c>
      <c r="Y15" s="122" t="str">
        <f>IFERROR(VLOOKUP($B15,'LOD 300 - ADMN'!$B:Y,24,FALSE),"N/A")</f>
        <v>NOT PUBLISHED</v>
      </c>
      <c r="Z15" s="122" t="str">
        <f>IFERROR(VLOOKUP($B15,'LOD 300 - ADMN'!$B:AB,27,FALSE),"N/A")</f>
        <v>NOT PUBLISHED</v>
      </c>
      <c r="AA15" s="122" t="str">
        <f>IFERROR(VLOOKUP($B15,'LOD 300 - ADMN'!$B:AE,30,FALSE),"N/A")</f>
        <v>NOT PUBLISHED</v>
      </c>
      <c r="AB15" s="145" t="str">
        <f>IFERROR(VLOOKUP($B15,'LOD 300 - ADMN'!$B:AH,33,FALSE),"N/A")</f>
        <v>NOT PUBLISHED</v>
      </c>
      <c r="AC15" s="145" t="str">
        <f>IFERROR(VLOOKUP($B15,'LOD 300 - ADMN'!$B:AK,36,FALSE),"N/A")</f>
        <v>NOT PUBLISHED</v>
      </c>
      <c r="AD15" s="122" t="str">
        <f>IFERROR(VLOOKUP($B15,'LOD 300 - ADMN'!$B:AN,39,FALSE),"N/A")</f>
        <v>NOT PUBLISHED</v>
      </c>
      <c r="AE15" s="122" t="str">
        <f>IFERROR(VLOOKUP($B15,'LOD 300 - ADMN'!$B:AQ,42,FALSE),"N/A")</f>
        <v>NOT PUBLISHED</v>
      </c>
      <c r="AF15" s="122" t="str">
        <f>IFERROR(VLOOKUP($B15,'LOD 300 - ADMN'!$B:AT,45,FALSE),"N/A")</f>
        <v>NOT PUBLISHED</v>
      </c>
      <c r="AG15" s="122" t="str">
        <f>IFERROR(VLOOKUP($B15,'LOD 300 - ADMN'!$B:AW,48,FALSE),"N/A")</f>
        <v>NOT PUBLISHED</v>
      </c>
      <c r="AH15" s="122" t="str">
        <f>IFERROR(VLOOKUP($B15,'LOD 300 - ADMN'!$B:AZ,51,FALSE),"N/A")</f>
        <v>NOT PUBLISHED</v>
      </c>
      <c r="AI15" s="122" t="str">
        <f>IFERROR(VLOOKUP($B15,'LOD 300 - ADMN'!$B:BC,54,FALSE),"N/A")</f>
        <v>NOT PUBLISHED</v>
      </c>
      <c r="AJ15" s="87" t="str">
        <f>IFERROR(VLOOKUP($B15,'LOD 300 - ADMN'!$B:BF,57,FALSE),"N/A")</f>
        <v>NOT PUBLISHED</v>
      </c>
      <c r="AK15" s="87" t="str">
        <f>IFERROR(VLOOKUP($B15,'LOD 300 - ADMN'!$B:EP,60,FALSE),"N/A")</f>
        <v>NOT PUBLISHED</v>
      </c>
      <c r="AL15" s="87" t="str">
        <f>IFERROR(VLOOKUP($B15,'LOD 300 - ADMN'!$B:EQ,63,FALSE),"N/A")</f>
        <v>NOT PUBLISHED</v>
      </c>
      <c r="AM15" s="87" t="str">
        <f>IFERROR(VLOOKUP($B15,'LOD 300 - ADMN'!$B:BO,66,FALSE),"N/A")</f>
        <v>NOT PUBLISHED</v>
      </c>
      <c r="AN15" s="87" t="str">
        <f>IFERROR(VLOOKUP($B15,'LOD 300 - ADMN'!$B:BR,69,FALSE),"N/A")</f>
        <v>NOT PUBLISHED</v>
      </c>
      <c r="AO15" s="87" t="str">
        <f>IFERROR(VLOOKUP($B15,'LOD 300 - ADMN'!$B:BU,72,FALSE),"N/A")</f>
        <v>NOT PUBLISHED</v>
      </c>
      <c r="AP15" s="87" t="str">
        <f>IFERROR(VLOOKUP($B15,'LOD 300 - ADMN'!$B:BX,75,FALSE),"N/A")</f>
        <v>NOT PUBLISHED</v>
      </c>
      <c r="AQ15" s="87" t="str">
        <f>IFERROR(VLOOKUP($B15,'LOD 300 - ADMN'!$B:CA,78,FALSE),"N/A")</f>
        <v>NOT PUBLISHED</v>
      </c>
      <c r="AR15" s="87" t="str">
        <f>IFERROR(VLOOKUP($B15,'LOD 300 - ADMN'!$B:CD,81,FALSE),"N/A")</f>
        <v>NOT PUBLISHED</v>
      </c>
      <c r="AS15" s="87" t="str">
        <f>IFERROR(VLOOKUP($B15,'LOD 300 - ADMN'!$B:CG,84,FALSE),"N/A")</f>
        <v>NOT PUBLISHED</v>
      </c>
      <c r="AT15" s="87" t="str">
        <f>IFERROR(VLOOKUP($B15,'LOD 300 - ADMN'!$B:CJ,87,FALSE),"N/A")</f>
        <v>NOT PUBLISHED</v>
      </c>
      <c r="AU15" s="88" t="str">
        <f>IFERROR(VLOOKUP($B15,'LOD 300 - ADMN'!$B:CM,90,FALSE),"N/A")</f>
        <v>NOT PUBLISHED</v>
      </c>
      <c r="AV15" s="88" t="str">
        <f>IFERROR(VLOOKUP($B15,'LOD 300 - ADMN'!$B:CP,93,FALSE),"N/A")</f>
        <v>NOT PUBLISHED</v>
      </c>
      <c r="AW15" s="88" t="str">
        <f>IFERROR(VLOOKUP($B15,'LOD 300 - ADMN'!$B:CS,96,FALSE),"N/A")</f>
        <v>NOT PUBLISHED</v>
      </c>
      <c r="AX15" s="88" t="str">
        <f>IFERROR(VLOOKUP($B15,'LOD 300 - ADMN'!$B:CV,99,FALSE),"N/A")</f>
        <v>NOT PUBLISHED</v>
      </c>
      <c r="AY15" s="88" t="str">
        <f>IFERROR(VLOOKUP($B15,'LOD 300 - ADMN'!$B:CY,102,FALSE),"N/A")</f>
        <v>NOT PUBLISHED</v>
      </c>
      <c r="AZ15" s="88" t="str">
        <f>IFERROR(VLOOKUP($B15,'LOD 300 - ADMN'!$B:DB,105,FALSE),"N/A")</f>
        <v>NOT PUBLISHED</v>
      </c>
      <c r="BA15" s="87" t="str">
        <f>IFERROR(VLOOKUP($B15,'LOD 300 - ADMN'!$B:DE,108,FALSE),"N/A")</f>
        <v>NOT PUBLISHED</v>
      </c>
      <c r="BB15" s="87" t="str">
        <f>IFERROR(VLOOKUP($B15,'LOD 300 - ADMN'!$B:DH,111,FALSE),"N/A")</f>
        <v>NOT PUBLISHED</v>
      </c>
      <c r="BC15" s="87" t="str">
        <f>IFERROR(VLOOKUP($B15,'LOD 300 - ADMN'!$B:DK,114,FALSE),"N/A")</f>
        <v>NOT PUBLISHED</v>
      </c>
      <c r="BD15" s="87" t="str">
        <f>IFERROR(VLOOKUP($B15,'LOD 300 - ADMN'!$B:DN,117,FALSE),"N/A")</f>
        <v>NOT PUBLISHED</v>
      </c>
      <c r="BE15" s="87" t="str">
        <f>IFERROR(VLOOKUP($B15,'LOD 300 - ADMN'!$B:DQ,120,FALSE),"N/A")</f>
        <v>NOT PUBLISHED</v>
      </c>
      <c r="BF15" s="87" t="str">
        <f>IFERROR(VLOOKUP($B15,'LOD 300 - ADMN'!$B:DT,123,FALSE),"N/A")</f>
        <v>NOT PUBLISHED</v>
      </c>
      <c r="BG15" s="87" t="str">
        <f>IFERROR(VLOOKUP($B15,'LOD 300 - ADMN'!$B:DW,126,FALSE),"N/A")</f>
        <v>NOT PUBLISHED</v>
      </c>
      <c r="BH15" s="87" t="str">
        <f>IFERROR(VLOOKUP($B15,'LOD 300 - ADMN'!$B:DZ,129,FALSE),"N/A")</f>
        <v>NOT PUBLISHED</v>
      </c>
      <c r="BI15" s="134"/>
      <c r="BJ15" s="90" t="str">
        <f>IFERROR(__xludf.DUMMYFUNCTION("IFERROR(
  MAX(FILTER(X15:BH15, ISNUMBER(X15:BH15))),
  BH15
)"),"NOT PUBLISHED")</f>
        <v>NOT PUBLISHED</v>
      </c>
      <c r="BK15" s="91" t="str">
        <f>IFERROR(VLOOKUP($B15,'LOD 300 - COLO1'!$B:S,18,FALSE),"N/A")</f>
        <v>NOT PUBLISHED</v>
      </c>
      <c r="BL15" s="92" t="str">
        <f>IFERROR(VLOOKUP($B15,'LOD 300 - COLO1'!$B:V,21,FALSE),"N/A")</f>
        <v>NOT PUBLISHED</v>
      </c>
      <c r="BM15" s="92" t="str">
        <f>IFERROR(VLOOKUP($B15,'LOD 300 - COLO1'!$B:Y,24,FALSE),"N/A")</f>
        <v>NOT PUBLISHED</v>
      </c>
      <c r="BN15" s="92" t="str">
        <f>IFERROR(VLOOKUP($B15,'LOD 300 - COLO1'!$B:AB,27,FALSE),"N/A")</f>
        <v>NOT PUBLISHED</v>
      </c>
      <c r="BO15" s="92" t="str">
        <f>IFERROR(VLOOKUP($B15,'LOD 300 - COLO1'!$B:AE,30,FALSE),"N/A")</f>
        <v>NOT PUBLISHED</v>
      </c>
      <c r="BP15" s="92" t="str">
        <f>IFERROR(VLOOKUP($B15,'LOD 300 - COLO1'!$B:AH,33,FALSE),"N/A")</f>
        <v>NOT PUBLISHED</v>
      </c>
      <c r="BQ15" s="92" t="str">
        <f>IFERROR(VLOOKUP($B15,'LOD 300 - COLO1'!$B:AK,36,FALSE),"N/A")</f>
        <v>NOT PUBLISHED</v>
      </c>
      <c r="BR15" s="92" t="str">
        <f>IFERROR(VLOOKUP($B15,'LOD 300 - COLO1'!$B:AN,39,FALSE),"N/A")</f>
        <v>NOT PUBLISHED</v>
      </c>
      <c r="BS15" s="92" t="str">
        <f>IFERROR(VLOOKUP($B15,'LOD 300 - COLO1'!$B:AQ,42,FALSE),"N/A")</f>
        <v>NOT PUBLISHED</v>
      </c>
      <c r="BT15" s="92" t="str">
        <f>IFERROR(VLOOKUP($B15,'LOD 300 - COLO1'!$B:AT,45,FALSE),"N/A")</f>
        <v>NOT PUBLISHED</v>
      </c>
      <c r="BU15" s="92" t="str">
        <f>IFERROR(VLOOKUP($B15,'LOD 300 - COLO1'!$B:AW,48,FALSE),"N/A")</f>
        <v>NOT PUBLISHED</v>
      </c>
      <c r="BV15" s="92" t="str">
        <f>IFERROR(VLOOKUP($B15,'LOD 300 - COLO1'!$B:AZ,51,FALSE),"N/A")</f>
        <v>NOT PUBLISHED</v>
      </c>
      <c r="BW15" s="92" t="str">
        <f>IFERROR(VLOOKUP($B15,'LOD 300 - COLO1'!$B:BC,54,FALSE),"N/A")</f>
        <v>NOT PUBLISHED</v>
      </c>
      <c r="BX15" s="94" t="str">
        <f>IFERROR(VLOOKUP($B15,'LOD 300 - COLO1'!$B:BF,57,FALSE),"N/A")</f>
        <v>NOT PUBLISHED</v>
      </c>
      <c r="BY15" s="94" t="str">
        <f>IFERROR(VLOOKUP($B15,'LOD 300 - COLO1'!$B:BI,60,FALSE),"N/A")</f>
        <v>NOT PUBLISHED</v>
      </c>
      <c r="BZ15" s="95" t="str">
        <f>IFERROR(VLOOKUP($B15,'LOD 300 - COLO1'!$B:BL,63,FALSE),"N/A")</f>
        <v>NOT PUBLISHED</v>
      </c>
      <c r="CA15" s="86" t="str">
        <f>IFERROR(VLOOKUP($B15,'LOD 300 - COLO1'!$B:BO,66,FALSE),"N/A")</f>
        <v>NOT PUBLISHED</v>
      </c>
      <c r="CB15" s="86" t="str">
        <f>IFERROR(VLOOKUP($B15,'LOD 300 - COLO1'!$B:BR,69,FALSE),"N/A")</f>
        <v>NOT PUBLISHED</v>
      </c>
      <c r="CC15" s="86" t="str">
        <f>IFERROR(VLOOKUP($B15,'LOD 300 - COLO1'!$B:BU,72,FALSE),"N/A")</f>
        <v>NOT PUBLISHED</v>
      </c>
      <c r="CD15" s="86" t="str">
        <f>IFERROR(VLOOKUP($B15,'LOD 300 - COLO1'!$B:BX,75,FALSE),"N/A")</f>
        <v>NOT PUBLISHED</v>
      </c>
      <c r="CE15" s="86" t="str">
        <f>IFERROR(VLOOKUP($B15,'LOD 300 - COLO1'!$B:CA,78,FALSE),"N/A")</f>
        <v>NOT PUBLISHED</v>
      </c>
      <c r="CF15" s="87" t="str">
        <f>IFERROR(VLOOKUP($B15,'LOD 300 - COLO1'!$B:CD,81,FALSE),"N/A")</f>
        <v>NOT PUBLISHED</v>
      </c>
      <c r="CG15" s="86" t="str">
        <f>IFERROR(VLOOKUP($B15,'LOD 300 - COLO1'!$B:CG,84,FALSE),"N/A")</f>
        <v>NOT PUBLISHED</v>
      </c>
      <c r="CH15" s="87" t="str">
        <f>IFERROR(VLOOKUP($B15,'LOD 300 - COLO1'!$B:CJ,87,FALSE),"N/A")</f>
        <v>NOT PUBLISHED</v>
      </c>
      <c r="CI15" s="88" t="str">
        <f>IFERROR(VLOOKUP($B15,'LOD 300 - COLO1'!$B:CM,90,FALSE),"N/A")</f>
        <v>NOT PUBLISHED</v>
      </c>
      <c r="CJ15" s="88" t="str">
        <f>IFERROR(VLOOKUP($B15,'LOD 300 - COLO1'!$B:CP,93,FALSE),"N/A")</f>
        <v>NOT PUBLISHED</v>
      </c>
      <c r="CK15" s="88" t="str">
        <f>IFERROR(VLOOKUP($B15,'LOD 300 - COLO1'!$B:CS,96,FALSE),"N/A")</f>
        <v>NOT PUBLISHED</v>
      </c>
      <c r="CL15" s="88" t="str">
        <f>IFERROR(VLOOKUP($B15,'LOD 300 - COLO1'!$B:CV,99,FALSE),"N/A")</f>
        <v>NOT PUBLISHED</v>
      </c>
      <c r="CM15" s="88" t="str">
        <f>IFERROR(VLOOKUP($B15,'LOD 300 - COLO1'!$B:CY,102,FALSE),"N/A")</f>
        <v>NOT PUBLISHED</v>
      </c>
      <c r="CN15" s="89" t="str">
        <f>IFERROR(VLOOKUP($B15,'LOD 300 - COLO1'!$B:DB,105,FALSE),"N/A")</f>
        <v>NOT PUBLISHED</v>
      </c>
      <c r="CO15" s="87" t="str">
        <f>IFERROR(VLOOKUP($B15,'LOD 300 - COLO1'!$B:EE,108,FALSE),"N/A")</f>
        <v>NOT PUBLISHED</v>
      </c>
      <c r="CP15" s="87" t="str">
        <f>IFERROR(VLOOKUP($B15,'LOD 300 - COLO1'!$B:EH,111,FALSE),"N/A")</f>
        <v>NOT PUBLISHED</v>
      </c>
      <c r="CQ15" s="87" t="str">
        <f>IFERROR(VLOOKUP($B15,'LOD 300 - COLO1'!$B:EK,114,FALSE),"N/A")</f>
        <v>NOT PUBLISHED</v>
      </c>
      <c r="CR15" s="87" t="str">
        <f>IFERROR(VLOOKUP($B15,'LOD 300 - COLO1'!$B:EN,117,FALSE),"N/A")</f>
        <v>NOT PUBLISHED</v>
      </c>
      <c r="CS15" s="87" t="str">
        <f>IFERROR(VLOOKUP($B15,'LOD 300 - COLO1'!$B:EQ,120,FALSE),"N/A")</f>
        <v>NOT PUBLISHED</v>
      </c>
      <c r="CT15" s="87" t="str">
        <f>IFERROR(VLOOKUP($B15,'LOD 300 - COLO1'!$B:ET,123,FALSE),"N/A")</f>
        <v>NOT PUBLISHED</v>
      </c>
      <c r="CU15" s="87" t="str">
        <f>IFERROR(VLOOKUP($B15,'LOD 300 - COLO1'!$B:EW,126,FALSE),"N/A")</f>
        <v>NOT PUBLISHED</v>
      </c>
      <c r="CV15" s="87" t="str">
        <f>IFERROR(VLOOKUP($B15,'LOD 300 - COLO1'!$B:EZ,129,FALSE),"N/A")</f>
        <v>NOT PUBLISHED</v>
      </c>
      <c r="CW15" s="135"/>
      <c r="CX15" s="96" t="str">
        <f>IFERROR(__xludf.DUMMYFUNCTION("IFERROR(
  MAX(FILTER(BK15:CV15, ISNUMBER(BK15:CV15))),
  CV15
)"),"NOT PUBLISHED")</f>
        <v>NOT PUBLISHED</v>
      </c>
      <c r="CY15" s="104" t="str">
        <f>IFERROR(VLOOKUP($B15,'LOD 300 - COLO2'!$B:S,18,FALSE),"N/A")</f>
        <v>NOT PUBLISHED</v>
      </c>
      <c r="CZ15" s="117" t="str">
        <f>IFERROR(VLOOKUP($B15,'LOD 300 - COLO2'!$B:V,21,FALSE),"N/A")</f>
        <v>NOT PUBLISHED</v>
      </c>
      <c r="DA15" s="117" t="str">
        <f>IFERROR(VLOOKUP($B15,'LOD 300 - COLO2'!$B:Y,24,FALSE),"N/A")</f>
        <v>NOT PUBLISHED</v>
      </c>
      <c r="DB15" s="117" t="str">
        <f>IFERROR(VLOOKUP($B15,'LOD 300 - COLO2'!$B:AB,27,FALSE),"N/A")</f>
        <v>NOT PUBLISHED</v>
      </c>
      <c r="DC15" s="92" t="str">
        <f>IFERROR(VLOOKUP($B15,'LOD 300 - COLO2'!$B:AE,30,FALSE),"N/A")</f>
        <v>NOT PUBLISHED</v>
      </c>
      <c r="DD15" s="120" t="str">
        <f>IFERROR(VLOOKUP($B15,'LOD 300 - COLO2'!$B:AH,33,FALSE),"N/A")</f>
        <v>NOT PUBLISHED</v>
      </c>
      <c r="DE15" s="117" t="str">
        <f>IFERROR(VLOOKUP($B15,'LOD 300 - COLO2'!$B:AK,36,FALSE),"N/A")</f>
        <v>NOT PUBLISHED</v>
      </c>
      <c r="DF15" s="117" t="str">
        <f>IFERROR(VLOOKUP($B15,'LOD 300 - COLO2'!$B:AN,39,FALSE),"N/A")</f>
        <v>NOT PUBLISHED</v>
      </c>
      <c r="DG15" s="119" t="str">
        <f>IFERROR(VLOOKUP($B15,'LOD 300 - COLO2'!$B:AQ,42,FALSE),"N/A")</f>
        <v>NOT PUBLISHED</v>
      </c>
      <c r="DH15" s="87" t="str">
        <f>IFERROR(VLOOKUP($B15,'LOD 300 - COLO2'!$B:AT,45,FALSE),"N/A")</f>
        <v>NOT PUBLISHED</v>
      </c>
      <c r="DI15" s="94" t="str">
        <f>IFERROR(VLOOKUP($B15,'LOD 300 - COLO2'!$B:AW,48,FALSE),"N/A")</f>
        <v>NOT PUBLISHED</v>
      </c>
      <c r="DJ15" s="95" t="str">
        <f>IFERROR(VLOOKUP($B15,'LOD 300 - COLO2'!$B:AZ,51,FALSE),"N/A")</f>
        <v>NOT PUBLISHED</v>
      </c>
      <c r="DK15" s="86" t="str">
        <f>IFERROR(VLOOKUP($B15,'LOD 300 - COLO2'!$B:BC,54,FALSE),"N/A")</f>
        <v>NOT PUBLISHED</v>
      </c>
      <c r="DL15" s="86" t="str">
        <f>IFERROR(VLOOKUP($B15,'LOD 300 - COLO2'!$B:BF,57,FALSE),"N/A")</f>
        <v>NOT PUBLISHED</v>
      </c>
      <c r="DM15" s="86" t="str">
        <f>IFERROR(VLOOKUP($B15,'LOD 300 - COLO2'!$B:BI,60,FALSE),"N/A")</f>
        <v>NOT PUBLISHED</v>
      </c>
      <c r="DN15" s="86" t="str">
        <f>IFERROR(VLOOKUP($B15,'LOD 300 - COLO2'!$B:BL,63,FALSE),"N/A")</f>
        <v>NOT PUBLISHED</v>
      </c>
      <c r="DO15" s="86" t="str">
        <f>IFERROR(VLOOKUP($B15,'LOD 300 - COLO2'!$B:BO,66,FALSE),"N/A")</f>
        <v>NOT PUBLISHED</v>
      </c>
      <c r="DP15" s="87" t="str">
        <f>IFERROR(VLOOKUP($B15,'LOD 300 - COLO2'!$B:BR,69,FALSE),"N/A")</f>
        <v>NOT PUBLISHED</v>
      </c>
      <c r="DQ15" s="87" t="str">
        <f>IFERROR(VLOOKUP($B15,'LOD 300 - COLO2'!$B:BU,72,FALSE),"N/A")</f>
        <v>NOT PUBLISHED</v>
      </c>
      <c r="DR15" s="87" t="str">
        <f>IFERROR(VLOOKUP($B15,'LOD 300 - COLO2'!$B:BX,75,FALSE),"N/A")</f>
        <v>NOT PUBLISHED</v>
      </c>
      <c r="DS15" s="98" t="str">
        <f>IFERROR(VLOOKUP($B15,'LOD 300 - COLO2'!$B:CA,78,FALSE),"N/A")</f>
        <v>NOT PUBLISHED</v>
      </c>
      <c r="DT15" s="98" t="str">
        <f>IFERROR(VLOOKUP($B15,'LOD 300 - COLO2'!$B:CD,81,FALSE),"N/A")</f>
        <v>NOT PUBLISHED</v>
      </c>
      <c r="DU15" s="98" t="str">
        <f>IFERROR(VLOOKUP($B15,'LOD 300 - COLO2'!$B:CG,84,FALSE),"N/A")</f>
        <v>NOT PUBLISHED</v>
      </c>
      <c r="DV15" s="98" t="str">
        <f>IFERROR(VLOOKUP($B15,'LOD 300 - COLO2'!$B:CJ,87,FALSE),"N/A")</f>
        <v>NOT PUBLISHED</v>
      </c>
      <c r="DW15" s="98" t="str">
        <f>IFERROR(VLOOKUP($B15,'LOD 300 - COLO2'!$B:CM,90,FALSE),"N/A")</f>
        <v>NOT PUBLISHED</v>
      </c>
      <c r="DX15" s="98" t="str">
        <f>IFERROR(VLOOKUP($B15,'LOD 300 - COLO2'!$B:CP,93,FALSE),"N/A")</f>
        <v>NOT PUBLISHED</v>
      </c>
      <c r="DY15" s="87" t="str">
        <f>IFERROR(VLOOKUP($B15,'LOD 300 - COLO2'!$B:CS,96,FALSE),"N/A")</f>
        <v>NOT PUBLISHED</v>
      </c>
      <c r="DZ15" s="87" t="str">
        <f>IFERROR(VLOOKUP($B15,'LOD 300 - COLO2'!$B:CV,99,FALSE),"N/A")</f>
        <v>NOT PUBLISHED</v>
      </c>
      <c r="EA15" s="87" t="str">
        <f>IFERROR(VLOOKUP($B15,'LOD 300 - COLO2'!$B:DB,105,FALSE),"N/A")</f>
        <v>NOT PUBLISHED</v>
      </c>
      <c r="EB15" s="87" t="str">
        <f>IFERROR(VLOOKUP($B15,'LOD 300 - COLO2'!$B:DB,105,FALSE),"N/A")</f>
        <v>NOT PUBLISHED</v>
      </c>
      <c r="EC15" s="87" t="str">
        <f>IFERROR(VLOOKUP($B15,'LOD 300 - COLO2'!$B:DE,108,FALSE),"N/A")</f>
        <v>NOT PUBLISHED</v>
      </c>
      <c r="ED15" s="87" t="str">
        <f>IFERROR(VLOOKUP($B15,'LOD 300 - COLO2'!$B:DH,111,FALSE),"N/A")</f>
        <v>NOT PUBLISHED</v>
      </c>
      <c r="EE15" s="87" t="str">
        <f>IFERROR(VLOOKUP($B15,'LOD 300 - COLO2'!$B:DK,114,FALSE),"N/A")</f>
        <v>NOT PUBLISHED</v>
      </c>
      <c r="EF15" s="87" t="str">
        <f>IFERROR(VLOOKUP($B15,'LOD 300 - COLO2'!$B:DN,117,FALSE),"N/A")</f>
        <v>NOT PUBLISHED</v>
      </c>
      <c r="EG15" s="135"/>
      <c r="EH15" s="99" t="str">
        <f>IFERROR(__xludf.DUMMYFUNCTION("IFERROR(
  MAX(FILTER(CZ15:EF15, ISNUMBER(CZ15:EF15))),
  EF15
)"),"NOT PUBLISHED")</f>
        <v>NOT PUBLISHED</v>
      </c>
      <c r="EI15" s="100" t="str">
        <f>IFERROR(VLOOKUP($B15,'LOD 300 - COLO3'!$B:R,17,FALSE),"N/A")</f>
        <v>NOT PUBLISHED</v>
      </c>
      <c r="EJ15" s="127" t="str">
        <f>IFERROR(VLOOKUP($B15,'LOD 300 - COLO3'!$B:U,20,FALSE),"N/A")</f>
        <v>NOT PUBLISHED</v>
      </c>
      <c r="EK15" s="127" t="str">
        <f>IFERROR(VLOOKUP($B15,'LOD 300 - COLO3'!$B:X,23,FALSE),"N/A")</f>
        <v>NOT PUBLISHED</v>
      </c>
      <c r="EL15" s="127" t="str">
        <f>IFERROR(VLOOKUP($B15,'LOD 300 - COLO3'!$B:AA,26,FALSE),"N/A")</f>
        <v>NOT PUBLISHED</v>
      </c>
      <c r="EM15" s="127" t="str">
        <f>IFERROR(VLOOKUP($B15,'LOD 300 - COLO3'!$B:AD,29,FALSE),"N/A")</f>
        <v>NOT PUBLISHED</v>
      </c>
      <c r="EN15" s="127" t="str">
        <f>IFERROR(VLOOKUP($B15,'LOD 300 - COLO3'!$B:AG,32,FALSE),"N/A")</f>
        <v>NOT PUBLISHED</v>
      </c>
      <c r="EO15" s="127" t="str">
        <f>IFERROR(VLOOKUP($B15,'LOD 300 - COLO3'!$B:AJ,35,FALSE),"N/A")</f>
        <v>NOT PUBLISHED</v>
      </c>
      <c r="EP15" s="100" t="str">
        <f>IFERROR(VLOOKUP($B15,'LOD 300 - COLO3'!$B:AM,38,FALSE),"N/A")</f>
        <v>NOT PUBLISHED</v>
      </c>
      <c r="EQ15" s="100" t="str">
        <f>IFERROR(VLOOKUP($B15,'LOD 300 - COLO3'!$B:AP,41,FALSE),"N/A")</f>
        <v>NOT PUBLISHED</v>
      </c>
      <c r="ER15" s="100" t="str">
        <f>IFERROR(VLOOKUP($B15,'LOD 300 - COLO3'!$B:AS,44,FALSE),"N/A")</f>
        <v>NOT PUBLISHED</v>
      </c>
      <c r="ES15" s="100" t="str">
        <f>IFERROR(VLOOKUP($B15,'LOD 300 - COLO3'!$B:AV,47,FALSE),"N/A")</f>
        <v>NOT PUBLISHED</v>
      </c>
      <c r="ET15" s="100" t="str">
        <f>IFERROR(VLOOKUP($B15,'LOD 300 - COLO3'!$B:AY,50,FALSE),"N/A")</f>
        <v>NOT PUBLISHED</v>
      </c>
      <c r="EU15" s="100" t="str">
        <f>IFERROR(VLOOKUP($B15,'LOD 300 - COLO3'!$B:BB,53,FALSE),"N/A")</f>
        <v>NOT PUBLISHED</v>
      </c>
      <c r="EV15" s="100" t="str">
        <f>IFERROR(VLOOKUP($B15,'LOD 300 - COLO3'!$B:BE,56,FALSE),"N/A")</f>
        <v>NOT PUBLISHED</v>
      </c>
      <c r="EW15" s="100" t="str">
        <f>IFERROR(VLOOKUP($B15,'LOD 300 - COLO3'!$B:BL,59,FALSE),"N/A")</f>
        <v>NOT PUBLISHED</v>
      </c>
      <c r="EX15" s="136"/>
      <c r="EY15" s="103" t="str">
        <f>IFERROR(__xludf.DUMMYFUNCTION("IFERROR(
  MAX(FILTER(EI15:EW15, ISNUMBER(EI15:EW15))),
  EW15
)"),"NOT PUBLISHED")</f>
        <v>NOT PUBLISHED</v>
      </c>
      <c r="EZ15" s="104" t="str">
        <f>IFERROR(VLOOKUP($B15,'LOD 300 - COLO4'!$B:BT,17,FALSE),"N/A")</f>
        <v>NOT PUBLISHED</v>
      </c>
      <c r="FA15" s="103" t="str">
        <f>IFERROR(__xludf.DUMMYFUNCTION("IFERROR(
  MAX(FILTER(EZ15, ISNUMBER(EZ15))),
  EZ15
)"),"NOT PUBLISHED")</f>
        <v>NOT PUBLISHED</v>
      </c>
      <c r="FB15" s="121" t="str">
        <f>IFERROR(VLOOKUP($B15,'LOD 300 - SITE'!$B:S,18,FALSE),"N/A")</f>
        <v>N/A</v>
      </c>
      <c r="FC15" s="122" t="str">
        <f>IFERROR(VLOOKUP($B15,'LOD 300 - SITE'!$B:V,21,FALSE),"N/A")</f>
        <v>N/A</v>
      </c>
      <c r="FD15" s="122" t="str">
        <f>IFERROR(VLOOKUP($B15,'LOD 300 - SITE'!$B:Y,24,FALSE),"N/A")</f>
        <v>N/A</v>
      </c>
      <c r="FE15" s="122" t="str">
        <f>IFERROR(VLOOKUP($B15,'LOD 300 - SITE'!$B:AB,27,FALSE),"N/A")</f>
        <v>N/A</v>
      </c>
      <c r="FF15" s="122" t="str">
        <f>IFERROR(VLOOKUP($B15,'LOD 300 - SITE'!$B:AE,30,FALSE),"N/A")</f>
        <v>N/A</v>
      </c>
      <c r="FG15" s="122" t="str">
        <f>IFERROR(VLOOKUP($B15,'LOD 300 - SITE'!$B:AH,33,FALSE),"N/A")</f>
        <v>N/A</v>
      </c>
      <c r="FH15" s="122" t="str">
        <f>IFERROR(VLOOKUP($B15,'LOD 300 - SITE'!$B:AK,36,FALSE),"N/A")</f>
        <v>N/A</v>
      </c>
      <c r="FI15" s="122" t="str">
        <f>IFERROR(VLOOKUP($B15,'LOD 300 - SITE'!$B:AN,39,FALSE),"N/A")</f>
        <v>N/A</v>
      </c>
      <c r="FJ15" s="122" t="str">
        <f>IFERROR(VLOOKUP($B15,'LOD 300 - SITE'!$B:AQ,42,FALSE),"N/A")</f>
        <v>N/A</v>
      </c>
      <c r="FK15" s="122" t="str">
        <f>IFERROR(VLOOKUP($B15,'LOD 300 - SITE'!$B:AT,45,FALSE),"N/A")</f>
        <v>N/A</v>
      </c>
      <c r="FL15" s="123" t="str">
        <f>IFERROR(VLOOKUP($B15,'LOD 300 - SITE'!$B:AW,48,FALSE),"N/A")</f>
        <v>N/A</v>
      </c>
      <c r="FM15" s="87" t="str">
        <f>IFERROR(VLOOKUP($B15,'LOD 300 - SITE'!$B:AZ,51,FALSE),"N/A")</f>
        <v>N/A</v>
      </c>
      <c r="FN15" s="94" t="str">
        <f>IFERROR(VLOOKUP($B15,'LOD 300 - SITE'!$B:BC,54,FALSE),"N/A")</f>
        <v>N/A</v>
      </c>
      <c r="FO15" s="95" t="str">
        <f>IFERROR(VLOOKUP($B15,'LOD 300 - SITE'!$B:BF,57,FALSE),"N/A")</f>
        <v>N/A</v>
      </c>
      <c r="FP15" s="86" t="str">
        <f>IFERROR(VLOOKUP($B15,'LOD 300 - SITE'!$B:BI,60,FALSE),"N/A")</f>
        <v>N/A</v>
      </c>
      <c r="FQ15" s="86" t="str">
        <f>IFERROR(VLOOKUP($B15,'LOD 300 - SITE'!$B:BL,63,FALSE),"N/A")</f>
        <v>N/A</v>
      </c>
      <c r="FR15" s="86" t="str">
        <f>IFERROR(VLOOKUP($B15,'LOD 300 - SITE'!$B:BO,66,FALSE),"N/A")</f>
        <v>N/A</v>
      </c>
      <c r="FS15" s="86" t="str">
        <f>IFERROR(VLOOKUP($B15,'LOD 300 - SITE'!$B:BR,69,FALSE),"N/A")</f>
        <v>N/A</v>
      </c>
      <c r="FT15" s="86" t="str">
        <f>IFERROR(VLOOKUP($B15,'LOD 300 - SITE'!$B:BU,72,FALSE),"N/A")</f>
        <v>N/A</v>
      </c>
      <c r="FU15" s="86" t="str">
        <f>IFERROR(VLOOKUP($B15,'LOD 300 - SITE'!$B:BX,75,FALSE),"N/A")</f>
        <v>N/A</v>
      </c>
      <c r="FV15" s="86" t="str">
        <f>IFERROR(VLOOKUP($B15,'LOD 300 - SITE'!$B:CA,78,FALSE),"N/A")</f>
        <v>N/A</v>
      </c>
      <c r="FW15" s="87" t="str">
        <f>IFERROR(VLOOKUP($B15,'LOD 300 - SITE'!$B:CD,81,FALSE),"N/A")</f>
        <v>N/A</v>
      </c>
      <c r="FX15" s="108" t="str">
        <f>IFERROR(VLOOKUP($B15,'LOD 300 - SITE'!$B:CG,84,FALSE),"N/A")</f>
        <v>N/A</v>
      </c>
      <c r="FY15" s="108" t="str">
        <f>IFERROR(VLOOKUP($B15,'LOD 300 - SITE'!$B:CJ,87,FALSE),"N/A")</f>
        <v>N/A</v>
      </c>
      <c r="FZ15" s="108" t="str">
        <f>IFERROR(VLOOKUP($B15,'LOD 300 - SITE'!$B:CM,90,FALSE),"N/A")</f>
        <v>N/A</v>
      </c>
      <c r="GA15" s="108" t="str">
        <f>IFERROR(VLOOKUP($B15,'LOD 300 - SITE'!$B:CP,93,FALSE),"N/A")</f>
        <v>N/A</v>
      </c>
      <c r="GB15" s="108" t="str">
        <f>IFERROR(VLOOKUP($B15,'LOD 300 - SITE'!$B:CS,96,FALSE),"N/A")</f>
        <v>N/A</v>
      </c>
      <c r="GC15" s="109" t="str">
        <f>IFERROR(VLOOKUP($B15,'LOD 300 - SITE'!$B:CV,99,FALSE),"N/A")</f>
        <v>N/A</v>
      </c>
      <c r="GD15" s="87" t="str">
        <f>IFERROR(VLOOKUP($B15,'LOD 300 - SITE'!$B:CY,102,FALSE),"N/A")</f>
        <v>N/A</v>
      </c>
      <c r="GE15" s="87" t="str">
        <f>IFERROR(VLOOKUP($B15,'LOD 300 - SITE'!$B:DB,105,FALSE),"N/A")</f>
        <v>N/A</v>
      </c>
      <c r="GF15" s="87" t="str">
        <f>IFERROR(VLOOKUP($B15,'LOD 300 - SITE'!$B:DE,108,FALSE),"N/A")</f>
        <v>N/A</v>
      </c>
      <c r="GG15" s="87" t="str">
        <f>IFERROR(VLOOKUP($B15,'LOD 300 - SITE'!$B:DH,111,FALSE),"N/A")</f>
        <v>N/A</v>
      </c>
      <c r="GH15" s="87" t="str">
        <f>IFERROR(VLOOKUP($B15,'LOD 300 - SITE'!$B:DK,114,FALSE),"N/A")</f>
        <v>N/A</v>
      </c>
      <c r="GI15" s="87" t="str">
        <f>IFERROR(VLOOKUP($B15,'LOD 300 - SITE'!$B:DN,117,FALSE),"N/A")</f>
        <v>N/A</v>
      </c>
      <c r="GJ15" s="87" t="str">
        <f>IFERROR(VLOOKUP($B15,'LOD 300 - SITE'!$B:DQ,120,FALSE),"N/A")</f>
        <v>N/A</v>
      </c>
      <c r="GK15" s="87" t="str">
        <f>IFERROR(VLOOKUP($B15,'LOD 300 - SITE'!$B:DT,123,FALSE),"N/A")</f>
        <v>N/A</v>
      </c>
      <c r="GL15" s="135"/>
      <c r="GM15" s="110" t="str">
        <f>IFERROR(__xludf.DUMMYFUNCTION("IFERROR(
  MAX(FILTER(FB15:GK15, ISNUMBER(FB15:GK15))),
  GK15
)"),"N/A")</f>
        <v>N/A</v>
      </c>
      <c r="GN15" s="68"/>
      <c r="GO15" s="68"/>
      <c r="GP15" s="68"/>
    </row>
    <row r="16" ht="15.0" customHeight="1" outlineLevel="1">
      <c r="A16" s="60">
        <v>19.0</v>
      </c>
      <c r="B16" s="140" t="s">
        <v>120</v>
      </c>
      <c r="C16" s="70" t="s">
        <v>121</v>
      </c>
      <c r="D16" s="71" t="s">
        <v>90</v>
      </c>
      <c r="E16" s="146" t="s">
        <v>118</v>
      </c>
      <c r="F16" s="149">
        <v>1107.0</v>
      </c>
      <c r="G16" s="147" t="s">
        <v>119</v>
      </c>
      <c r="H16" s="150">
        <v>0.0</v>
      </c>
      <c r="I16" s="74" t="str">
        <f>IFERROR(VLOOKUP(C13:C155,'R22 RELATÓRIO ACC'!B:F,5,FALSE),"NOT PUBLISHED")</f>
        <v>NOT PUBLISHED</v>
      </c>
      <c r="J16" s="74" t="str">
        <f>IFERROR(VLOOKUP(C13:C155,'R22 RELATÓRIO ACC'!B:P,15,FALSE),"NOT PUBLISHED")</f>
        <v>NOT PUBLISHED</v>
      </c>
      <c r="K16" s="141" t="str">
        <f>IFERROR(VLOOKUP(B14:B205,'RELATÓRIO ACC'!B:F,5,FALSE),"NOT PUBLISHED")</f>
        <v>NOT PUBLISHED</v>
      </c>
      <c r="L16" s="142" t="str">
        <f>IFERROR(VLOOKUP(B14:B205,'RELATÓRIO ACC'!B:P,15,FALSE),"NOT PUBLISHED")</f>
        <v>NOT PUBLISHED</v>
      </c>
      <c r="M16" s="76" t="str">
        <f>IF(OR($D16="UTLS",$D16="GUAR",$D16="STIR",$D16="PUMP",$D16="SITE"),
   VLOOKUP($B16,'LOD 300 - SITE'!B:M,12,FALSE),
   VLOOKUP($B16,'LOD 300 - ADMN'!B:M,12,FALSE)
)</f>
        <v>NOT PUBLISHED</v>
      </c>
      <c r="N16" s="77" t="str">
        <f>IF(OR($D16="UTLS",$D16="GUAR",$D16="STIR",$D16="PUMP",$D16="SITE"),
   VLOOKUP($B16,'LOD 300 - SITE'!B:N,13,FALSE),
   VLOOKUP($B16,'LOD 300 - ADMN'!B:N,13,FALSE)
)</f>
        <v>NOT PUBLISHED</v>
      </c>
      <c r="O16" s="114" t="str">
        <f>IF(OR($D16="UTLS",$D16="GUAR",$D16="STIR",$D16="PUMP",$D16="SITE"),
   VLOOKUP($B16,'LOD 300 - SITE'!B:O,14,FALSE),
   VLOOKUP($B16,'LOD 300 - ADMN'!B:O,14,FALSE)
)</f>
        <v/>
      </c>
      <c r="P16" s="79" t="str">
        <f>IF(OR($D16="C345",$D16="C12A",$D16="DATA"),
   VLOOKUP($B16,'LOD 300 - COLO3'!B:M,12,FALSE),"N/A")</f>
        <v>N/A</v>
      </c>
      <c r="Q16" s="76" t="str">
        <f>IF(OR($D16="C345",$D16="C12A",$D16="DATA"),
   VLOOKUP($B16,'LOD 300 - COLO3'!B:N,13,FALSE),"N/A")</f>
        <v>N/A</v>
      </c>
      <c r="R16" s="76" t="str">
        <f>IF(OR($D16="C345",$D16="C12A",$D16="DATA"),
   VLOOKUP($B16,'LOD 300 - COLO3'!B:O,14,FALSE),"N/A")</f>
        <v>N/A</v>
      </c>
      <c r="S16" s="79" t="str">
        <f>IF(OR($D16="C345",$D16="C12A",$D16="DATA"),
   VLOOKUP($B16,'LOD 300 - COLO4'!B:M,12,FALSE),"N/A")</f>
        <v>N/A</v>
      </c>
      <c r="T16" s="76" t="str">
        <f>IF(OR($D16="C345",$D16="C12A",$D16="DATA"),
   VLOOKUP($B16,'LOD 300 - COLO4'!B:T,13,FALSE),"N/A")</f>
        <v>N/A</v>
      </c>
      <c r="U16" s="76" t="str">
        <f>IF(OR($D16="C345",$D16="C12A",$D16="DATA"),
   VLOOKUP($B16,'LOD 300 - COLO4'!B:U,17,FALSE),"N/A")</f>
        <v>N/A</v>
      </c>
      <c r="V16" s="126"/>
      <c r="W16" s="144" t="str">
        <f>IFERROR(VLOOKUP($B16,'LOD 300 - ADMN'!$B:S,18,FALSE),"N/A")</f>
        <v>N/A</v>
      </c>
      <c r="X16" s="122" t="str">
        <f>IFERROR(VLOOKUP($B16,'LOD 300 - ADMN'!$B:V,21,FALSE),"N/A")</f>
        <v>N/A</v>
      </c>
      <c r="Y16" s="122" t="str">
        <f>IFERROR(VLOOKUP($B16,'LOD 300 - ADMN'!$B:Y,24,FALSE),"N/A")</f>
        <v>N/A</v>
      </c>
      <c r="Z16" s="122" t="str">
        <f>IFERROR(VLOOKUP($B16,'LOD 300 - ADMN'!$B:AB,27,FALSE),"N/A")</f>
        <v>N/A</v>
      </c>
      <c r="AA16" s="122" t="str">
        <f>IFERROR(VLOOKUP($B16,'LOD 300 - ADMN'!$B:AE,30,FALSE),"N/A")</f>
        <v>N/A</v>
      </c>
      <c r="AB16" s="145" t="str">
        <f>IFERROR(VLOOKUP($B16,'LOD 300 - ADMN'!$B:AH,33,FALSE),"N/A")</f>
        <v>N/A</v>
      </c>
      <c r="AC16" s="145" t="str">
        <f>IFERROR(VLOOKUP($B16,'LOD 300 - ADMN'!$B:AK,36,FALSE),"N/A")</f>
        <v>N/A</v>
      </c>
      <c r="AD16" s="122" t="str">
        <f>IFERROR(VLOOKUP($B16,'LOD 300 - ADMN'!$B:AN,39,FALSE),"N/A")</f>
        <v>N/A</v>
      </c>
      <c r="AE16" s="122" t="str">
        <f>IFERROR(VLOOKUP($B16,'LOD 300 - ADMN'!$B:AQ,42,FALSE),"N/A")</f>
        <v>N/A</v>
      </c>
      <c r="AF16" s="122" t="str">
        <f>IFERROR(VLOOKUP($B16,'LOD 300 - ADMN'!$B:AT,45,FALSE),"N/A")</f>
        <v>N/A</v>
      </c>
      <c r="AG16" s="122" t="str">
        <f>IFERROR(VLOOKUP($B16,'LOD 300 - ADMN'!$B:AW,48,FALSE),"N/A")</f>
        <v>N/A</v>
      </c>
      <c r="AH16" s="122" t="str">
        <f>IFERROR(VLOOKUP($B16,'LOD 300 - ADMN'!$B:AZ,51,FALSE),"N/A")</f>
        <v>N/A</v>
      </c>
      <c r="AI16" s="122" t="str">
        <f>IFERROR(VLOOKUP($B16,'LOD 300 - ADMN'!$B:BC,54,FALSE),"N/A")</f>
        <v>N/A</v>
      </c>
      <c r="AJ16" s="87" t="str">
        <f>IFERROR(VLOOKUP($B16,'LOD 300 - ADMN'!$B:BF,57,FALSE),"N/A")</f>
        <v>N/A</v>
      </c>
      <c r="AK16" s="87" t="str">
        <f>IFERROR(VLOOKUP($B16,'LOD 300 - ADMN'!$B:EP,60,FALSE),"N/A")</f>
        <v>N/A</v>
      </c>
      <c r="AL16" s="87" t="str">
        <f>IFERROR(VLOOKUP($B16,'LOD 300 - ADMN'!$B:EQ,63,FALSE),"N/A")</f>
        <v>N/A</v>
      </c>
      <c r="AM16" s="87" t="str">
        <f>IFERROR(VLOOKUP($B16,'LOD 300 - ADMN'!$B:BO,66,FALSE),"N/A")</f>
        <v>N/A</v>
      </c>
      <c r="AN16" s="87" t="str">
        <f>IFERROR(VLOOKUP($B16,'LOD 300 - ADMN'!$B:BR,69,FALSE),"N/A")</f>
        <v>N/A</v>
      </c>
      <c r="AO16" s="87" t="str">
        <f>IFERROR(VLOOKUP($B16,'LOD 300 - ADMN'!$B:BU,72,FALSE),"N/A")</f>
        <v>N/A</v>
      </c>
      <c r="AP16" s="87" t="str">
        <f>IFERROR(VLOOKUP($B16,'LOD 300 - ADMN'!$B:BX,75,FALSE),"N/A")</f>
        <v>N/A</v>
      </c>
      <c r="AQ16" s="87" t="str">
        <f>IFERROR(VLOOKUP($B16,'LOD 300 - ADMN'!$B:CA,78,FALSE),"N/A")</f>
        <v>N/A</v>
      </c>
      <c r="AR16" s="87" t="str">
        <f>IFERROR(VLOOKUP($B16,'LOD 300 - ADMN'!$B:CD,81,FALSE),"N/A")</f>
        <v>N/A</v>
      </c>
      <c r="AS16" s="87" t="str">
        <f>IFERROR(VLOOKUP($B16,'LOD 300 - ADMN'!$B:CG,84,FALSE),"N/A")</f>
        <v>N/A</v>
      </c>
      <c r="AT16" s="87" t="str">
        <f>IFERROR(VLOOKUP($B16,'LOD 300 - ADMN'!$B:CJ,87,FALSE),"N/A")</f>
        <v>N/A</v>
      </c>
      <c r="AU16" s="88" t="str">
        <f>IFERROR(VLOOKUP($B16,'LOD 300 - ADMN'!$B:CM,90,FALSE),"N/A")</f>
        <v>N/A</v>
      </c>
      <c r="AV16" s="88" t="str">
        <f>IFERROR(VLOOKUP($B16,'LOD 300 - ADMN'!$B:CP,93,FALSE),"N/A")</f>
        <v>N/A</v>
      </c>
      <c r="AW16" s="88" t="str">
        <f>IFERROR(VLOOKUP($B16,'LOD 300 - ADMN'!$B:CS,96,FALSE),"N/A")</f>
        <v>N/A</v>
      </c>
      <c r="AX16" s="88" t="str">
        <f>IFERROR(VLOOKUP($B16,'LOD 300 - ADMN'!$B:CV,99,FALSE),"N/A")</f>
        <v>N/A</v>
      </c>
      <c r="AY16" s="88" t="str">
        <f>IFERROR(VLOOKUP($B16,'LOD 300 - ADMN'!$B:CY,102,FALSE),"N/A")</f>
        <v>N/A</v>
      </c>
      <c r="AZ16" s="88" t="str">
        <f>IFERROR(VLOOKUP($B16,'LOD 300 - ADMN'!$B:DB,105,FALSE),"N/A")</f>
        <v>N/A</v>
      </c>
      <c r="BA16" s="87" t="str">
        <f>IFERROR(VLOOKUP($B16,'LOD 300 - ADMN'!$B:DE,108,FALSE),"N/A")</f>
        <v>N/A</v>
      </c>
      <c r="BB16" s="87" t="str">
        <f>IFERROR(VLOOKUP($B16,'LOD 300 - ADMN'!$B:DH,111,FALSE),"N/A")</f>
        <v>N/A</v>
      </c>
      <c r="BC16" s="87" t="str">
        <f>IFERROR(VLOOKUP($B16,'LOD 300 - ADMN'!$B:DK,114,FALSE),"N/A")</f>
        <v>N/A</v>
      </c>
      <c r="BD16" s="87" t="str">
        <f>IFERROR(VLOOKUP($B16,'LOD 300 - ADMN'!$B:DN,117,FALSE),"N/A")</f>
        <v>N/A</v>
      </c>
      <c r="BE16" s="87" t="str">
        <f>IFERROR(VLOOKUP($B16,'LOD 300 - ADMN'!$B:DQ,120,FALSE),"N/A")</f>
        <v>N/A</v>
      </c>
      <c r="BF16" s="87" t="str">
        <f>IFERROR(VLOOKUP($B16,'LOD 300 - ADMN'!$B:DT,123,FALSE),"N/A")</f>
        <v>N/A</v>
      </c>
      <c r="BG16" s="87" t="str">
        <f>IFERROR(VLOOKUP($B16,'LOD 300 - ADMN'!$B:DW,126,FALSE),"N/A")</f>
        <v>N/A</v>
      </c>
      <c r="BH16" s="87" t="str">
        <f>IFERROR(VLOOKUP($B16,'LOD 300 - ADMN'!$B:DZ,129,FALSE),"N/A")</f>
        <v>N/A</v>
      </c>
      <c r="BI16" s="134"/>
      <c r="BJ16" s="90" t="str">
        <f>IFERROR(__xludf.DUMMYFUNCTION("IFERROR(
  MAX(FILTER(X16:BH16, ISNUMBER(X16:BH16))),
  BH16
)"),"N/A")</f>
        <v>N/A</v>
      </c>
      <c r="BK16" s="91" t="str">
        <f>IFERROR(VLOOKUP($B16,'LOD 300 - COLO1'!$B:S,18,FALSE),"N/A")</f>
        <v>N/A</v>
      </c>
      <c r="BL16" s="92" t="str">
        <f>IFERROR(VLOOKUP($B16,'LOD 300 - COLO1'!$B:V,21,FALSE),"N/A")</f>
        <v>N/A</v>
      </c>
      <c r="BM16" s="92" t="str">
        <f>IFERROR(VLOOKUP($B16,'LOD 300 - COLO1'!$B:Y,24,FALSE),"N/A")</f>
        <v>N/A</v>
      </c>
      <c r="BN16" s="92" t="str">
        <f>IFERROR(VLOOKUP($B16,'LOD 300 - COLO1'!$B:AB,27,FALSE),"N/A")</f>
        <v>N/A</v>
      </c>
      <c r="BO16" s="92" t="str">
        <f>IFERROR(VLOOKUP($B16,'LOD 300 - COLO1'!$B:AE,30,FALSE),"N/A")</f>
        <v>N/A</v>
      </c>
      <c r="BP16" s="92" t="str">
        <f>IFERROR(VLOOKUP($B16,'LOD 300 - COLO1'!$B:AH,33,FALSE),"N/A")</f>
        <v>N/A</v>
      </c>
      <c r="BQ16" s="92" t="str">
        <f>IFERROR(VLOOKUP($B16,'LOD 300 - COLO1'!$B:AK,36,FALSE),"N/A")</f>
        <v>N/A</v>
      </c>
      <c r="BR16" s="92" t="str">
        <f>IFERROR(VLOOKUP($B16,'LOD 300 - COLO1'!$B:AN,39,FALSE),"N/A")</f>
        <v>N/A</v>
      </c>
      <c r="BS16" s="92" t="str">
        <f>IFERROR(VLOOKUP($B16,'LOD 300 - COLO1'!$B:AQ,42,FALSE),"N/A")</f>
        <v>N/A</v>
      </c>
      <c r="BT16" s="92" t="str">
        <f>IFERROR(VLOOKUP($B16,'LOD 300 - COLO1'!$B:AT,45,FALSE),"N/A")</f>
        <v>N/A</v>
      </c>
      <c r="BU16" s="92" t="str">
        <f>IFERROR(VLOOKUP($B16,'LOD 300 - COLO1'!$B:AW,48,FALSE),"N/A")</f>
        <v>N/A</v>
      </c>
      <c r="BV16" s="92" t="str">
        <f>IFERROR(VLOOKUP($B16,'LOD 300 - COLO1'!$B:AZ,51,FALSE),"N/A")</f>
        <v>N/A</v>
      </c>
      <c r="BW16" s="92" t="str">
        <f>IFERROR(VLOOKUP($B16,'LOD 300 - COLO1'!$B:BC,54,FALSE),"N/A")</f>
        <v>N/A</v>
      </c>
      <c r="BX16" s="94" t="str">
        <f>IFERROR(VLOOKUP($B16,'LOD 300 - COLO1'!$B:BF,57,FALSE),"N/A")</f>
        <v>N/A</v>
      </c>
      <c r="BY16" s="94" t="str">
        <f>IFERROR(VLOOKUP($B16,'LOD 300 - COLO1'!$B:BI,60,FALSE),"N/A")</f>
        <v>N/A</v>
      </c>
      <c r="BZ16" s="95" t="str">
        <f>IFERROR(VLOOKUP($B16,'LOD 300 - COLO1'!$B:BL,63,FALSE),"N/A")</f>
        <v>N/A</v>
      </c>
      <c r="CA16" s="86" t="str">
        <f>IFERROR(VLOOKUP($B16,'LOD 300 - COLO1'!$B:BO,66,FALSE),"N/A")</f>
        <v>N/A</v>
      </c>
      <c r="CB16" s="86" t="str">
        <f>IFERROR(VLOOKUP($B16,'LOD 300 - COLO1'!$B:BR,69,FALSE),"N/A")</f>
        <v>N/A</v>
      </c>
      <c r="CC16" s="86" t="str">
        <f>IFERROR(VLOOKUP($B16,'LOD 300 - COLO1'!$B:BU,72,FALSE),"N/A")</f>
        <v>N/A</v>
      </c>
      <c r="CD16" s="86" t="str">
        <f>IFERROR(VLOOKUP($B16,'LOD 300 - COLO1'!$B:BX,75,FALSE),"N/A")</f>
        <v>N/A</v>
      </c>
      <c r="CE16" s="86" t="str">
        <f>IFERROR(VLOOKUP($B16,'LOD 300 - COLO1'!$B:CA,78,FALSE),"N/A")</f>
        <v>N/A</v>
      </c>
      <c r="CF16" s="87" t="str">
        <f>IFERROR(VLOOKUP($B16,'LOD 300 - COLO1'!$B:CD,81,FALSE),"N/A")</f>
        <v>N/A</v>
      </c>
      <c r="CG16" s="86" t="str">
        <f>IFERROR(VLOOKUP($B16,'LOD 300 - COLO1'!$B:CG,84,FALSE),"N/A")</f>
        <v>N/A</v>
      </c>
      <c r="CH16" s="87" t="str">
        <f>IFERROR(VLOOKUP($B16,'LOD 300 - COLO1'!$B:CJ,87,FALSE),"N/A")</f>
        <v>N/A</v>
      </c>
      <c r="CI16" s="88" t="str">
        <f>IFERROR(VLOOKUP($B16,'LOD 300 - COLO1'!$B:CM,90,FALSE),"N/A")</f>
        <v>N/A</v>
      </c>
      <c r="CJ16" s="88" t="str">
        <f>IFERROR(VLOOKUP($B16,'LOD 300 - COLO1'!$B:CP,93,FALSE),"N/A")</f>
        <v>N/A</v>
      </c>
      <c r="CK16" s="88" t="str">
        <f>IFERROR(VLOOKUP($B16,'LOD 300 - COLO1'!$B:CS,96,FALSE),"N/A")</f>
        <v>N/A</v>
      </c>
      <c r="CL16" s="88" t="str">
        <f>IFERROR(VLOOKUP($B16,'LOD 300 - COLO1'!$B:CV,99,FALSE),"N/A")</f>
        <v>N/A</v>
      </c>
      <c r="CM16" s="88" t="str">
        <f>IFERROR(VLOOKUP($B16,'LOD 300 - COLO1'!$B:CY,102,FALSE),"N/A")</f>
        <v>N/A</v>
      </c>
      <c r="CN16" s="89" t="str">
        <f>IFERROR(VLOOKUP($B16,'LOD 300 - COLO1'!$B:DB,105,FALSE),"N/A")</f>
        <v>N/A</v>
      </c>
      <c r="CO16" s="87" t="str">
        <f>IFERROR(VLOOKUP($B16,'LOD 300 - COLO1'!$B:EE,108,FALSE),"N/A")</f>
        <v>N/A</v>
      </c>
      <c r="CP16" s="87" t="str">
        <f>IFERROR(VLOOKUP($B16,'LOD 300 - COLO1'!$B:EH,111,FALSE),"N/A")</f>
        <v>N/A</v>
      </c>
      <c r="CQ16" s="87" t="str">
        <f>IFERROR(VLOOKUP($B16,'LOD 300 - COLO1'!$B:EK,114,FALSE),"N/A")</f>
        <v>N/A</v>
      </c>
      <c r="CR16" s="87" t="str">
        <f>IFERROR(VLOOKUP($B16,'LOD 300 - COLO1'!$B:EN,117,FALSE),"N/A")</f>
        <v>N/A</v>
      </c>
      <c r="CS16" s="87" t="str">
        <f>IFERROR(VLOOKUP($B16,'LOD 300 - COLO1'!$B:EQ,120,FALSE),"N/A")</f>
        <v>N/A</v>
      </c>
      <c r="CT16" s="87" t="str">
        <f>IFERROR(VLOOKUP($B16,'LOD 300 - COLO1'!$B:ET,123,FALSE),"N/A")</f>
        <v>N/A</v>
      </c>
      <c r="CU16" s="87" t="str">
        <f>IFERROR(VLOOKUP($B16,'LOD 300 - COLO1'!$B:EW,126,FALSE),"N/A")</f>
        <v>N/A</v>
      </c>
      <c r="CV16" s="87" t="str">
        <f>IFERROR(VLOOKUP($B16,'LOD 300 - COLO1'!$B:EZ,129,FALSE),"N/A")</f>
        <v>N/A</v>
      </c>
      <c r="CW16" s="135"/>
      <c r="CX16" s="96" t="str">
        <f>IFERROR(__xludf.DUMMYFUNCTION("IFERROR(
  MAX(FILTER(BK16:CV16, ISNUMBER(BK16:CV16))),
  CV16
)"),"N/A")</f>
        <v>N/A</v>
      </c>
      <c r="CY16" s="104" t="str">
        <f>IFERROR(VLOOKUP($B16,'LOD 300 - COLO2'!$B:S,18,FALSE),"N/A")</f>
        <v>N/A</v>
      </c>
      <c r="CZ16" s="117" t="str">
        <f>IFERROR(VLOOKUP($B16,'LOD 300 - COLO2'!$B:V,21,FALSE),"N/A")</f>
        <v>N/A</v>
      </c>
      <c r="DA16" s="117" t="str">
        <f>IFERROR(VLOOKUP($B16,'LOD 300 - COLO2'!$B:Y,24,FALSE),"N/A")</f>
        <v>N/A</v>
      </c>
      <c r="DB16" s="117" t="str">
        <f>IFERROR(VLOOKUP($B16,'LOD 300 - COLO2'!$B:AB,27,FALSE),"N/A")</f>
        <v>N/A</v>
      </c>
      <c r="DC16" s="92" t="str">
        <f>IFERROR(VLOOKUP($B16,'LOD 300 - COLO2'!$B:AE,30,FALSE),"N/A")</f>
        <v>N/A</v>
      </c>
      <c r="DD16" s="120" t="str">
        <f>IFERROR(VLOOKUP($B16,'LOD 300 - COLO2'!$B:AH,33,FALSE),"N/A")</f>
        <v>N/A</v>
      </c>
      <c r="DE16" s="117" t="str">
        <f>IFERROR(VLOOKUP($B16,'LOD 300 - COLO2'!$B:AK,36,FALSE),"N/A")</f>
        <v>N/A</v>
      </c>
      <c r="DF16" s="117" t="str">
        <f>IFERROR(VLOOKUP($B16,'LOD 300 - COLO2'!$B:AN,39,FALSE),"N/A")</f>
        <v>N/A</v>
      </c>
      <c r="DG16" s="119" t="str">
        <f>IFERROR(VLOOKUP($B16,'LOD 300 - COLO2'!$B:AQ,42,FALSE),"N/A")</f>
        <v>N/A</v>
      </c>
      <c r="DH16" s="87" t="str">
        <f>IFERROR(VLOOKUP($B16,'LOD 300 - COLO2'!$B:AT,45,FALSE),"N/A")</f>
        <v>N/A</v>
      </c>
      <c r="DI16" s="94" t="str">
        <f>IFERROR(VLOOKUP($B16,'LOD 300 - COLO2'!$B:AW,48,FALSE),"N/A")</f>
        <v>N/A</v>
      </c>
      <c r="DJ16" s="95" t="str">
        <f>IFERROR(VLOOKUP($B16,'LOD 300 - COLO2'!$B:AZ,51,FALSE),"N/A")</f>
        <v>N/A</v>
      </c>
      <c r="DK16" s="86" t="str">
        <f>IFERROR(VLOOKUP($B16,'LOD 300 - COLO2'!$B:BC,54,FALSE),"N/A")</f>
        <v>N/A</v>
      </c>
      <c r="DL16" s="86" t="str">
        <f>IFERROR(VLOOKUP($B16,'LOD 300 - COLO2'!$B:BF,57,FALSE),"N/A")</f>
        <v>N/A</v>
      </c>
      <c r="DM16" s="86" t="str">
        <f>IFERROR(VLOOKUP($B16,'LOD 300 - COLO2'!$B:BI,60,FALSE),"N/A")</f>
        <v>N/A</v>
      </c>
      <c r="DN16" s="86" t="str">
        <f>IFERROR(VLOOKUP($B16,'LOD 300 - COLO2'!$B:BL,63,FALSE),"N/A")</f>
        <v>N/A</v>
      </c>
      <c r="DO16" s="86" t="str">
        <f>IFERROR(VLOOKUP($B16,'LOD 300 - COLO2'!$B:BO,66,FALSE),"N/A")</f>
        <v>N/A</v>
      </c>
      <c r="DP16" s="87" t="str">
        <f>IFERROR(VLOOKUP($B16,'LOD 300 - COLO2'!$B:BR,69,FALSE),"N/A")</f>
        <v>N/A</v>
      </c>
      <c r="DQ16" s="87" t="str">
        <f>IFERROR(VLOOKUP($B16,'LOD 300 - COLO2'!$B:BU,72,FALSE),"N/A")</f>
        <v>N/A</v>
      </c>
      <c r="DR16" s="87" t="str">
        <f>IFERROR(VLOOKUP($B16,'LOD 300 - COLO2'!$B:BX,75,FALSE),"N/A")</f>
        <v>N/A</v>
      </c>
      <c r="DS16" s="98" t="str">
        <f>IFERROR(VLOOKUP($B16,'LOD 300 - COLO2'!$B:CA,78,FALSE),"N/A")</f>
        <v>N/A</v>
      </c>
      <c r="DT16" s="98" t="str">
        <f>IFERROR(VLOOKUP($B16,'LOD 300 - COLO2'!$B:CD,81,FALSE),"N/A")</f>
        <v>N/A</v>
      </c>
      <c r="DU16" s="98" t="str">
        <f>IFERROR(VLOOKUP($B16,'LOD 300 - COLO2'!$B:CG,84,FALSE),"N/A")</f>
        <v>N/A</v>
      </c>
      <c r="DV16" s="98" t="str">
        <f>IFERROR(VLOOKUP($B16,'LOD 300 - COLO2'!$B:CJ,87,FALSE),"N/A")</f>
        <v>N/A</v>
      </c>
      <c r="DW16" s="98" t="str">
        <f>IFERROR(VLOOKUP($B16,'LOD 300 - COLO2'!$B:CM,90,FALSE),"N/A")</f>
        <v>N/A</v>
      </c>
      <c r="DX16" s="98" t="str">
        <f>IFERROR(VLOOKUP($B16,'LOD 300 - COLO2'!$B:CP,93,FALSE),"N/A")</f>
        <v>N/A</v>
      </c>
      <c r="DY16" s="87" t="str">
        <f>IFERROR(VLOOKUP($B16,'LOD 300 - COLO2'!$B:CS,96,FALSE),"N/A")</f>
        <v>N/A</v>
      </c>
      <c r="DZ16" s="87" t="str">
        <f>IFERROR(VLOOKUP($B16,'LOD 300 - COLO2'!$B:CV,99,FALSE),"N/A")</f>
        <v>N/A</v>
      </c>
      <c r="EA16" s="87" t="str">
        <f>IFERROR(VLOOKUP($B16,'LOD 300 - COLO2'!$B:DB,105,FALSE),"N/A")</f>
        <v>N/A</v>
      </c>
      <c r="EB16" s="87" t="str">
        <f>IFERROR(VLOOKUP($B16,'LOD 300 - COLO2'!$B:DB,105,FALSE),"N/A")</f>
        <v>N/A</v>
      </c>
      <c r="EC16" s="87" t="str">
        <f>IFERROR(VLOOKUP($B16,'LOD 300 - COLO2'!$B:DE,108,FALSE),"N/A")</f>
        <v>N/A</v>
      </c>
      <c r="ED16" s="87" t="str">
        <f>IFERROR(VLOOKUP($B16,'LOD 300 - COLO2'!$B:DH,111,FALSE),"N/A")</f>
        <v>N/A</v>
      </c>
      <c r="EE16" s="87" t="str">
        <f>IFERROR(VLOOKUP($B16,'LOD 300 - COLO2'!$B:DK,114,FALSE),"N/A")</f>
        <v>N/A</v>
      </c>
      <c r="EF16" s="87" t="str">
        <f>IFERROR(VLOOKUP($B16,'LOD 300 - COLO2'!$B:DN,117,FALSE),"N/A")</f>
        <v>N/A</v>
      </c>
      <c r="EG16" s="135"/>
      <c r="EH16" s="99" t="str">
        <f>IFERROR(__xludf.DUMMYFUNCTION("IFERROR(
  MAX(FILTER(CZ16:EF16, ISNUMBER(CZ16:EF16))),
  EF16
)"),"N/A")</f>
        <v>N/A</v>
      </c>
      <c r="EI16" s="100" t="str">
        <f>IFERROR(VLOOKUP($B16,'LOD 300 - COLO3'!$B:R,17,FALSE),"N/A")</f>
        <v>N/A</v>
      </c>
      <c r="EJ16" s="127" t="str">
        <f>IFERROR(VLOOKUP($B16,'LOD 300 - COLO3'!$B:U,20,FALSE),"N/A")</f>
        <v>N/A</v>
      </c>
      <c r="EK16" s="127" t="str">
        <f>IFERROR(VLOOKUP($B16,'LOD 300 - COLO3'!$B:X,23,FALSE),"N/A")</f>
        <v>N/A</v>
      </c>
      <c r="EL16" s="127" t="str">
        <f>IFERROR(VLOOKUP($B16,'LOD 300 - COLO3'!$B:AA,26,FALSE),"N/A")</f>
        <v>N/A</v>
      </c>
      <c r="EM16" s="127" t="str">
        <f>IFERROR(VLOOKUP($B16,'LOD 300 - COLO3'!$B:AD,29,FALSE),"N/A")</f>
        <v>N/A</v>
      </c>
      <c r="EN16" s="127" t="str">
        <f>IFERROR(VLOOKUP($B16,'LOD 300 - COLO3'!$B:AG,32,FALSE),"N/A")</f>
        <v>N/A</v>
      </c>
      <c r="EO16" s="127" t="str">
        <f>IFERROR(VLOOKUP($B16,'LOD 300 - COLO3'!$B:AJ,35,FALSE),"N/A")</f>
        <v>N/A</v>
      </c>
      <c r="EP16" s="100" t="str">
        <f>IFERROR(VLOOKUP($B16,'LOD 300 - COLO3'!$B:AM,38,FALSE),"N/A")</f>
        <v>N/A</v>
      </c>
      <c r="EQ16" s="100" t="str">
        <f>IFERROR(VLOOKUP($B16,'LOD 300 - COLO3'!$B:AP,41,FALSE),"N/A")</f>
        <v>N/A</v>
      </c>
      <c r="ER16" s="100" t="str">
        <f>IFERROR(VLOOKUP($B16,'LOD 300 - COLO3'!$B:AS,44,FALSE),"N/A")</f>
        <v>N/A</v>
      </c>
      <c r="ES16" s="100" t="str">
        <f>IFERROR(VLOOKUP($B16,'LOD 300 - COLO3'!$B:AV,47,FALSE),"N/A")</f>
        <v>N/A</v>
      </c>
      <c r="ET16" s="100" t="str">
        <f>IFERROR(VLOOKUP($B16,'LOD 300 - COLO3'!$B:AY,50,FALSE),"N/A")</f>
        <v>N/A</v>
      </c>
      <c r="EU16" s="100" t="str">
        <f>IFERROR(VLOOKUP($B16,'LOD 300 - COLO3'!$B:BB,53,FALSE),"N/A")</f>
        <v>N/A</v>
      </c>
      <c r="EV16" s="100" t="str">
        <f>IFERROR(VLOOKUP($B16,'LOD 300 - COLO3'!$B:BE,56,FALSE),"N/A")</f>
        <v>N/A</v>
      </c>
      <c r="EW16" s="100" t="str">
        <f>IFERROR(VLOOKUP($B16,'LOD 300 - COLO3'!$B:BL,59,FALSE),"N/A")</f>
        <v>N/A</v>
      </c>
      <c r="EX16" s="136"/>
      <c r="EY16" s="103" t="str">
        <f>IFERROR(__xludf.DUMMYFUNCTION("IFERROR(
  MAX(FILTER(EI16:EW16, ISNUMBER(EI16:EW16))),
  EW16
)"),"N/A")</f>
        <v>N/A</v>
      </c>
      <c r="EZ16" s="104" t="str">
        <f>IFERROR(VLOOKUP($B16,'LOD 300 - COLO4'!$B:BT,17,FALSE),"N/A")</f>
        <v>N/A</v>
      </c>
      <c r="FA16" s="103" t="str">
        <f>IFERROR(__xludf.DUMMYFUNCTION("IFERROR(
  MAX(FILTER(EZ16, ISNUMBER(EZ16))),
  EZ16
)"),"N/A")</f>
        <v>N/A</v>
      </c>
      <c r="FB16" s="121" t="str">
        <f>IFERROR(VLOOKUP($B16,'LOD 300 - SITE'!$B:S,18,FALSE),"N/A")</f>
        <v>NOT PUBLISHED</v>
      </c>
      <c r="FC16" s="122" t="str">
        <f>IFERROR(VLOOKUP($B16,'LOD 300 - SITE'!$B:V,21,FALSE),"N/A")</f>
        <v>NOT PUBLISHED</v>
      </c>
      <c r="FD16" s="122" t="str">
        <f>IFERROR(VLOOKUP($B16,'LOD 300 - SITE'!$B:Y,24,FALSE),"N/A")</f>
        <v>NOT PUBLISHED</v>
      </c>
      <c r="FE16" s="122" t="str">
        <f>IFERROR(VLOOKUP($B16,'LOD 300 - SITE'!$B:AB,27,FALSE),"N/A")</f>
        <v>NOT PUBLISHED</v>
      </c>
      <c r="FF16" s="122" t="str">
        <f>IFERROR(VLOOKUP($B16,'LOD 300 - SITE'!$B:AE,30,FALSE),"N/A")</f>
        <v>NOT PUBLISHED</v>
      </c>
      <c r="FG16" s="122" t="str">
        <f>IFERROR(VLOOKUP($B16,'LOD 300 - SITE'!$B:AH,33,FALSE),"N/A")</f>
        <v>NOT PUBLISHED</v>
      </c>
      <c r="FH16" s="122" t="str">
        <f>IFERROR(VLOOKUP($B16,'LOD 300 - SITE'!$B:AK,36,FALSE),"N/A")</f>
        <v>NOT PUBLISHED</v>
      </c>
      <c r="FI16" s="122" t="str">
        <f>IFERROR(VLOOKUP($B16,'LOD 300 - SITE'!$B:AN,39,FALSE),"N/A")</f>
        <v>NOT PUBLISHED</v>
      </c>
      <c r="FJ16" s="122" t="str">
        <f>IFERROR(VLOOKUP($B16,'LOD 300 - SITE'!$B:AQ,42,FALSE),"N/A")</f>
        <v>NOT PUBLISHED</v>
      </c>
      <c r="FK16" s="122" t="str">
        <f>IFERROR(VLOOKUP($B16,'LOD 300 - SITE'!$B:AT,45,FALSE),"N/A")</f>
        <v>NOT PUBLISHED</v>
      </c>
      <c r="FL16" s="123" t="str">
        <f>IFERROR(VLOOKUP($B16,'LOD 300 - SITE'!$B:AW,48,FALSE),"N/A")</f>
        <v>NOT PUBLISHED</v>
      </c>
      <c r="FM16" s="87" t="str">
        <f>IFERROR(VLOOKUP($B16,'LOD 300 - SITE'!$B:AZ,51,FALSE),"N/A")</f>
        <v>NOT PUBLISHED</v>
      </c>
      <c r="FN16" s="94" t="str">
        <f>IFERROR(VLOOKUP($B16,'LOD 300 - SITE'!$B:BC,54,FALSE),"N/A")</f>
        <v>NOT PUBLISHED</v>
      </c>
      <c r="FO16" s="95" t="str">
        <f>IFERROR(VLOOKUP($B16,'LOD 300 - SITE'!$B:BF,57,FALSE),"N/A")</f>
        <v>NOT PUBLISHED</v>
      </c>
      <c r="FP16" s="86" t="str">
        <f>IFERROR(VLOOKUP($B16,'LOD 300 - SITE'!$B:BI,60,FALSE),"N/A")</f>
        <v>NOT PUBLISHED</v>
      </c>
      <c r="FQ16" s="86" t="str">
        <f>IFERROR(VLOOKUP($B16,'LOD 300 - SITE'!$B:BL,63,FALSE),"N/A")</f>
        <v>NOT PUBLISHED</v>
      </c>
      <c r="FR16" s="86" t="str">
        <f>IFERROR(VLOOKUP($B16,'LOD 300 - SITE'!$B:BO,66,FALSE),"N/A")</f>
        <v>NOT PUBLISHED</v>
      </c>
      <c r="FS16" s="86" t="str">
        <f>IFERROR(VLOOKUP($B16,'LOD 300 - SITE'!$B:BR,69,FALSE),"N/A")</f>
        <v>NOT PUBLISHED</v>
      </c>
      <c r="FT16" s="86" t="str">
        <f>IFERROR(VLOOKUP($B16,'LOD 300 - SITE'!$B:BU,72,FALSE),"N/A")</f>
        <v>NOT PUBLISHED</v>
      </c>
      <c r="FU16" s="86" t="str">
        <f>IFERROR(VLOOKUP($B16,'LOD 300 - SITE'!$B:BX,75,FALSE),"N/A")</f>
        <v>NOT PUBLISHED</v>
      </c>
      <c r="FV16" s="86" t="str">
        <f>IFERROR(VLOOKUP($B16,'LOD 300 - SITE'!$B:CA,78,FALSE),"N/A")</f>
        <v>NOT PUBLISHED</v>
      </c>
      <c r="FW16" s="87" t="str">
        <f>IFERROR(VLOOKUP($B16,'LOD 300 - SITE'!$B:CD,81,FALSE),"N/A")</f>
        <v>NOT PUBLISHED</v>
      </c>
      <c r="FX16" s="108" t="str">
        <f>IFERROR(VLOOKUP($B16,'LOD 300 - SITE'!$B:CG,84,FALSE),"N/A")</f>
        <v>NOT PUBLISHED</v>
      </c>
      <c r="FY16" s="108" t="str">
        <f>IFERROR(VLOOKUP($B16,'LOD 300 - SITE'!$B:CJ,87,FALSE),"N/A")</f>
        <v>NOT PUBLISHED</v>
      </c>
      <c r="FZ16" s="108" t="str">
        <f>IFERROR(VLOOKUP($B16,'LOD 300 - SITE'!$B:CM,90,FALSE),"N/A")</f>
        <v>NOT PUBLISHED</v>
      </c>
      <c r="GA16" s="108" t="str">
        <f>IFERROR(VLOOKUP($B16,'LOD 300 - SITE'!$B:CP,93,FALSE),"N/A")</f>
        <v>NOT PUBLISHED</v>
      </c>
      <c r="GB16" s="108" t="str">
        <f>IFERROR(VLOOKUP($B16,'LOD 300 - SITE'!$B:CS,96,FALSE),"N/A")</f>
        <v>NOT PUBLISHED</v>
      </c>
      <c r="GC16" s="109" t="str">
        <f>IFERROR(VLOOKUP($B16,'LOD 300 - SITE'!$B:CV,99,FALSE),"N/A")</f>
        <v>NOT PUBLISHED</v>
      </c>
      <c r="GD16" s="87" t="str">
        <f>IFERROR(VLOOKUP($B16,'LOD 300 - SITE'!$B:CY,102,FALSE),"N/A")</f>
        <v>NOT PUBLISHED</v>
      </c>
      <c r="GE16" s="87" t="str">
        <f>IFERROR(VLOOKUP($B16,'LOD 300 - SITE'!$B:DB,105,FALSE),"N/A")</f>
        <v>NOT PUBLISHED</v>
      </c>
      <c r="GF16" s="87" t="str">
        <f>IFERROR(VLOOKUP($B16,'LOD 300 - SITE'!$B:DE,108,FALSE),"N/A")</f>
        <v>NOT PUBLISHED</v>
      </c>
      <c r="GG16" s="87" t="str">
        <f>IFERROR(VLOOKUP($B16,'LOD 300 - SITE'!$B:DH,111,FALSE),"N/A")</f>
        <v>NOT PUBLISHED</v>
      </c>
      <c r="GH16" s="87" t="str">
        <f>IFERROR(VLOOKUP($B16,'LOD 300 - SITE'!$B:DK,114,FALSE),"N/A")</f>
        <v>NOT PUBLISHED</v>
      </c>
      <c r="GI16" s="87" t="str">
        <f>IFERROR(VLOOKUP($B16,'LOD 300 - SITE'!$B:DN,117,FALSE),"N/A")</f>
        <v>NOT PUBLISHED</v>
      </c>
      <c r="GJ16" s="87" t="str">
        <f>IFERROR(VLOOKUP($B16,'LOD 300 - SITE'!$B:DQ,120,FALSE),"N/A")</f>
        <v>NOT PUBLISHED</v>
      </c>
      <c r="GK16" s="87" t="str">
        <f>IFERROR(VLOOKUP($B16,'LOD 300 - SITE'!$B:DT,123,FALSE),"N/A")</f>
        <v>NOT PUBLISHED</v>
      </c>
      <c r="GL16" s="135"/>
      <c r="GM16" s="110" t="str">
        <f>IFERROR(__xludf.DUMMYFUNCTION("IFERROR(
  MAX(FILTER(FB16:GK16, ISNUMBER(FB16:GK16))),
  GK16
)"),"NOT PUBLISHED")</f>
        <v>NOT PUBLISHED</v>
      </c>
      <c r="GN16" s="68"/>
      <c r="GO16" s="68"/>
      <c r="GP16" s="68"/>
    </row>
    <row r="17" ht="15.0" customHeight="1" outlineLevel="1">
      <c r="A17" s="60">
        <v>20.0</v>
      </c>
      <c r="B17" s="140" t="s">
        <v>122</v>
      </c>
      <c r="C17" s="70" t="s">
        <v>123</v>
      </c>
      <c r="D17" s="71" t="s">
        <v>85</v>
      </c>
      <c r="E17" s="146" t="s">
        <v>124</v>
      </c>
      <c r="F17" s="13">
        <v>1108.0</v>
      </c>
      <c r="G17" s="147" t="s">
        <v>101</v>
      </c>
      <c r="H17" s="139">
        <v>1108.0</v>
      </c>
      <c r="I17" s="74" t="str">
        <f>IFERROR(VLOOKUP(C14:C156,'R22 RELATÓRIO ACC'!B:F,5,FALSE),"NOT PUBLISHED")</f>
        <v>V4</v>
      </c>
      <c r="J17" s="74" t="str">
        <f>IFERROR(VLOOKUP(C14:C156,'R22 RELATÓRIO ACC'!B:P,15,FALSE),"NOT PUBLISHED")</f>
        <v>10/04/2026</v>
      </c>
      <c r="K17" s="141" t="str">
        <f>IFERROR(VLOOKUP(B15:B206,'RELATÓRIO ACC'!B:F,5,FALSE),"NOT PUBLISHED")</f>
        <v>V2</v>
      </c>
      <c r="L17" s="142" t="str">
        <f>IFERROR(VLOOKUP(B15:B206,'RELATÓRIO ACC'!B:P,15,FALSE),"NOT PUBLISHED")</f>
        <v>04/06/2026</v>
      </c>
      <c r="M17" s="76" t="str">
        <f>IF(OR($D17="UTLS",$D17="GUAR",$D17="STIR",$D17="PUMP",$D17="SITE"),
   VLOOKUP($B17,'LOD 300 - SITE'!B:M,12,FALSE),
   VLOOKUP($B17,'LOD 300 - ADMN'!B:M,12,FALSE)
)</f>
        <v>V3</v>
      </c>
      <c r="N17" s="77">
        <f>IF(OR($D17="UTLS",$D17="GUAR",$D17="STIR",$D17="PUMP",$D17="SITE"),
   VLOOKUP($B17,'LOD 300 - SITE'!B:N,13,FALSE),
   VLOOKUP($B17,'LOD 300 - ADMN'!B:N,13,FALSE)
)</f>
        <v>46119</v>
      </c>
      <c r="O17" s="114" t="str">
        <f>IF(OR($D17="UTLS",$D17="GUAR",$D17="STIR",$D17="PUMP",$D17="SITE"),
   VLOOKUP($B17,'LOD 300 - SITE'!B:O,14,FALSE),
   VLOOKUP($B17,'LOD 300 - ADMN'!B:O,14,FALSE)
)</f>
        <v>R22</v>
      </c>
      <c r="P17" s="79" t="str">
        <f>IF(OR($D17="C345",$D17="C12A",$D17="DATA"),
   VLOOKUP($B17,'LOD 300 - COLO3'!B:M,12,FALSE),"N/A")</f>
        <v>N/A</v>
      </c>
      <c r="Q17" s="76" t="str">
        <f>IF(OR($D17="C345",$D17="C12A",$D17="DATA"),
   VLOOKUP($B17,'LOD 300 - COLO3'!B:N,13,FALSE),"N/A")</f>
        <v>N/A</v>
      </c>
      <c r="R17" s="76" t="str">
        <f>IF(OR($D17="C345",$D17="C12A",$D17="DATA"),
   VLOOKUP($B17,'LOD 300 - COLO3'!B:O,14,FALSE),"N/A")</f>
        <v>N/A</v>
      </c>
      <c r="S17" s="79" t="str">
        <f>IF(OR($D17="C345",$D17="C12A",$D17="DATA"),
   VLOOKUP($B17,'LOD 300 - COLO4'!B:M,12,FALSE),"N/A")</f>
        <v>N/A</v>
      </c>
      <c r="T17" s="76" t="str">
        <f>IF(OR($D17="C345",$D17="C12A",$D17="DATA"),
   VLOOKUP($B17,'LOD 300 - COLO4'!B:T,13,FALSE),"N/A")</f>
        <v>N/A</v>
      </c>
      <c r="U17" s="81">
        <f>IF(OR($D17="C345",$D17="C12A",$D17="DATA"),
   VLOOKUP($B17,'LOD 300 - COLO4'!B:U,17,FALSE),"N/A")</f>
        <v>0</v>
      </c>
      <c r="V17" s="126"/>
      <c r="W17" s="144" t="str">
        <f>IFERROR(VLOOKUP($B17,'LOD 300 - ADMN'!$B:S,18,FALSE),"N/A")</f>
        <v>NOT PUBLISHED</v>
      </c>
      <c r="X17" s="122" t="str">
        <f>IFERROR(VLOOKUP($B17,'LOD 300 - ADMN'!$B:V,21,FALSE),"N/A")</f>
        <v>NOT PUBLISHED</v>
      </c>
      <c r="Y17" s="122" t="str">
        <f>IFERROR(VLOOKUP($B17,'LOD 300 - ADMN'!$B:Y,24,FALSE),"N/A")</f>
        <v>NOT PUBLISHED</v>
      </c>
      <c r="Z17" s="122" t="str">
        <f>IFERROR(VLOOKUP($B17,'LOD 300 - ADMN'!$B:AB,27,FALSE),"N/A")</f>
        <v>NOT PUBLISHED</v>
      </c>
      <c r="AA17" s="122" t="str">
        <f>IFERROR(VLOOKUP($B17,'LOD 300 - ADMN'!$B:AE,30,FALSE),"N/A")</f>
        <v>NOT PUBLISHED</v>
      </c>
      <c r="AB17" s="145" t="str">
        <f>IFERROR(VLOOKUP($B17,'LOD 300 - ADMN'!$B:AH,33,FALSE),"N/A")</f>
        <v>NOT PUBLISHED</v>
      </c>
      <c r="AC17" s="145" t="str">
        <f>IFERROR(VLOOKUP($B17,'LOD 300 - ADMN'!$B:AK,36,FALSE),"N/A")</f>
        <v>NOT PUBLISHED</v>
      </c>
      <c r="AD17" s="122" t="str">
        <f>IFERROR(VLOOKUP($B17,'LOD 300 - ADMN'!$B:AN,39,FALSE),"N/A")</f>
        <v>NOT PUBLISHED</v>
      </c>
      <c r="AE17" s="122" t="str">
        <f>IFERROR(VLOOKUP($B17,'LOD 300 - ADMN'!$B:AQ,42,FALSE),"N/A")</f>
        <v>NOT PUBLISHED</v>
      </c>
      <c r="AF17" s="122" t="str">
        <f>IFERROR(VLOOKUP($B17,'LOD 300 - ADMN'!$B:AT,45,FALSE),"N/A")</f>
        <v>NOT PUBLISHED</v>
      </c>
      <c r="AG17" s="122" t="str">
        <f>IFERROR(VLOOKUP($B17,'LOD 300 - ADMN'!$B:AW,48,FALSE),"N/A")</f>
        <v>NOT PUBLISHED</v>
      </c>
      <c r="AH17" s="122" t="str">
        <f>IFERROR(VLOOKUP($B17,'LOD 300 - ADMN'!$B:AZ,51,FALSE),"N/A")</f>
        <v>NOT PUBLISHED</v>
      </c>
      <c r="AI17" s="122" t="str">
        <f>IFERROR(VLOOKUP($B17,'LOD 300 - ADMN'!$B:BC,54,FALSE),"N/A")</f>
        <v>NOT PUBLISHED</v>
      </c>
      <c r="AJ17" s="87" t="str">
        <f>IFERROR(VLOOKUP($B17,'LOD 300 - ADMN'!$B:BF,57,FALSE),"N/A")</f>
        <v>NOT PUBLISHED</v>
      </c>
      <c r="AK17" s="87" t="str">
        <f>IFERROR(VLOOKUP($B17,'LOD 300 - ADMN'!$B:EP,60,FALSE),"N/A")</f>
        <v>NOT PUBLISHED</v>
      </c>
      <c r="AL17" s="87" t="str">
        <f>IFERROR(VLOOKUP($B17,'LOD 300 - ADMN'!$B:EQ,63,FALSE),"N/A")</f>
        <v>NOT PUBLISHED</v>
      </c>
      <c r="AM17" s="87" t="str">
        <f>IFERROR(VLOOKUP($B17,'LOD 300 - ADMN'!$B:BO,66,FALSE),"N/A")</f>
        <v>NOT PUBLISHED</v>
      </c>
      <c r="AN17" s="87" t="str">
        <f>IFERROR(VLOOKUP($B17,'LOD 300 - ADMN'!$B:BR,69,FALSE),"N/A")</f>
        <v>NOT PUBLISHED</v>
      </c>
      <c r="AO17" s="87" t="str">
        <f>IFERROR(VLOOKUP($B17,'LOD 300 - ADMN'!$B:BU,72,FALSE),"N/A")</f>
        <v>NOT PUBLISHED</v>
      </c>
      <c r="AP17" s="87" t="str">
        <f>IFERROR(VLOOKUP($B17,'LOD 300 - ADMN'!$B:BX,75,FALSE),"N/A")</f>
        <v>NOT PUBLISHED</v>
      </c>
      <c r="AQ17" s="87" t="str">
        <f>IFERROR(VLOOKUP($B17,'LOD 300 - ADMN'!$B:CA,78,FALSE),"N/A")</f>
        <v>NEXT ROUND</v>
      </c>
      <c r="AR17" s="87">
        <f>IFERROR(VLOOKUP($B17,'LOD 300 - ADMN'!$B:CD,81,FALSE),"N/A")</f>
        <v>0</v>
      </c>
      <c r="AS17" s="87" t="str">
        <f>IFERROR(VLOOKUP($B17,'LOD 300 - ADMN'!$B:CG,84,FALSE),"N/A")</f>
        <v>NEXT ROUND</v>
      </c>
      <c r="AT17" s="87">
        <f>IFERROR(VLOOKUP($B17,'LOD 300 - ADMN'!$B:CJ,87,FALSE),"N/A")</f>
        <v>0.53</v>
      </c>
      <c r="AU17" s="88">
        <f>IFERROR(VLOOKUP($B17,'LOD 300 - ADMN'!$B:CM,90,FALSE),"N/A")</f>
        <v>1</v>
      </c>
      <c r="AV17" s="88">
        <f>IFERROR(VLOOKUP($B17,'LOD 300 - ADMN'!$B:CP,93,FALSE),"N/A")</f>
        <v>1</v>
      </c>
      <c r="AW17" s="88">
        <f>IFERROR(VLOOKUP($B17,'LOD 300 - ADMN'!$B:CS,96,FALSE),"N/A")</f>
        <v>1</v>
      </c>
      <c r="AX17" s="88">
        <f>IFERROR(VLOOKUP($B17,'LOD 300 - ADMN'!$B:CV,99,FALSE),"N/A")</f>
        <v>1</v>
      </c>
      <c r="AY17" s="88">
        <f>IFERROR(VLOOKUP($B17,'LOD 300 - ADMN'!$B:CY,102,FALSE),"N/A")</f>
        <v>1</v>
      </c>
      <c r="AZ17" s="88">
        <f>IFERROR(VLOOKUP($B17,'LOD 300 - ADMN'!$B:DB,105,FALSE),"N/A")</f>
        <v>1</v>
      </c>
      <c r="BA17" s="87">
        <f>IFERROR(VLOOKUP($B17,'LOD 300 - ADMN'!$B:DE,108,FALSE),"N/A")</f>
        <v>1</v>
      </c>
      <c r="BB17" s="87">
        <f>IFERROR(VLOOKUP($B17,'LOD 300 - ADMN'!$B:DH,111,FALSE),"N/A")</f>
        <v>1</v>
      </c>
      <c r="BC17" s="87">
        <f>IFERROR(VLOOKUP($B17,'LOD 300 - ADMN'!$B:DK,114,FALSE),"N/A")</f>
        <v>1</v>
      </c>
      <c r="BD17" s="87">
        <f>IFERROR(VLOOKUP($B17,'LOD 300 - ADMN'!$B:DN,117,FALSE),"N/A")</f>
        <v>1</v>
      </c>
      <c r="BE17" s="87">
        <f>IFERROR(VLOOKUP($B17,'LOD 300 - ADMN'!$B:DQ,120,FALSE),"N/A")</f>
        <v>1</v>
      </c>
      <c r="BF17" s="87">
        <f>IFERROR(VLOOKUP($B17,'LOD 300 - ADMN'!$B:DT,123,FALSE),"N/A")</f>
        <v>1</v>
      </c>
      <c r="BG17" s="87">
        <f>IFERROR(VLOOKUP($B17,'LOD 300 - ADMN'!$B:DW,126,FALSE),"N/A")</f>
        <v>1</v>
      </c>
      <c r="BH17" s="87">
        <f>IFERROR(VLOOKUP($B17,'LOD 300 - ADMN'!$B:DZ,129,FALSE),"N/A")</f>
        <v>1</v>
      </c>
      <c r="BI17" s="87">
        <f>IFERROR(VLOOKUP($B17,'LOD 300 - ADMN'!$B:EC,132,FALSE),"N/A")</f>
        <v>1</v>
      </c>
      <c r="BJ17" s="90">
        <f>IFERROR(__xludf.DUMMYFUNCTION("IFERROR(
  MAX(FILTER(X17:BI17, ISNUMBER(X17:BI17))),
  BI17
)"),1.0)</f>
        <v>1</v>
      </c>
      <c r="BK17" s="91" t="str">
        <f>IFERROR(VLOOKUP($B17,'LOD 300 - COLO1'!$B:S,18,FALSE),"N/A")</f>
        <v>NOT PUBLISHED</v>
      </c>
      <c r="BL17" s="92" t="str">
        <f>IFERROR(VLOOKUP($B17,'LOD 300 - COLO1'!$B:V,21,FALSE),"N/A")</f>
        <v>NOT PUBLISHED</v>
      </c>
      <c r="BM17" s="92" t="str">
        <f>IFERROR(VLOOKUP($B17,'LOD 300 - COLO1'!$B:Y,24,FALSE),"N/A")</f>
        <v>NOT PUBLISHED</v>
      </c>
      <c r="BN17" s="92" t="str">
        <f>IFERROR(VLOOKUP($B17,'LOD 300 - COLO1'!$B:AB,27,FALSE),"N/A")</f>
        <v>NOT PUBLISHED</v>
      </c>
      <c r="BO17" s="92" t="str">
        <f>IFERROR(VLOOKUP($B17,'LOD 300 - COLO1'!$B:AE,30,FALSE),"N/A")</f>
        <v>NOT PUBLISHED</v>
      </c>
      <c r="BP17" s="92" t="str">
        <f>IFERROR(VLOOKUP($B17,'LOD 300 - COLO1'!$B:AH,33,FALSE),"N/A")</f>
        <v>NOT PUBLISHED</v>
      </c>
      <c r="BQ17" s="92" t="str">
        <f>IFERROR(VLOOKUP($B17,'LOD 300 - COLO1'!$B:AK,36,FALSE),"N/A")</f>
        <v>NOT PUBLISHED</v>
      </c>
      <c r="BR17" s="92" t="str">
        <f>IFERROR(VLOOKUP($B17,'LOD 300 - COLO1'!$B:AN,39,FALSE),"N/A")</f>
        <v>NOT PUBLISHED</v>
      </c>
      <c r="BS17" s="92" t="str">
        <f>IFERROR(VLOOKUP($B17,'LOD 300 - COLO1'!$B:AQ,42,FALSE),"N/A")</f>
        <v>NOT PUBLISHED</v>
      </c>
      <c r="BT17" s="92" t="str">
        <f>IFERROR(VLOOKUP($B17,'LOD 300 - COLO1'!$B:AT,45,FALSE),"N/A")</f>
        <v>NOT PUBLISHED</v>
      </c>
      <c r="BU17" s="92" t="str">
        <f>IFERROR(VLOOKUP($B17,'LOD 300 - COLO1'!$B:AW,48,FALSE),"N/A")</f>
        <v>NOT PUBLISHED</v>
      </c>
      <c r="BV17" s="92" t="str">
        <f>IFERROR(VLOOKUP($B17,'LOD 300 - COLO1'!$B:AZ,51,FALSE),"N/A")</f>
        <v>NOT PUBLISHED</v>
      </c>
      <c r="BW17" s="92" t="str">
        <f>IFERROR(VLOOKUP($B17,'LOD 300 - COLO1'!$B:BC,54,FALSE),"N/A")</f>
        <v>NOT PUBLISHED</v>
      </c>
      <c r="BX17" s="94" t="str">
        <f>IFERROR(VLOOKUP($B17,'LOD 300 - COLO1'!$B:BF,57,FALSE),"N/A")</f>
        <v>NOT PUBLISHED</v>
      </c>
      <c r="BY17" s="94" t="str">
        <f>IFERROR(VLOOKUP($B17,'LOD 300 - COLO1'!$B:BI,60,FALSE),"N/A")</f>
        <v>NOT PUBLISHED</v>
      </c>
      <c r="BZ17" s="95" t="str">
        <f>IFERROR(VLOOKUP($B17,'LOD 300 - COLO1'!$B:BL,63,FALSE),"N/A")</f>
        <v>NOT PUBLISHED</v>
      </c>
      <c r="CA17" s="86" t="str">
        <f>IFERROR(VLOOKUP($B17,'LOD 300 - COLO1'!$B:BO,66,FALSE),"N/A")</f>
        <v>NOT PUBLISHED</v>
      </c>
      <c r="CB17" s="86" t="str">
        <f>IFERROR(VLOOKUP($B17,'LOD 300 - COLO1'!$B:BR,69,FALSE),"N/A")</f>
        <v>NOT PUBLISHED</v>
      </c>
      <c r="CC17" s="86" t="str">
        <f>IFERROR(VLOOKUP($B17,'LOD 300 - COLO1'!$B:BU,72,FALSE),"N/A")</f>
        <v>NOT PUBLISHED</v>
      </c>
      <c r="CD17" s="86" t="str">
        <f>IFERROR(VLOOKUP($B17,'LOD 300 - COLO1'!$B:BX,75,FALSE),"N/A")</f>
        <v>NOT PUBLISHED</v>
      </c>
      <c r="CE17" s="86" t="str">
        <f>IFERROR(VLOOKUP($B17,'LOD 300 - COLO1'!$B:CA,78,FALSE),"N/A")</f>
        <v>N/A</v>
      </c>
      <c r="CF17" s="87" t="str">
        <f>IFERROR(VLOOKUP($B17,'LOD 300 - COLO1'!$B:CD,81,FALSE),"N/A")</f>
        <v>N/A</v>
      </c>
      <c r="CG17" s="86" t="str">
        <f>IFERROR(VLOOKUP($B17,'LOD 300 - COLO1'!$B:CG,84,FALSE),"N/A")</f>
        <v>N/A</v>
      </c>
      <c r="CH17" s="87" t="str">
        <f>IFERROR(VLOOKUP($B17,'LOD 300 - COLO1'!$B:CJ,87,FALSE),"N/A")</f>
        <v>N/A</v>
      </c>
      <c r="CI17" s="88" t="str">
        <f>IFERROR(VLOOKUP($B17,'LOD 300 - COLO1'!$B:CM,90,FALSE),"N/A")</f>
        <v>N/A</v>
      </c>
      <c r="CJ17" s="88" t="str">
        <f>IFERROR(VLOOKUP($B17,'LOD 300 - COLO1'!$B:CP,93,FALSE),"N/A")</f>
        <v>N/A</v>
      </c>
      <c r="CK17" s="88" t="str">
        <f>IFERROR(VLOOKUP($B17,'LOD 300 - COLO1'!$B:CS,96,FALSE),"N/A")</f>
        <v>N/A</v>
      </c>
      <c r="CL17" s="88" t="str">
        <f>IFERROR(VLOOKUP($B17,'LOD 300 - COLO1'!$B:CV,99,FALSE),"N/A")</f>
        <v>N/A</v>
      </c>
      <c r="CM17" s="88" t="str">
        <f>IFERROR(VLOOKUP($B17,'LOD 300 - COLO1'!$B:CY,102,FALSE),"N/A")</f>
        <v>N/A</v>
      </c>
      <c r="CN17" s="89" t="str">
        <f>IFERROR(VLOOKUP($B17,'LOD 300 - COLO1'!$B:DB,105,FALSE),"N/A")</f>
        <v>N/A</v>
      </c>
      <c r="CO17" s="87" t="str">
        <f>IFERROR(VLOOKUP($B17,'LOD 300 - COLO1'!$B:EE,108,FALSE),"N/A")</f>
        <v>N/A</v>
      </c>
      <c r="CP17" s="87" t="str">
        <f>IFERROR(VLOOKUP($B17,'LOD 300 - COLO1'!$B:EH,111,FALSE),"N/A")</f>
        <v>N/A</v>
      </c>
      <c r="CQ17" s="87" t="str">
        <f>IFERROR(VLOOKUP($B17,'LOD 300 - COLO1'!$B:EK,114,FALSE),"N/A")</f>
        <v>N/A</v>
      </c>
      <c r="CR17" s="87" t="str">
        <f>IFERROR(VLOOKUP($B17,'LOD 300 - COLO1'!$B:EN,117,FALSE),"N/A")</f>
        <v>N/A</v>
      </c>
      <c r="CS17" s="87" t="str">
        <f>IFERROR(VLOOKUP($B17,'LOD 300 - COLO1'!$B:EQ,120,FALSE),"N/A")</f>
        <v>N/A</v>
      </c>
      <c r="CT17" s="87" t="str">
        <f>IFERROR(VLOOKUP($B17,'LOD 300 - COLO1'!$B:ET,123,FALSE),"N/A")</f>
        <v>N/A</v>
      </c>
      <c r="CU17" s="87" t="str">
        <f>IFERROR(VLOOKUP($B17,'LOD 300 - COLO1'!$B:EW,126,FALSE),"N/A")</f>
        <v>N/A</v>
      </c>
      <c r="CV17" s="87" t="str">
        <f>IFERROR(VLOOKUP($B17,'LOD 300 - COLO1'!$B:EZ,129,FALSE),"N/A")</f>
        <v>N/A</v>
      </c>
      <c r="CW17" s="87" t="str">
        <f>IFERROR(VLOOKUP($B17,'LOD 300 - COLO1'!$B:FC,132,FALSE),"N/A")</f>
        <v>N/A</v>
      </c>
      <c r="CX17" s="96" t="str">
        <f>IFERROR(__xludf.DUMMYFUNCTION("IFERROR(
  MAX(FILTER(BK17:CW17, ISNUMBER(BK17:CW17))),
  CW17
)"),"N/A")</f>
        <v>N/A</v>
      </c>
      <c r="CY17" s="104" t="str">
        <f>IFERROR(VLOOKUP($B17,'LOD 300 - COLO2'!$B:S,18,FALSE),"N/A")</f>
        <v>NOT PUBLISHED</v>
      </c>
      <c r="CZ17" s="117" t="str">
        <f>IFERROR(VLOOKUP($B17,'LOD 300 - COLO2'!$B:V,21,FALSE),"N/A")</f>
        <v>NOT PUBLISHED</v>
      </c>
      <c r="DA17" s="117" t="str">
        <f>IFERROR(VLOOKUP($B17,'LOD 300 - COLO2'!$B:Y,24,FALSE),"N/A")</f>
        <v>NOT PUBLISHED</v>
      </c>
      <c r="DB17" s="117" t="str">
        <f>IFERROR(VLOOKUP($B17,'LOD 300 - COLO2'!$B:AB,27,FALSE),"N/A")</f>
        <v>NOT PUBLISHED</v>
      </c>
      <c r="DC17" s="92" t="str">
        <f>IFERROR(VLOOKUP($B17,'LOD 300 - COLO2'!$B:AE,30,FALSE),"N/A")</f>
        <v>NOT PUBLISHED</v>
      </c>
      <c r="DD17" s="120" t="str">
        <f>IFERROR(VLOOKUP($B17,'LOD 300 - COLO2'!$B:AH,33,FALSE),"N/A")</f>
        <v>NOT PUBLISHED</v>
      </c>
      <c r="DE17" s="117" t="str">
        <f>IFERROR(VLOOKUP($B17,'LOD 300 - COLO2'!$B:AK,36,FALSE),"N/A")</f>
        <v>NOT PUBLISHED</v>
      </c>
      <c r="DF17" s="117" t="str">
        <f>IFERROR(VLOOKUP($B17,'LOD 300 - COLO2'!$B:AN,39,FALSE),"N/A")</f>
        <v>NOT PUBLISHED</v>
      </c>
      <c r="DG17" s="119" t="str">
        <f>IFERROR(VLOOKUP($B17,'LOD 300 - COLO2'!$B:AQ,42,FALSE),"N/A")</f>
        <v>NOT PUBLISHED</v>
      </c>
      <c r="DH17" s="87" t="str">
        <f>IFERROR(VLOOKUP($B17,'LOD 300 - COLO2'!$B:AT,45,FALSE),"N/A")</f>
        <v>NOT PUBLISHED</v>
      </c>
      <c r="DI17" s="94" t="str">
        <f>IFERROR(VLOOKUP($B17,'LOD 300 - COLO2'!$B:AW,48,FALSE),"N/A")</f>
        <v>NOT PUBLISHED</v>
      </c>
      <c r="DJ17" s="95" t="str">
        <f>IFERROR(VLOOKUP($B17,'LOD 300 - COLO2'!$B:AZ,51,FALSE),"N/A")</f>
        <v>NOT PUBLISHED</v>
      </c>
      <c r="DK17" s="86" t="str">
        <f>IFERROR(VLOOKUP($B17,'LOD 300 - COLO2'!$B:BC,54,FALSE),"N/A")</f>
        <v>NOT PUBLISHED</v>
      </c>
      <c r="DL17" s="86" t="str">
        <f>IFERROR(VLOOKUP($B17,'LOD 300 - COLO2'!$B:BF,57,FALSE),"N/A")</f>
        <v>NOT PUBLISHED</v>
      </c>
      <c r="DM17" s="86" t="str">
        <f>IFERROR(VLOOKUP($B17,'LOD 300 - COLO2'!$B:BI,60,FALSE),"N/A")</f>
        <v>NOT PUBLISHED</v>
      </c>
      <c r="DN17" s="86" t="str">
        <f>IFERROR(VLOOKUP($B17,'LOD 300 - COLO2'!$B:BL,63,FALSE),"N/A")</f>
        <v>NOT PUBLISHED</v>
      </c>
      <c r="DO17" s="86" t="str">
        <f>IFERROR(VLOOKUP($B17,'LOD 300 - COLO2'!$B:BO,66,FALSE),"N/A")</f>
        <v>N/A</v>
      </c>
      <c r="DP17" s="87" t="str">
        <f>IFERROR(VLOOKUP($B17,'LOD 300 - COLO2'!$B:BR,69,FALSE),"N/A")</f>
        <v>N/A</v>
      </c>
      <c r="DQ17" s="87" t="str">
        <f>IFERROR(VLOOKUP($B17,'LOD 300 - COLO2'!$B:BU,72,FALSE),"N/A")</f>
        <v>N/A</v>
      </c>
      <c r="DR17" s="87" t="str">
        <f>IFERROR(VLOOKUP($B17,'LOD 300 - COLO2'!$B:BX,75,FALSE),"N/A")</f>
        <v>N/A</v>
      </c>
      <c r="DS17" s="98" t="str">
        <f>IFERROR(VLOOKUP($B17,'LOD 300 - COLO2'!$B:CA,78,FALSE),"N/A")</f>
        <v>N/A</v>
      </c>
      <c r="DT17" s="98" t="str">
        <f>IFERROR(VLOOKUP($B17,'LOD 300 - COLO2'!$B:CD,81,FALSE),"N/A")</f>
        <v>N/A</v>
      </c>
      <c r="DU17" s="98" t="str">
        <f>IFERROR(VLOOKUP($B17,'LOD 300 - COLO2'!$B:CG,84,FALSE),"N/A")</f>
        <v>N/A</v>
      </c>
      <c r="DV17" s="98" t="str">
        <f>IFERROR(VLOOKUP($B17,'LOD 300 - COLO2'!$B:CJ,87,FALSE),"N/A")</f>
        <v>N/A</v>
      </c>
      <c r="DW17" s="98" t="str">
        <f>IFERROR(VLOOKUP($B17,'LOD 300 - COLO2'!$B:CM,90,FALSE),"N/A")</f>
        <v>N/A</v>
      </c>
      <c r="DX17" s="98" t="str">
        <f>IFERROR(VLOOKUP($B17,'LOD 300 - COLO2'!$B:CP,93,FALSE),"N/A")</f>
        <v>N/A</v>
      </c>
      <c r="DY17" s="87" t="str">
        <f>IFERROR(VLOOKUP($B17,'LOD 300 - COLO2'!$B:CS,96,FALSE),"N/A")</f>
        <v>N/A</v>
      </c>
      <c r="DZ17" s="87" t="str">
        <f>IFERROR(VLOOKUP($B17,'LOD 300 - COLO2'!$B:CV,99,FALSE),"N/A")</f>
        <v>N/A</v>
      </c>
      <c r="EA17" s="87" t="str">
        <f>IFERROR(VLOOKUP($B17,'LOD 300 - COLO2'!$B:DB,105,FALSE),"N/A")</f>
        <v>N/A</v>
      </c>
      <c r="EB17" s="87" t="str">
        <f>IFERROR(VLOOKUP($B17,'LOD 300 - COLO2'!$B:DB,105,FALSE),"N/A")</f>
        <v>N/A</v>
      </c>
      <c r="EC17" s="87" t="str">
        <f>IFERROR(VLOOKUP($B17,'LOD 300 - COLO2'!$B:DE,108,FALSE),"N/A")</f>
        <v>N/A</v>
      </c>
      <c r="ED17" s="87" t="str">
        <f>IFERROR(VLOOKUP($B17,'LOD 300 - COLO2'!$B:DH,111,FALSE),"N/A")</f>
        <v>N/A</v>
      </c>
      <c r="EE17" s="87" t="str">
        <f>IFERROR(VLOOKUP($B17,'LOD 300 - COLO2'!$B:DK,114,FALSE),"N/A")</f>
        <v>N/A</v>
      </c>
      <c r="EF17" s="87" t="str">
        <f>IFERROR(VLOOKUP($B17,'LOD 300 - COLO2'!$B:DN,117,FALSE),"N/A")</f>
        <v>N/A</v>
      </c>
      <c r="EG17" s="87" t="str">
        <f>IFERROR(VLOOKUP($B17,'LOD 300 - COLO2'!$B:DQ,120,FALSE),"N/A")</f>
        <v>N/A</v>
      </c>
      <c r="EH17" s="99" t="str">
        <f>IFERROR(__xludf.DUMMYFUNCTION("IFERROR(
  MAX(FILTER(CZ17:EG17, ISNUMBER(CZ17:EG17))),
  EG17
)"),"N/A")</f>
        <v>N/A</v>
      </c>
      <c r="EI17" s="100" t="str">
        <f>IFERROR(VLOOKUP($B17,'LOD 300 - COLO3'!$B:R,17,FALSE),"N/A")</f>
        <v>N/A</v>
      </c>
      <c r="EJ17" s="127" t="str">
        <f>IFERROR(VLOOKUP($B17,'LOD 300 - COLO3'!$B:U,20,FALSE),"N/A")</f>
        <v>N/A</v>
      </c>
      <c r="EK17" s="127" t="str">
        <f>IFERROR(VLOOKUP($B17,'LOD 300 - COLO3'!$B:X,23,FALSE),"N/A")</f>
        <v>N/A</v>
      </c>
      <c r="EL17" s="127" t="str">
        <f>IFERROR(VLOOKUP($B17,'LOD 300 - COLO3'!$B:AA,26,FALSE),"N/A")</f>
        <v>N/A</v>
      </c>
      <c r="EM17" s="127" t="str">
        <f>IFERROR(VLOOKUP($B17,'LOD 300 - COLO3'!$B:AD,29,FALSE),"N/A")</f>
        <v>N/A</v>
      </c>
      <c r="EN17" s="127" t="str">
        <f>IFERROR(VLOOKUP($B17,'LOD 300 - COLO3'!$B:AG,32,FALSE),"N/A")</f>
        <v>N/A</v>
      </c>
      <c r="EO17" s="127" t="str">
        <f>IFERROR(VLOOKUP($B17,'LOD 300 - COLO3'!$B:AJ,35,FALSE),"N/A")</f>
        <v>N/A</v>
      </c>
      <c r="EP17" s="100" t="str">
        <f>IFERROR(VLOOKUP($B17,'LOD 300 - COLO3'!$B:AM,38,FALSE),"N/A")</f>
        <v>N/A</v>
      </c>
      <c r="EQ17" s="100" t="str">
        <f>IFERROR(VLOOKUP($B17,'LOD 300 - COLO3'!$B:AP,41,FALSE),"N/A")</f>
        <v>N/A</v>
      </c>
      <c r="ER17" s="100" t="str">
        <f>IFERROR(VLOOKUP($B17,'LOD 300 - COLO3'!$B:AS,44,FALSE),"N/A")</f>
        <v>N/A</v>
      </c>
      <c r="ES17" s="100" t="str">
        <f>IFERROR(VLOOKUP($B17,'LOD 300 - COLO3'!$B:AV,47,FALSE),"N/A")</f>
        <v>N/A</v>
      </c>
      <c r="ET17" s="100" t="str">
        <f>IFERROR(VLOOKUP($B17,'LOD 300 - COLO3'!$B:AY,50,FALSE),"N/A")</f>
        <v>N/A</v>
      </c>
      <c r="EU17" s="100" t="str">
        <f>IFERROR(VLOOKUP($B17,'LOD 300 - COLO3'!$B:BB,53,FALSE),"N/A")</f>
        <v>N/A</v>
      </c>
      <c r="EV17" s="100" t="str">
        <f>IFERROR(VLOOKUP($B17,'LOD 300 - COLO3'!$B:BE,56,FALSE),"N/A")</f>
        <v>N/A</v>
      </c>
      <c r="EW17" s="100" t="str">
        <f>IFERROR(VLOOKUP($B17,'LOD 300 - COLO3'!$B:BL,59,FALSE),"N/A")</f>
        <v>N/A</v>
      </c>
      <c r="EX17" s="100" t="str">
        <f>IFERROR(VLOOKUP($B17,'LOD 300 - COLO3'!$B:BO,62,FALSE),"N/A")</f>
        <v>N/A</v>
      </c>
      <c r="EY17" s="103" t="str">
        <f>IFERROR(__xludf.DUMMYFUNCTION("IFERROR(
  MAX(FILTER(EI17:EX17, ISNUMBER(EI17:EX17))),
  EX17
)"),"N/A")</f>
        <v>N/A</v>
      </c>
      <c r="EZ17" s="104">
        <f>IFERROR(VLOOKUP($B17,'LOD 300 - COLO4'!$B:BT,17,FALSE),"N/A")</f>
        <v>0</v>
      </c>
      <c r="FA17" s="103">
        <f>IFERROR(__xludf.DUMMYFUNCTION("IFERROR(
  MAX(FILTER(EZ17, ISNUMBER(EZ17))),
  EZ17
)"),0.0)</f>
        <v>0</v>
      </c>
      <c r="FB17" s="121" t="str">
        <f>IFERROR(VLOOKUP($B17,'LOD 300 - SITE'!$B:S,18,FALSE),"N/A")</f>
        <v>N/A</v>
      </c>
      <c r="FC17" s="122" t="str">
        <f>IFERROR(VLOOKUP($B17,'LOD 300 - SITE'!$B:V,21,FALSE),"N/A")</f>
        <v>N/A</v>
      </c>
      <c r="FD17" s="122" t="str">
        <f>IFERROR(VLOOKUP($B17,'LOD 300 - SITE'!$B:Y,24,FALSE),"N/A")</f>
        <v>N/A</v>
      </c>
      <c r="FE17" s="122" t="str">
        <f>IFERROR(VLOOKUP($B17,'LOD 300 - SITE'!$B:AB,27,FALSE),"N/A")</f>
        <v>N/A</v>
      </c>
      <c r="FF17" s="122" t="str">
        <f>IFERROR(VLOOKUP($B17,'LOD 300 - SITE'!$B:AE,30,FALSE),"N/A")</f>
        <v>N/A</v>
      </c>
      <c r="FG17" s="122" t="str">
        <f>IFERROR(VLOOKUP($B17,'LOD 300 - SITE'!$B:AH,33,FALSE),"N/A")</f>
        <v>N/A</v>
      </c>
      <c r="FH17" s="122" t="str">
        <f>IFERROR(VLOOKUP($B17,'LOD 300 - SITE'!$B:AK,36,FALSE),"N/A")</f>
        <v>N/A</v>
      </c>
      <c r="FI17" s="122" t="str">
        <f>IFERROR(VLOOKUP($B17,'LOD 300 - SITE'!$B:AN,39,FALSE),"N/A")</f>
        <v>N/A</v>
      </c>
      <c r="FJ17" s="122" t="str">
        <f>IFERROR(VLOOKUP($B17,'LOD 300 - SITE'!$B:AQ,42,FALSE),"N/A")</f>
        <v>N/A</v>
      </c>
      <c r="FK17" s="122" t="str">
        <f>IFERROR(VLOOKUP($B17,'LOD 300 - SITE'!$B:AT,45,FALSE),"N/A")</f>
        <v>N/A</v>
      </c>
      <c r="FL17" s="123" t="str">
        <f>IFERROR(VLOOKUP($B17,'LOD 300 - SITE'!$B:AW,48,FALSE),"N/A")</f>
        <v>N/A</v>
      </c>
      <c r="FM17" s="87" t="str">
        <f>IFERROR(VLOOKUP($B17,'LOD 300 - SITE'!$B:AZ,51,FALSE),"N/A")</f>
        <v>N/A</v>
      </c>
      <c r="FN17" s="94" t="str">
        <f>IFERROR(VLOOKUP($B17,'LOD 300 - SITE'!$B:BC,54,FALSE),"N/A")</f>
        <v>N/A</v>
      </c>
      <c r="FO17" s="95" t="str">
        <f>IFERROR(VLOOKUP($B17,'LOD 300 - SITE'!$B:BF,57,FALSE),"N/A")</f>
        <v>N/A</v>
      </c>
      <c r="FP17" s="86" t="str">
        <f>IFERROR(VLOOKUP($B17,'LOD 300 - SITE'!$B:BI,60,FALSE),"N/A")</f>
        <v>N/A</v>
      </c>
      <c r="FQ17" s="86" t="str">
        <f>IFERROR(VLOOKUP($B17,'LOD 300 - SITE'!$B:BL,63,FALSE),"N/A")</f>
        <v>N/A</v>
      </c>
      <c r="FR17" s="86" t="str">
        <f>IFERROR(VLOOKUP($B17,'LOD 300 - SITE'!$B:BO,66,FALSE),"N/A")</f>
        <v>N/A</v>
      </c>
      <c r="FS17" s="86" t="str">
        <f>IFERROR(VLOOKUP($B17,'LOD 300 - SITE'!$B:BR,69,FALSE),"N/A")</f>
        <v>N/A</v>
      </c>
      <c r="FT17" s="86" t="str">
        <f>IFERROR(VLOOKUP($B17,'LOD 300 - SITE'!$B:BU,72,FALSE),"N/A")</f>
        <v>N/A</v>
      </c>
      <c r="FU17" s="86" t="str">
        <f>IFERROR(VLOOKUP($B17,'LOD 300 - SITE'!$B:BX,75,FALSE),"N/A")</f>
        <v>N/A</v>
      </c>
      <c r="FV17" s="86" t="str">
        <f>IFERROR(VLOOKUP($B17,'LOD 300 - SITE'!$B:CA,78,FALSE),"N/A")</f>
        <v>N/A</v>
      </c>
      <c r="FW17" s="87" t="str">
        <f>IFERROR(VLOOKUP($B17,'LOD 300 - SITE'!$B:CD,81,FALSE),"N/A")</f>
        <v>N/A</v>
      </c>
      <c r="FX17" s="108" t="str">
        <f>IFERROR(VLOOKUP($B17,'LOD 300 - SITE'!$B:CG,84,FALSE),"N/A")</f>
        <v>N/A</v>
      </c>
      <c r="FY17" s="108" t="str">
        <f>IFERROR(VLOOKUP($B17,'LOD 300 - SITE'!$B:CJ,87,FALSE),"N/A")</f>
        <v>N/A</v>
      </c>
      <c r="FZ17" s="108" t="str">
        <f>IFERROR(VLOOKUP($B17,'LOD 300 - SITE'!$B:CM,90,FALSE),"N/A")</f>
        <v>N/A</v>
      </c>
      <c r="GA17" s="108" t="str">
        <f>IFERROR(VLOOKUP($B17,'LOD 300 - SITE'!$B:CP,93,FALSE),"N/A")</f>
        <v>N/A</v>
      </c>
      <c r="GB17" s="108" t="str">
        <f>IFERROR(VLOOKUP($B17,'LOD 300 - SITE'!$B:CS,96,FALSE),"N/A")</f>
        <v>N/A</v>
      </c>
      <c r="GC17" s="109" t="str">
        <f>IFERROR(VLOOKUP($B17,'LOD 300 - SITE'!$B:CV,99,FALSE),"N/A")</f>
        <v>N/A</v>
      </c>
      <c r="GD17" s="87" t="str">
        <f>IFERROR(VLOOKUP($B17,'LOD 300 - SITE'!$B:CY,102,FALSE),"N/A")</f>
        <v>N/A</v>
      </c>
      <c r="GE17" s="87" t="str">
        <f>IFERROR(VLOOKUP($B17,'LOD 300 - SITE'!$B:DB,105,FALSE),"N/A")</f>
        <v>N/A</v>
      </c>
      <c r="GF17" s="87" t="str">
        <f>IFERROR(VLOOKUP($B17,'LOD 300 - SITE'!$B:DE,108,FALSE),"N/A")</f>
        <v>N/A</v>
      </c>
      <c r="GG17" s="87" t="str">
        <f>IFERROR(VLOOKUP($B17,'LOD 300 - SITE'!$B:DH,111,FALSE),"N/A")</f>
        <v>N/A</v>
      </c>
      <c r="GH17" s="87" t="str">
        <f>IFERROR(VLOOKUP($B17,'LOD 300 - SITE'!$B:DK,114,FALSE),"N/A")</f>
        <v>N/A</v>
      </c>
      <c r="GI17" s="87" t="str">
        <f>IFERROR(VLOOKUP($B17,'LOD 300 - SITE'!$B:DN,117,FALSE),"N/A")</f>
        <v>N/A</v>
      </c>
      <c r="GJ17" s="87" t="str">
        <f>IFERROR(VLOOKUP($B17,'LOD 300 - SITE'!$B:DQ,120,FALSE),"N/A")</f>
        <v>N/A</v>
      </c>
      <c r="GK17" s="87" t="str">
        <f>IFERROR(VLOOKUP($B17,'LOD 300 - SITE'!$B:DT,123,FALSE),"N/A")</f>
        <v>N/A</v>
      </c>
      <c r="GL17" s="87" t="str">
        <f>IFERROR(VLOOKUP($B17,'LOD 300 - SITE'!$B:DW,126,FALSE),"N/A")</f>
        <v>N/A</v>
      </c>
      <c r="GM17" s="110" t="str">
        <f>IFERROR(__xludf.DUMMYFUNCTION("IFERROR(
  MAX(FILTER(FB17:GL17, ISNUMBER(FB17:GL17))),
  GL17
)"),"N/A")</f>
        <v>N/A</v>
      </c>
      <c r="GN17" s="68"/>
      <c r="GO17" s="68"/>
      <c r="GP17" s="68"/>
    </row>
    <row r="18" ht="15.0" customHeight="1" outlineLevel="1">
      <c r="A18" s="60">
        <v>21.0</v>
      </c>
      <c r="B18" s="151" t="s">
        <v>125</v>
      </c>
      <c r="C18" s="152" t="s">
        <v>126</v>
      </c>
      <c r="D18" s="71" t="s">
        <v>127</v>
      </c>
      <c r="E18" s="146" t="s">
        <v>128</v>
      </c>
      <c r="F18" s="13">
        <v>1109.0</v>
      </c>
      <c r="G18" s="139" t="s">
        <v>128</v>
      </c>
      <c r="H18" s="139">
        <v>1109.0</v>
      </c>
      <c r="I18" s="74" t="str">
        <f>IFERROR(VLOOKUP(C15:C157,'R22 RELATÓRIO ACC'!B:F,5,FALSE),"NOT PUBLISHED")</f>
        <v>V9</v>
      </c>
      <c r="J18" s="74" t="str">
        <f>IFERROR(VLOOKUP(C15:C157,'R22 RELATÓRIO ACC'!B:P,15,FALSE),"NOT PUBLISHED")</f>
        <v>04/12/2025</v>
      </c>
      <c r="K18" s="141" t="str">
        <f>IFERROR(VLOOKUP(B15:B207,'RELATÓRIO ACC'!B:F,5,FALSE),"NOT PUBLISHED")</f>
        <v>V1</v>
      </c>
      <c r="L18" s="142" t="str">
        <f>IFERROR(VLOOKUP(B15:B207,'RELATÓRIO ACC'!B:P,15,FALSE),"NOT PUBLISHED")</f>
        <v>20/05/2026</v>
      </c>
      <c r="M18" s="76" t="str">
        <f>IF(OR($D18="UTLS",$D18="GUAR",$D18="STIR",$D18="PUMP",$D18="SITE"),
   VLOOKUP($B18,'LOD 300 - SITE'!B:M,12,FALSE),
   VLOOKUP($B18,'LOD 300 - ADMN'!B:M,12,FALSE)
)</f>
        <v>V9</v>
      </c>
      <c r="N18" s="80">
        <f>IF(OR($D18="UTLS",$D18="GUAR",$D18="STIR",$D18="PUMP",$D18="SITE"),
   VLOOKUP($B18,'LOD 300 - SITE'!B:N,13,FALSE),
   VLOOKUP($B18,'LOD 300 - ADMN'!B:N,13,FALSE)
)</f>
        <v>45995</v>
      </c>
      <c r="O18" s="78" t="str">
        <f>IF(OR($D18="UTLS",$D18="GUAR",$D18="STIR",$D18="PUMP",$D18="SITE"),
   VLOOKUP($B18,'LOD 300 - SITE'!B:O,14,FALSE),
   VLOOKUP($B18,'LOD 300 - ADMN'!B:O,14,FALSE)
)</f>
        <v>R22</v>
      </c>
      <c r="P18" s="79" t="str">
        <f>IF(OR($D18="C345",$D18="C12A",$D18="DATA"),
   VLOOKUP($B18,'LOD 300 - COLO3'!B:M,12,FALSE),"N/A")</f>
        <v>N/A</v>
      </c>
      <c r="Q18" s="76" t="str">
        <f>IF(OR($D18="C345",$D18="C12A",$D18="DATA"),
   VLOOKUP($B18,'LOD 300 - COLO3'!B:N,13,FALSE),"N/A")</f>
        <v>N/A</v>
      </c>
      <c r="R18" s="76" t="str">
        <f>IF(OR($D18="C345",$D18="C12A",$D18="DATA"),
   VLOOKUP($B18,'LOD 300 - COLO3'!B:O,14,FALSE),"N/A")</f>
        <v>N/A</v>
      </c>
      <c r="S18" s="79" t="str">
        <f>IF(OR($D18="C345",$D18="C12A",$D18="DATA"),
   VLOOKUP($B18,'LOD 300 - COLO4'!B:M,12,FALSE),"N/A")</f>
        <v>N/A</v>
      </c>
      <c r="T18" s="76" t="str">
        <f>IF(OR($D18="C345",$D18="C12A",$D18="DATA"),
   VLOOKUP($B18,'LOD 300 - COLO4'!B:T,13,FALSE),"N/A")</f>
        <v>N/A</v>
      </c>
      <c r="U18" s="76" t="str">
        <f>IF(OR($D18="C345",$D18="C12A",$D18="DATA"),
   VLOOKUP($B18,'LOD 300 - COLO4'!B:U,17,FALSE),"N/A")</f>
        <v>N/A</v>
      </c>
      <c r="V18" s="126" t="s">
        <v>129</v>
      </c>
      <c r="W18" s="144" t="str">
        <f>IFERROR(VLOOKUP($B18,'LOD 300 - ADMN'!$B:S,18,FALSE),"N/A")</f>
        <v>N/A</v>
      </c>
      <c r="X18" s="122" t="str">
        <f>IFERROR(VLOOKUP($B18,'LOD 300 - ADMN'!$B:V,21,FALSE),"N/A")</f>
        <v>N/A</v>
      </c>
      <c r="Y18" s="122" t="str">
        <f>IFERROR(VLOOKUP($B18,'LOD 300 - ADMN'!$B:Y,24,FALSE),"N/A")</f>
        <v>N/A</v>
      </c>
      <c r="Z18" s="122" t="str">
        <f>IFERROR(VLOOKUP($B18,'LOD 300 - ADMN'!$B:AB,27,FALSE),"N/A")</f>
        <v>N/A</v>
      </c>
      <c r="AA18" s="122" t="str">
        <f>IFERROR(VLOOKUP($B18,'LOD 300 - ADMN'!$B:AE,30,FALSE),"N/A")</f>
        <v>N/A</v>
      </c>
      <c r="AB18" s="145" t="str">
        <f>IFERROR(VLOOKUP($B18,'LOD 300 - ADMN'!$B:AH,33,FALSE),"N/A")</f>
        <v>N/A</v>
      </c>
      <c r="AC18" s="145" t="str">
        <f>IFERROR(VLOOKUP($B18,'LOD 300 - ADMN'!$B:AK,36,FALSE),"N/A")</f>
        <v>N/A</v>
      </c>
      <c r="AD18" s="122" t="str">
        <f>IFERROR(VLOOKUP($B18,'LOD 300 - ADMN'!$B:AN,39,FALSE),"N/A")</f>
        <v>N/A</v>
      </c>
      <c r="AE18" s="122" t="str">
        <f>IFERROR(VLOOKUP($B18,'LOD 300 - ADMN'!$B:AQ,42,FALSE),"N/A")</f>
        <v>N/A</v>
      </c>
      <c r="AF18" s="122" t="str">
        <f>IFERROR(VLOOKUP($B18,'LOD 300 - ADMN'!$B:AT,45,FALSE),"N/A")</f>
        <v>N/A</v>
      </c>
      <c r="AG18" s="122" t="str">
        <f>IFERROR(VLOOKUP($B18,'LOD 300 - ADMN'!$B:AW,48,FALSE),"N/A")</f>
        <v>N/A</v>
      </c>
      <c r="AH18" s="122" t="str">
        <f>IFERROR(VLOOKUP($B18,'LOD 300 - ADMN'!$B:AZ,51,FALSE),"N/A")</f>
        <v>N/A</v>
      </c>
      <c r="AI18" s="122" t="str">
        <f>IFERROR(VLOOKUP($B18,'LOD 300 - ADMN'!$B:BC,54,FALSE),"N/A")</f>
        <v>N/A</v>
      </c>
      <c r="AJ18" s="87" t="str">
        <f>IFERROR(VLOOKUP($B18,'LOD 300 - ADMN'!$B:BF,57,FALSE),"N/A")</f>
        <v>N/A</v>
      </c>
      <c r="AK18" s="87" t="str">
        <f>IFERROR(VLOOKUP($B18,'LOD 300 - ADMN'!$B:EP,60,FALSE),"N/A")</f>
        <v>N/A</v>
      </c>
      <c r="AL18" s="87" t="str">
        <f>IFERROR(VLOOKUP($B18,'LOD 300 - ADMN'!$B:EQ,63,FALSE),"N/A")</f>
        <v>N/A</v>
      </c>
      <c r="AM18" s="87" t="str">
        <f>IFERROR(VLOOKUP($B18,'LOD 300 - ADMN'!$B:BO,66,FALSE),"N/A")</f>
        <v>N/A</v>
      </c>
      <c r="AN18" s="87" t="str">
        <f>IFERROR(VLOOKUP($B18,'LOD 300 - ADMN'!$B:BR,69,FALSE),"N/A")</f>
        <v>N/A</v>
      </c>
      <c r="AO18" s="87" t="str">
        <f>IFERROR(VLOOKUP($B18,'LOD 300 - ADMN'!$B:BU,72,FALSE),"N/A")</f>
        <v>N/A</v>
      </c>
      <c r="AP18" s="87" t="str">
        <f>IFERROR(VLOOKUP($B18,'LOD 300 - ADMN'!$B:BX,75,FALSE),"N/A")</f>
        <v>N/A</v>
      </c>
      <c r="AQ18" s="87" t="str">
        <f>IFERROR(VLOOKUP($B18,'LOD 300 - ADMN'!$B:CA,78,FALSE),"N/A")</f>
        <v>N/A</v>
      </c>
      <c r="AR18" s="87" t="str">
        <f>IFERROR(VLOOKUP($B18,'LOD 300 - ADMN'!$B:CD,81,FALSE),"N/A")</f>
        <v>N/A</v>
      </c>
      <c r="AS18" s="87" t="str">
        <f>IFERROR(VLOOKUP($B18,'LOD 300 - ADMN'!$B:CG,84,FALSE),"N/A")</f>
        <v>N/A</v>
      </c>
      <c r="AT18" s="87" t="str">
        <f>IFERROR(VLOOKUP($B18,'LOD 300 - ADMN'!$B:CJ,87,FALSE),"N/A")</f>
        <v>N/A</v>
      </c>
      <c r="AU18" s="88" t="str">
        <f>IFERROR(VLOOKUP($B18,'LOD 300 - ADMN'!$B:CM,90,FALSE),"N/A")</f>
        <v>N/A</v>
      </c>
      <c r="AV18" s="88" t="str">
        <f>IFERROR(VLOOKUP($B18,'LOD 300 - ADMN'!$B:CP,93,FALSE),"N/A")</f>
        <v>N/A</v>
      </c>
      <c r="AW18" s="88" t="str">
        <f>IFERROR(VLOOKUP($B18,'LOD 300 - ADMN'!$B:CS,96,FALSE),"N/A")</f>
        <v>N/A</v>
      </c>
      <c r="AX18" s="88" t="str">
        <f>IFERROR(VLOOKUP($B18,'LOD 300 - ADMN'!$B:CV,99,FALSE),"N/A")</f>
        <v>N/A</v>
      </c>
      <c r="AY18" s="88" t="str">
        <f>IFERROR(VLOOKUP($B18,'LOD 300 - ADMN'!$B:CY,102,FALSE),"N/A")</f>
        <v>N/A</v>
      </c>
      <c r="AZ18" s="88" t="str">
        <f>IFERROR(VLOOKUP($B18,'LOD 300 - ADMN'!$B:DB,105,FALSE),"N/A")</f>
        <v>N/A</v>
      </c>
      <c r="BA18" s="87" t="str">
        <f>IFERROR(VLOOKUP($B18,'LOD 300 - ADMN'!$B:DE,108,FALSE),"N/A")</f>
        <v>N/A</v>
      </c>
      <c r="BB18" s="87" t="str">
        <f>IFERROR(VLOOKUP($B18,'LOD 300 - ADMN'!$B:DH,111,FALSE),"N/A")</f>
        <v>N/A</v>
      </c>
      <c r="BC18" s="87" t="str">
        <f>IFERROR(VLOOKUP($B18,'LOD 300 - ADMN'!$B:DK,114,FALSE),"N/A")</f>
        <v>N/A</v>
      </c>
      <c r="BD18" s="87" t="str">
        <f>IFERROR(VLOOKUP($B18,'LOD 300 - ADMN'!$B:DN,117,FALSE),"N/A")</f>
        <v>N/A</v>
      </c>
      <c r="BE18" s="87" t="str">
        <f>IFERROR(VLOOKUP($B18,'LOD 300 - ADMN'!$B:DQ,120,FALSE),"N/A")</f>
        <v>N/A</v>
      </c>
      <c r="BF18" s="87" t="str">
        <f>IFERROR(VLOOKUP($B18,'LOD 300 - ADMN'!$B:DT,123,FALSE),"N/A")</f>
        <v>N/A</v>
      </c>
      <c r="BG18" s="87" t="str">
        <f>IFERROR(VLOOKUP($B18,'LOD 300 - ADMN'!$B:DW,126,FALSE),"N/A")</f>
        <v>N/A</v>
      </c>
      <c r="BH18" s="87" t="str">
        <f>IFERROR(VLOOKUP($B18,'LOD 300 - ADMN'!$B:DZ,129,FALSE),"N/A")</f>
        <v>N/A</v>
      </c>
      <c r="BI18" s="87" t="str">
        <f>IFERROR(VLOOKUP($B18,'LOD 300 - ADMN'!$B:EC,132,FALSE),"N/A")</f>
        <v>N/A</v>
      </c>
      <c r="BJ18" s="90" t="str">
        <f>IFERROR(__xludf.DUMMYFUNCTION("IFERROR(
  MAX(FILTER(X18:BI18, ISNUMBER(X18:BI18))),
  BI18
)"),"N/A")</f>
        <v>N/A</v>
      </c>
      <c r="BK18" s="91" t="str">
        <f>IFERROR(VLOOKUP($B18,'LOD 300 - COLO1'!$B:S,18,FALSE),"N/A")</f>
        <v>N/A</v>
      </c>
      <c r="BL18" s="92" t="str">
        <f>IFERROR(VLOOKUP($B18,'LOD 300 - COLO1'!$B:V,21,FALSE),"N/A")</f>
        <v>N/A</v>
      </c>
      <c r="BM18" s="92" t="str">
        <f>IFERROR(VLOOKUP($B18,'LOD 300 - COLO1'!$B:Y,24,FALSE),"N/A")</f>
        <v>N/A</v>
      </c>
      <c r="BN18" s="92" t="str">
        <f>IFERROR(VLOOKUP($B18,'LOD 300 - COLO1'!$B:AB,27,FALSE),"N/A")</f>
        <v>N/A</v>
      </c>
      <c r="BO18" s="92" t="str">
        <f>IFERROR(VLOOKUP($B18,'LOD 300 - COLO1'!$B:AE,30,FALSE),"N/A")</f>
        <v>N/A</v>
      </c>
      <c r="BP18" s="92" t="str">
        <f>IFERROR(VLOOKUP($B18,'LOD 300 - COLO1'!$B:AH,33,FALSE),"N/A")</f>
        <v>N/A</v>
      </c>
      <c r="BQ18" s="92" t="str">
        <f>IFERROR(VLOOKUP($B18,'LOD 300 - COLO1'!$B:AK,36,FALSE),"N/A")</f>
        <v>N/A</v>
      </c>
      <c r="BR18" s="92" t="str">
        <f>IFERROR(VLOOKUP($B18,'LOD 300 - COLO1'!$B:AN,39,FALSE),"N/A")</f>
        <v>N/A</v>
      </c>
      <c r="BS18" s="92" t="str">
        <f>IFERROR(VLOOKUP($B18,'LOD 300 - COLO1'!$B:AQ,42,FALSE),"N/A")</f>
        <v>N/A</v>
      </c>
      <c r="BT18" s="92" t="str">
        <f>IFERROR(VLOOKUP($B18,'LOD 300 - COLO1'!$B:AT,45,FALSE),"N/A")</f>
        <v>N/A</v>
      </c>
      <c r="BU18" s="92" t="str">
        <f>IFERROR(VLOOKUP($B18,'LOD 300 - COLO1'!$B:AW,48,FALSE),"N/A")</f>
        <v>N/A</v>
      </c>
      <c r="BV18" s="92" t="str">
        <f>IFERROR(VLOOKUP($B18,'LOD 300 - COLO1'!$B:AZ,51,FALSE),"N/A")</f>
        <v>N/A</v>
      </c>
      <c r="BW18" s="92" t="str">
        <f>IFERROR(VLOOKUP($B18,'LOD 300 - COLO1'!$B:BC,54,FALSE),"N/A")</f>
        <v>N/A</v>
      </c>
      <c r="BX18" s="94" t="str">
        <f>IFERROR(VLOOKUP($B18,'LOD 300 - COLO1'!$B:BF,57,FALSE),"N/A")</f>
        <v>N/A</v>
      </c>
      <c r="BY18" s="94" t="str">
        <f>IFERROR(VLOOKUP($B18,'LOD 300 - COLO1'!$B:BI,60,FALSE),"N/A")</f>
        <v>N/A</v>
      </c>
      <c r="BZ18" s="95" t="str">
        <f>IFERROR(VLOOKUP($B18,'LOD 300 - COLO1'!$B:BL,63,FALSE),"N/A")</f>
        <v>N/A</v>
      </c>
      <c r="CA18" s="86" t="str">
        <f>IFERROR(VLOOKUP($B18,'LOD 300 - COLO1'!$B:BO,66,FALSE),"N/A")</f>
        <v>N/A</v>
      </c>
      <c r="CB18" s="86" t="str">
        <f>IFERROR(VLOOKUP($B18,'LOD 300 - COLO1'!$B:BR,69,FALSE),"N/A")</f>
        <v>N/A</v>
      </c>
      <c r="CC18" s="86" t="str">
        <f>IFERROR(VLOOKUP($B18,'LOD 300 - COLO1'!$B:BU,72,FALSE),"N/A")</f>
        <v>N/A</v>
      </c>
      <c r="CD18" s="86" t="str">
        <f>IFERROR(VLOOKUP($B18,'LOD 300 - COLO1'!$B:BX,75,FALSE),"N/A")</f>
        <v>N/A</v>
      </c>
      <c r="CE18" s="86" t="str">
        <f>IFERROR(VLOOKUP($B18,'LOD 300 - COLO1'!$B:CA,78,FALSE),"N/A")</f>
        <v>N/A</v>
      </c>
      <c r="CF18" s="87" t="str">
        <f>IFERROR(VLOOKUP($B18,'LOD 300 - COLO1'!$B:CD,81,FALSE),"N/A")</f>
        <v>N/A</v>
      </c>
      <c r="CG18" s="86" t="str">
        <f>IFERROR(VLOOKUP($B18,'LOD 300 - COLO1'!$B:CG,84,FALSE),"N/A")</f>
        <v>N/A</v>
      </c>
      <c r="CH18" s="87" t="str">
        <f>IFERROR(VLOOKUP($B18,'LOD 300 - COLO1'!$B:CJ,87,FALSE),"N/A")</f>
        <v>N/A</v>
      </c>
      <c r="CI18" s="88" t="str">
        <f>IFERROR(VLOOKUP($B18,'LOD 300 - COLO1'!$B:CM,90,FALSE),"N/A")</f>
        <v>N/A</v>
      </c>
      <c r="CJ18" s="88" t="str">
        <f>IFERROR(VLOOKUP($B18,'LOD 300 - COLO1'!$B:CP,93,FALSE),"N/A")</f>
        <v>N/A</v>
      </c>
      <c r="CK18" s="88" t="str">
        <f>IFERROR(VLOOKUP($B18,'LOD 300 - COLO1'!$B:CS,96,FALSE),"N/A")</f>
        <v>N/A</v>
      </c>
      <c r="CL18" s="88" t="str">
        <f>IFERROR(VLOOKUP($B18,'LOD 300 - COLO1'!$B:CV,99,FALSE),"N/A")</f>
        <v>N/A</v>
      </c>
      <c r="CM18" s="88" t="str">
        <f>IFERROR(VLOOKUP($B18,'LOD 300 - COLO1'!$B:CY,102,FALSE),"N/A")</f>
        <v>N/A</v>
      </c>
      <c r="CN18" s="89" t="str">
        <f>IFERROR(VLOOKUP($B18,'LOD 300 - COLO1'!$B:DB,105,FALSE),"N/A")</f>
        <v>N/A</v>
      </c>
      <c r="CO18" s="87" t="str">
        <f>IFERROR(VLOOKUP($B18,'LOD 300 - COLO1'!$B:EE,108,FALSE),"N/A")</f>
        <v>N/A</v>
      </c>
      <c r="CP18" s="87" t="str">
        <f>IFERROR(VLOOKUP($B18,'LOD 300 - COLO1'!$B:EH,111,FALSE),"N/A")</f>
        <v>N/A</v>
      </c>
      <c r="CQ18" s="87" t="str">
        <f>IFERROR(VLOOKUP($B18,'LOD 300 - COLO1'!$B:EK,114,FALSE),"N/A")</f>
        <v>N/A</v>
      </c>
      <c r="CR18" s="87" t="str">
        <f>IFERROR(VLOOKUP($B18,'LOD 300 - COLO1'!$B:EN,117,FALSE),"N/A")</f>
        <v>N/A</v>
      </c>
      <c r="CS18" s="87" t="str">
        <f>IFERROR(VLOOKUP($B18,'LOD 300 - COLO1'!$B:EQ,120,FALSE),"N/A")</f>
        <v>N/A</v>
      </c>
      <c r="CT18" s="87" t="str">
        <f>IFERROR(VLOOKUP($B18,'LOD 300 - COLO1'!$B:ET,123,FALSE),"N/A")</f>
        <v>N/A</v>
      </c>
      <c r="CU18" s="87" t="str">
        <f>IFERROR(VLOOKUP($B18,'LOD 300 - COLO1'!$B:EW,126,FALSE),"N/A")</f>
        <v>N/A</v>
      </c>
      <c r="CV18" s="87" t="str">
        <f>IFERROR(VLOOKUP($B18,'LOD 300 - COLO1'!$B:EZ,129,FALSE),"N/A")</f>
        <v>N/A</v>
      </c>
      <c r="CW18" s="87" t="str">
        <f>IFERROR(VLOOKUP($B18,'LOD 300 - COLO1'!$B:FC,132,FALSE),"N/A")</f>
        <v>N/A</v>
      </c>
      <c r="CX18" s="96" t="str">
        <f>IFERROR(__xludf.DUMMYFUNCTION("IFERROR(
  MAX(FILTER(BK18:CW18, ISNUMBER(BK18:CW18))),
  CW18
)"),"N/A")</f>
        <v>N/A</v>
      </c>
      <c r="CY18" s="104" t="str">
        <f>IFERROR(VLOOKUP($B18,'LOD 300 - COLO2'!$B:S,18,FALSE),"N/A")</f>
        <v>N/A</v>
      </c>
      <c r="CZ18" s="117" t="str">
        <f>IFERROR(VLOOKUP($B18,'LOD 300 - COLO2'!$B:V,21,FALSE),"N/A")</f>
        <v>N/A</v>
      </c>
      <c r="DA18" s="117" t="str">
        <f>IFERROR(VLOOKUP($B18,'LOD 300 - COLO2'!$B:Y,24,FALSE),"N/A")</f>
        <v>N/A</v>
      </c>
      <c r="DB18" s="117" t="str">
        <f>IFERROR(VLOOKUP($B18,'LOD 300 - COLO2'!$B:AB,27,FALSE),"N/A")</f>
        <v>N/A</v>
      </c>
      <c r="DC18" s="92" t="str">
        <f>IFERROR(VLOOKUP($B18,'LOD 300 - COLO2'!$B:AE,30,FALSE),"N/A")</f>
        <v>N/A</v>
      </c>
      <c r="DD18" s="120" t="str">
        <f>IFERROR(VLOOKUP($B18,'LOD 300 - COLO2'!$B:AH,33,FALSE),"N/A")</f>
        <v>N/A</v>
      </c>
      <c r="DE18" s="117" t="str">
        <f>IFERROR(VLOOKUP($B18,'LOD 300 - COLO2'!$B:AK,36,FALSE),"N/A")</f>
        <v>N/A</v>
      </c>
      <c r="DF18" s="117" t="str">
        <f>IFERROR(VLOOKUP($B18,'LOD 300 - COLO2'!$B:AN,39,FALSE),"N/A")</f>
        <v>N/A</v>
      </c>
      <c r="DG18" s="119" t="str">
        <f>IFERROR(VLOOKUP($B18,'LOD 300 - COLO2'!$B:AQ,42,FALSE),"N/A")</f>
        <v>N/A</v>
      </c>
      <c r="DH18" s="87" t="str">
        <f>IFERROR(VLOOKUP($B18,'LOD 300 - COLO2'!$B:AT,45,FALSE),"N/A")</f>
        <v>N/A</v>
      </c>
      <c r="DI18" s="94" t="str">
        <f>IFERROR(VLOOKUP($B18,'LOD 300 - COLO2'!$B:AW,48,FALSE),"N/A")</f>
        <v>N/A</v>
      </c>
      <c r="DJ18" s="95" t="str">
        <f>IFERROR(VLOOKUP($B18,'LOD 300 - COLO2'!$B:AZ,51,FALSE),"N/A")</f>
        <v>N/A</v>
      </c>
      <c r="DK18" s="86" t="str">
        <f>IFERROR(VLOOKUP($B18,'LOD 300 - COLO2'!$B:BC,54,FALSE),"N/A")</f>
        <v>N/A</v>
      </c>
      <c r="DL18" s="86" t="str">
        <f>IFERROR(VLOOKUP($B18,'LOD 300 - COLO2'!$B:BF,57,FALSE),"N/A")</f>
        <v>N/A</v>
      </c>
      <c r="DM18" s="86" t="str">
        <f>IFERROR(VLOOKUP($B18,'LOD 300 - COLO2'!$B:BI,60,FALSE),"N/A")</f>
        <v>N/A</v>
      </c>
      <c r="DN18" s="86" t="str">
        <f>IFERROR(VLOOKUP($B18,'LOD 300 - COLO2'!$B:BL,63,FALSE),"N/A")</f>
        <v>N/A</v>
      </c>
      <c r="DO18" s="86" t="str">
        <f>IFERROR(VLOOKUP($B18,'LOD 300 - COLO2'!$B:BO,66,FALSE),"N/A")</f>
        <v>N/A</v>
      </c>
      <c r="DP18" s="87" t="str">
        <f>IFERROR(VLOOKUP($B18,'LOD 300 - COLO2'!$B:BR,69,FALSE),"N/A")</f>
        <v>N/A</v>
      </c>
      <c r="DQ18" s="87" t="str">
        <f>IFERROR(VLOOKUP($B18,'LOD 300 - COLO2'!$B:BU,72,FALSE),"N/A")</f>
        <v>N/A</v>
      </c>
      <c r="DR18" s="87" t="str">
        <f>IFERROR(VLOOKUP($B18,'LOD 300 - COLO2'!$B:BX,75,FALSE),"N/A")</f>
        <v>N/A</v>
      </c>
      <c r="DS18" s="98" t="str">
        <f>IFERROR(VLOOKUP($B18,'LOD 300 - COLO2'!$B:CA,78,FALSE),"N/A")</f>
        <v>N/A</v>
      </c>
      <c r="DT18" s="98" t="str">
        <f>IFERROR(VLOOKUP($B18,'LOD 300 - COLO2'!$B:CD,81,FALSE),"N/A")</f>
        <v>N/A</v>
      </c>
      <c r="DU18" s="98" t="str">
        <f>IFERROR(VLOOKUP($B18,'LOD 300 - COLO2'!$B:CG,84,FALSE),"N/A")</f>
        <v>N/A</v>
      </c>
      <c r="DV18" s="98" t="str">
        <f>IFERROR(VLOOKUP($B18,'LOD 300 - COLO2'!$B:CJ,87,FALSE),"N/A")</f>
        <v>N/A</v>
      </c>
      <c r="DW18" s="98" t="str">
        <f>IFERROR(VLOOKUP($B18,'LOD 300 - COLO2'!$B:CM,90,FALSE),"N/A")</f>
        <v>N/A</v>
      </c>
      <c r="DX18" s="98" t="str">
        <f>IFERROR(VLOOKUP($B18,'LOD 300 - COLO2'!$B:CP,93,FALSE),"N/A")</f>
        <v>N/A</v>
      </c>
      <c r="DY18" s="87" t="str">
        <f>IFERROR(VLOOKUP($B18,'LOD 300 - COLO2'!$B:CS,96,FALSE),"N/A")</f>
        <v>N/A</v>
      </c>
      <c r="DZ18" s="87" t="str">
        <f>IFERROR(VLOOKUP($B18,'LOD 300 - COLO2'!$B:CV,99,FALSE),"N/A")</f>
        <v>N/A</v>
      </c>
      <c r="EA18" s="87" t="str">
        <f>IFERROR(VLOOKUP($B18,'LOD 300 - COLO2'!$B:DB,105,FALSE),"N/A")</f>
        <v>N/A</v>
      </c>
      <c r="EB18" s="87" t="str">
        <f>IFERROR(VLOOKUP($B18,'LOD 300 - COLO2'!$B:DB,105,FALSE),"N/A")</f>
        <v>N/A</v>
      </c>
      <c r="EC18" s="87" t="str">
        <f>IFERROR(VLOOKUP($B18,'LOD 300 - COLO2'!$B:DE,108,FALSE),"N/A")</f>
        <v>N/A</v>
      </c>
      <c r="ED18" s="87" t="str">
        <f>IFERROR(VLOOKUP($B18,'LOD 300 - COLO2'!$B:DH,111,FALSE),"N/A")</f>
        <v>N/A</v>
      </c>
      <c r="EE18" s="87" t="str">
        <f>IFERROR(VLOOKUP($B18,'LOD 300 - COLO2'!$B:DK,114,FALSE),"N/A")</f>
        <v>N/A</v>
      </c>
      <c r="EF18" s="87" t="str">
        <f>IFERROR(VLOOKUP($B18,'LOD 300 - COLO2'!$B:DN,117,FALSE),"N/A")</f>
        <v>N/A</v>
      </c>
      <c r="EG18" s="87" t="str">
        <f>IFERROR(VLOOKUP($B18,'LOD 300 - COLO2'!$B:DQ,120,FALSE),"N/A")</f>
        <v>N/A</v>
      </c>
      <c r="EH18" s="99" t="str">
        <f>IFERROR(__xludf.DUMMYFUNCTION("IFERROR(
  MAX(FILTER(CZ18:EG18, ISNUMBER(CZ18:EG18))),
  EG18
)"),"N/A")</f>
        <v>N/A</v>
      </c>
      <c r="EI18" s="100" t="str">
        <f>IFERROR(VLOOKUP($B18,'LOD 300 - COLO3'!$B:R,17,FALSE),"N/A")</f>
        <v>N/A</v>
      </c>
      <c r="EJ18" s="127" t="str">
        <f>IFERROR(VLOOKUP($B18,'LOD 300 - COLO3'!$B:U,20,FALSE),"N/A")</f>
        <v>N/A</v>
      </c>
      <c r="EK18" s="127" t="str">
        <f>IFERROR(VLOOKUP($B18,'LOD 300 - COLO3'!$B:X,23,FALSE),"N/A")</f>
        <v>N/A</v>
      </c>
      <c r="EL18" s="127" t="str">
        <f>IFERROR(VLOOKUP($B18,'LOD 300 - COLO3'!$B:AA,26,FALSE),"N/A")</f>
        <v>N/A</v>
      </c>
      <c r="EM18" s="127" t="str">
        <f>IFERROR(VLOOKUP($B18,'LOD 300 - COLO3'!$B:AD,29,FALSE),"N/A")</f>
        <v>N/A</v>
      </c>
      <c r="EN18" s="127" t="str">
        <f>IFERROR(VLOOKUP($B18,'LOD 300 - COLO3'!$B:AG,32,FALSE),"N/A")</f>
        <v>N/A</v>
      </c>
      <c r="EO18" s="127" t="str">
        <f>IFERROR(VLOOKUP($B18,'LOD 300 - COLO3'!$B:AJ,35,FALSE),"N/A")</f>
        <v>N/A</v>
      </c>
      <c r="EP18" s="100" t="str">
        <f>IFERROR(VLOOKUP($B18,'LOD 300 - COLO3'!$B:AM,38,FALSE),"N/A")</f>
        <v>N/A</v>
      </c>
      <c r="EQ18" s="100" t="str">
        <f>IFERROR(VLOOKUP($B18,'LOD 300 - COLO3'!$B:AP,41,FALSE),"N/A")</f>
        <v>N/A</v>
      </c>
      <c r="ER18" s="100" t="str">
        <f>IFERROR(VLOOKUP($B18,'LOD 300 - COLO3'!$B:AS,44,FALSE),"N/A")</f>
        <v>N/A</v>
      </c>
      <c r="ES18" s="100" t="str">
        <f>IFERROR(VLOOKUP($B18,'LOD 300 - COLO3'!$B:AV,47,FALSE),"N/A")</f>
        <v>N/A</v>
      </c>
      <c r="ET18" s="100" t="str">
        <f>IFERROR(VLOOKUP($B18,'LOD 300 - COLO3'!$B:AY,50,FALSE),"N/A")</f>
        <v>N/A</v>
      </c>
      <c r="EU18" s="100" t="str">
        <f>IFERROR(VLOOKUP($B18,'LOD 300 - COLO3'!$B:BB,53,FALSE),"N/A")</f>
        <v>N/A</v>
      </c>
      <c r="EV18" s="100" t="str">
        <f>IFERROR(VLOOKUP($B18,'LOD 300 - COLO3'!$B:BE,56,FALSE),"N/A")</f>
        <v>N/A</v>
      </c>
      <c r="EW18" s="100" t="str">
        <f>IFERROR(VLOOKUP($B18,'LOD 300 - COLO3'!$B:BL,59,FALSE),"N/A")</f>
        <v>N/A</v>
      </c>
      <c r="EX18" s="100" t="str">
        <f>IFERROR(VLOOKUP($B18,'LOD 300 - COLO3'!$B:BO,62,FALSE),"N/A")</f>
        <v>N/A</v>
      </c>
      <c r="EY18" s="103" t="str">
        <f>IFERROR(__xludf.DUMMYFUNCTION("IFERROR(
  MAX(FILTER(EI18:EX18, ISNUMBER(EI18:EX18))),
  EX18
)"),"N/A")</f>
        <v>N/A</v>
      </c>
      <c r="EZ18" s="104" t="str">
        <f>IFERROR(VLOOKUP($B18,'LOD 300 - COLO4'!$B:BT,17,FALSE),"N/A")</f>
        <v>N/A</v>
      </c>
      <c r="FA18" s="103" t="str">
        <f>IFERROR(__xludf.DUMMYFUNCTION("IFERROR(
  MAX(FILTER(EZ18, ISNUMBER(EZ18))),
  EZ18
)"),"N/A")</f>
        <v>N/A</v>
      </c>
      <c r="FB18" s="121">
        <f>IFERROR(VLOOKUP($B18,'LOD 300 - SITE'!$B:S,18,FALSE),"N/A")</f>
        <v>0.34</v>
      </c>
      <c r="FC18" s="122" t="str">
        <f>IFERROR(VLOOKUP($B18,'LOD 300 - SITE'!$B:V,21,FALSE),"N/A")</f>
        <v>OUTDATED MODEL</v>
      </c>
      <c r="FD18" s="122" t="str">
        <f>IFERROR(VLOOKUP($B18,'LOD 300 - SITE'!$B:Y,24,FALSE),"N/A")</f>
        <v>OUTDATED MODEL</v>
      </c>
      <c r="FE18" s="122" t="str">
        <f>IFERROR(VLOOKUP($B18,'LOD 300 - SITE'!$B:AB,27,FALSE),"N/A")</f>
        <v>OUTDATED MODEL</v>
      </c>
      <c r="FF18" s="122" t="str">
        <f>IFERROR(VLOOKUP($B18,'LOD 300 - SITE'!$B:AE,30,FALSE),"N/A")</f>
        <v>OUTDATED MODEL</v>
      </c>
      <c r="FG18" s="122" t="str">
        <f>IFERROR(VLOOKUP($B18,'LOD 300 - SITE'!$B:AH,33,FALSE),"N/A")</f>
        <v>OUTDATED MODEL</v>
      </c>
      <c r="FH18" s="122" t="str">
        <f>IFERROR(VLOOKUP($B18,'LOD 300 - SITE'!$B:AK,36,FALSE),"N/A")</f>
        <v>OUTDATED MODEL</v>
      </c>
      <c r="FI18" s="122" t="str">
        <f>IFERROR(VLOOKUP($B18,'LOD 300 - SITE'!$B:AN,39,FALSE),"N/A")</f>
        <v>OUTDATED MODEL</v>
      </c>
      <c r="FJ18" s="122" t="str">
        <f>IFERROR(VLOOKUP($B18,'LOD 300 - SITE'!$B:AQ,42,FALSE),"N/A")</f>
        <v>OUTDATED MODEL</v>
      </c>
      <c r="FK18" s="122" t="str">
        <f>IFERROR(VLOOKUP($B18,'LOD 300 - SITE'!$B:AT,45,FALSE),"N/A")</f>
        <v>OUTDATED MODEL</v>
      </c>
      <c r="FL18" s="123">
        <f>IFERROR(VLOOKUP($B18,'LOD 300 - SITE'!$B:AW,48,FALSE),"N/A")</f>
        <v>1</v>
      </c>
      <c r="FM18" s="87">
        <f>IFERROR(VLOOKUP($B18,'LOD 300 - SITE'!$B:AZ,51,FALSE),"N/A")</f>
        <v>1</v>
      </c>
      <c r="FN18" s="94">
        <f>IFERROR(VLOOKUP($B18,'LOD 300 - SITE'!$B:BC,54,FALSE),"N/A")</f>
        <v>1</v>
      </c>
      <c r="FO18" s="95">
        <f>IFERROR(VLOOKUP($B18,'LOD 300 - SITE'!$B:BF,57,FALSE),"N/A")</f>
        <v>1</v>
      </c>
      <c r="FP18" s="86">
        <f>IFERROR(VLOOKUP($B18,'LOD 300 - SITE'!$B:BI,60,FALSE),"N/A")</f>
        <v>1</v>
      </c>
      <c r="FQ18" s="86">
        <f>IFERROR(VLOOKUP($B18,'LOD 300 - SITE'!$B:BL,63,FALSE),"N/A")</f>
        <v>1</v>
      </c>
      <c r="FR18" s="86">
        <f>IFERROR(VLOOKUP($B18,'LOD 300 - SITE'!$B:BO,66,FALSE),"N/A")</f>
        <v>1</v>
      </c>
      <c r="FS18" s="86">
        <f>IFERROR(VLOOKUP($B18,'LOD 300 - SITE'!$B:BR,69,FALSE),"N/A")</f>
        <v>1</v>
      </c>
      <c r="FT18" s="86">
        <f>IFERROR(VLOOKUP($B18,'LOD 300 - SITE'!$B:BU,72,FALSE),"N/A")</f>
        <v>1</v>
      </c>
      <c r="FU18" s="86">
        <f>IFERROR(VLOOKUP($B18,'LOD 300 - SITE'!$B:BX,75,FALSE),"N/A")</f>
        <v>1</v>
      </c>
      <c r="FV18" s="86">
        <f>IFERROR(VLOOKUP($B18,'LOD 300 - SITE'!$B:CA,78,FALSE),"N/A")</f>
        <v>1</v>
      </c>
      <c r="FW18" s="87">
        <f>IFERROR(VLOOKUP($B18,'LOD 300 - SITE'!$B:CD,81,FALSE),"N/A")</f>
        <v>1</v>
      </c>
      <c r="FX18" s="108">
        <f>IFERROR(VLOOKUP($B18,'LOD 300 - SITE'!$B:CG,84,FALSE),"N/A")</f>
        <v>1</v>
      </c>
      <c r="FY18" s="108">
        <f>IFERROR(VLOOKUP($B18,'LOD 300 - SITE'!$B:CJ,87,FALSE),"N/A")</f>
        <v>1</v>
      </c>
      <c r="FZ18" s="108">
        <f>IFERROR(VLOOKUP($B18,'LOD 300 - SITE'!$B:CM,90,FALSE),"N/A")</f>
        <v>1</v>
      </c>
      <c r="GA18" s="108">
        <f>IFERROR(VLOOKUP($B18,'LOD 300 - SITE'!$B:CP,93,FALSE),"N/A")</f>
        <v>1</v>
      </c>
      <c r="GB18" s="108">
        <f>IFERROR(VLOOKUP($B18,'LOD 300 - SITE'!$B:CS,96,FALSE),"N/A")</f>
        <v>1</v>
      </c>
      <c r="GC18" s="109">
        <f>IFERROR(VLOOKUP($B18,'LOD 300 - SITE'!$B:CV,99,FALSE),"N/A")</f>
        <v>1</v>
      </c>
      <c r="GD18" s="87">
        <f>IFERROR(VLOOKUP($B18,'LOD 300 - SITE'!$B:CY,102,FALSE),"N/A")</f>
        <v>1</v>
      </c>
      <c r="GE18" s="87">
        <f>IFERROR(VLOOKUP($B18,'LOD 300 - SITE'!$B:DB,105,FALSE),"N/A")</f>
        <v>1</v>
      </c>
      <c r="GF18" s="87">
        <f>IFERROR(VLOOKUP($B18,'LOD 300 - SITE'!$B:DE,108,FALSE),"N/A")</f>
        <v>1</v>
      </c>
      <c r="GG18" s="87">
        <f>IFERROR(VLOOKUP($B18,'LOD 300 - SITE'!$B:DH,111,FALSE),"N/A")</f>
        <v>1</v>
      </c>
      <c r="GH18" s="87">
        <f>IFERROR(VLOOKUP($B18,'LOD 300 - SITE'!$B:DK,114,FALSE),"N/A")</f>
        <v>1</v>
      </c>
      <c r="GI18" s="87">
        <f>IFERROR(VLOOKUP($B18,'LOD 300 - SITE'!$B:DN,117,FALSE),"N/A")</f>
        <v>1</v>
      </c>
      <c r="GJ18" s="87">
        <f>IFERROR(VLOOKUP($B18,'LOD 300 - SITE'!$B:DQ,120,FALSE),"N/A")</f>
        <v>1</v>
      </c>
      <c r="GK18" s="87">
        <f>IFERROR(VLOOKUP($B18,'LOD 300 - SITE'!$B:DT,123,FALSE),"N/A")</f>
        <v>1</v>
      </c>
      <c r="GL18" s="87">
        <f>IFERROR(VLOOKUP($B18,'LOD 300 - SITE'!$B:DW,126,FALSE),"N/A")</f>
        <v>1</v>
      </c>
      <c r="GM18" s="110">
        <f>IFERROR(__xludf.DUMMYFUNCTION("IFERROR(
  MAX(FILTER(FB18:GL18, ISNUMBER(FB18:GL18))),
  GL18
)"),1.0)</f>
        <v>1</v>
      </c>
      <c r="GN18" s="68"/>
      <c r="GO18" s="68"/>
      <c r="GP18" s="68"/>
    </row>
    <row r="19" ht="15.0" customHeight="1" outlineLevel="1">
      <c r="A19" s="60">
        <v>22.0</v>
      </c>
      <c r="B19" s="140" t="s">
        <v>130</v>
      </c>
      <c r="C19" s="70" t="s">
        <v>131</v>
      </c>
      <c r="D19" s="71" t="s">
        <v>85</v>
      </c>
      <c r="E19" s="146" t="s">
        <v>132</v>
      </c>
      <c r="F19" s="13">
        <v>1110.0</v>
      </c>
      <c r="G19" s="139" t="s">
        <v>133</v>
      </c>
      <c r="H19" s="139">
        <v>1128.0</v>
      </c>
      <c r="I19" s="74" t="str">
        <f>IFERROR(VLOOKUP(C16:C158,'R22 RELATÓRIO ACC'!B:F,5,FALSE),"NOT PUBLISHED")</f>
        <v>V25</v>
      </c>
      <c r="J19" s="74" t="str">
        <f>IFERROR(VLOOKUP(C16:C158,'R22 RELATÓRIO ACC'!B:P,15,FALSE),"NOT PUBLISHED")</f>
        <v>06/05/2026</v>
      </c>
      <c r="K19" s="141" t="str">
        <f>IFERROR(VLOOKUP(B16:B208,'RELATÓRIO ACC'!B:F,5,FALSE),"NOT PUBLISHED")</f>
        <v>V3</v>
      </c>
      <c r="L19" s="142" t="str">
        <f>IFERROR(VLOOKUP(B16:B208,'RELATÓRIO ACC'!B:P,15,FALSE),"NOT PUBLISHED")</f>
        <v>07/07/2026</v>
      </c>
      <c r="M19" s="76" t="str">
        <f>IF(OR($D19="UTLS",$D19="GUAR",$D19="STIR",$D19="PUMP",$D19="SITE"),
   VLOOKUP($B19,'LOD 300 - SITE'!B:M,12,FALSE),
   VLOOKUP($B19,'LOD 300 - ADMN'!B:M,12,FALSE)
)</f>
        <v>V8</v>
      </c>
      <c r="N19" s="77">
        <f>IF(OR($D19="UTLS",$D19="GUAR",$D19="STIR",$D19="PUMP",$D19="SITE"),
   VLOOKUP($B19,'LOD 300 - SITE'!B:N,13,FALSE),
   VLOOKUP($B19,'LOD 300 - ADMN'!B:N,13,FALSE)
)</f>
        <v>45854</v>
      </c>
      <c r="O19" s="78" t="str">
        <f>IF(OR($D19="UTLS",$D19="GUAR",$D19="STIR",$D19="PUMP",$D19="SITE"),
   VLOOKUP($B19,'LOD 300 - SITE'!B:O,14,FALSE),
   VLOOKUP($B19,'LOD 300 - ADMN'!B:O,14,FALSE)
)</f>
        <v>R22</v>
      </c>
      <c r="P19" s="79" t="str">
        <f>IF(OR($D19="C345",$D19="C12A",$D19="DATA"),
   VLOOKUP($B19,'LOD 300 - COLO3'!B:M,12,FALSE),"N/A")</f>
        <v>V2</v>
      </c>
      <c r="Q19" s="80">
        <f>IF(OR($D19="C345",$D19="C12A",$D19="DATA"),
   VLOOKUP($B19,'LOD 300 - COLO3'!B:N,13,FALSE),"N/A")</f>
        <v>46162</v>
      </c>
      <c r="R19" s="76" t="str">
        <f>IF(OR($D19="C345",$D19="C12A",$D19="DATA"),
   VLOOKUP($B19,'LOD 300 - COLO3'!B:O,14,FALSE),"N/A")</f>
        <v>R24</v>
      </c>
      <c r="S19" s="79" t="str">
        <f>IF(OR($D19="C345",$D19="C12A",$D19="DATA"),
   VLOOKUP($B19,'LOD 300 - COLO4'!B:M,12,FALSE),"N/A")</f>
        <v>N/A</v>
      </c>
      <c r="T19" s="76" t="str">
        <f>IF(OR($D19="C345",$D19="C12A",$D19="DATA"),
   VLOOKUP($B19,'LOD 300 - COLO4'!B:T,13,FALSE),"N/A")</f>
        <v>N/A</v>
      </c>
      <c r="U19" s="81">
        <f>IF(OR($D19="C345",$D19="C12A",$D19="DATA"),
   VLOOKUP($B19,'LOD 300 - COLO4'!B:U,17,FALSE),"N/A")</f>
        <v>0</v>
      </c>
      <c r="V19" s="126" t="s">
        <v>102</v>
      </c>
      <c r="W19" s="144">
        <f>IFERROR(VLOOKUP($B19,'LOD 300 - ADMN'!$B:S,18,FALSE),"N/A")</f>
        <v>0.62</v>
      </c>
      <c r="X19" s="122">
        <f>IFERROR(VLOOKUP($B19,'LOD 300 - ADMN'!$B:V,21,FALSE),"N/A")</f>
        <v>0.91</v>
      </c>
      <c r="Y19" s="122">
        <f>IFERROR(VLOOKUP($B19,'LOD 300 - ADMN'!$B:Y,24,FALSE),"N/A")</f>
        <v>1</v>
      </c>
      <c r="Z19" s="122">
        <f>IFERROR(VLOOKUP($B19,'LOD 300 - ADMN'!$B:AB,27,FALSE),"N/A")</f>
        <v>1</v>
      </c>
      <c r="AA19" s="122">
        <f>IFERROR(VLOOKUP($B19,'LOD 300 - ADMN'!$B:AE,30,FALSE),"N/A")</f>
        <v>1</v>
      </c>
      <c r="AB19" s="145">
        <f>IFERROR(VLOOKUP($B19,'LOD 300 - ADMN'!$B:AH,33,FALSE),"N/A")</f>
        <v>1</v>
      </c>
      <c r="AC19" s="145">
        <f>IFERROR(VLOOKUP($B19,'LOD 300 - ADMN'!$B:AK,36,FALSE),"N/A")</f>
        <v>1</v>
      </c>
      <c r="AD19" s="122">
        <f>IFERROR(VLOOKUP($B19,'LOD 300 - ADMN'!$B:AN,39,FALSE),"N/A")</f>
        <v>1</v>
      </c>
      <c r="AE19" s="122">
        <f>IFERROR(VLOOKUP($B19,'LOD 300 - ADMN'!$B:AQ,42,FALSE),"N/A")</f>
        <v>1</v>
      </c>
      <c r="AF19" s="122">
        <f>IFERROR(VLOOKUP($B19,'LOD 300 - ADMN'!$B:AT,45,FALSE),"N/A")</f>
        <v>1</v>
      </c>
      <c r="AG19" s="122">
        <f>IFERROR(VLOOKUP($B19,'LOD 300 - ADMN'!$B:AW,48,FALSE),"N/A")</f>
        <v>1</v>
      </c>
      <c r="AH19" s="122">
        <f>IFERROR(VLOOKUP($B19,'LOD 300 - ADMN'!$B:AZ,51,FALSE),"N/A")</f>
        <v>1</v>
      </c>
      <c r="AI19" s="122">
        <f>IFERROR(VLOOKUP($B19,'LOD 300 - ADMN'!$B:BC,54,FALSE),"N/A")</f>
        <v>1</v>
      </c>
      <c r="AJ19" s="87">
        <f>IFERROR(VLOOKUP($B19,'LOD 300 - ADMN'!$B:BF,57,FALSE),"N/A")</f>
        <v>1</v>
      </c>
      <c r="AK19" s="87">
        <f>IFERROR(VLOOKUP($B19,'LOD 300 - ADMN'!$B:EP,60,FALSE),"N/A")</f>
        <v>1</v>
      </c>
      <c r="AL19" s="87">
        <f>IFERROR(VLOOKUP($B19,'LOD 300 - ADMN'!$B:EQ,63,FALSE),"N/A")</f>
        <v>1</v>
      </c>
      <c r="AM19" s="87">
        <f>IFERROR(VLOOKUP($B19,'LOD 300 - ADMN'!$B:BO,66,FALSE),"N/A")</f>
        <v>1</v>
      </c>
      <c r="AN19" s="87">
        <f>IFERROR(VLOOKUP($B19,'LOD 300 - ADMN'!$B:BR,69,FALSE),"N/A")</f>
        <v>1</v>
      </c>
      <c r="AO19" s="87">
        <f>IFERROR(VLOOKUP($B19,'LOD 300 - ADMN'!$B:BU,72,FALSE),"N/A")</f>
        <v>1</v>
      </c>
      <c r="AP19" s="87">
        <f>IFERROR(VLOOKUP($B19,'LOD 300 - ADMN'!$B:BX,75,FALSE),"N/A")</f>
        <v>1</v>
      </c>
      <c r="AQ19" s="87">
        <f>IFERROR(VLOOKUP($B19,'LOD 300 - ADMN'!$B:CA,78,FALSE),"N/A")</f>
        <v>1</v>
      </c>
      <c r="AR19" s="87">
        <f>IFERROR(VLOOKUP($B19,'LOD 300 - ADMN'!$B:CD,81,FALSE),"N/A")</f>
        <v>1</v>
      </c>
      <c r="AS19" s="87">
        <f>IFERROR(VLOOKUP($B19,'LOD 300 - ADMN'!$B:CG,84,FALSE),"N/A")</f>
        <v>1</v>
      </c>
      <c r="AT19" s="87">
        <f>IFERROR(VLOOKUP($B19,'LOD 300 - ADMN'!$B:CJ,87,FALSE),"N/A")</f>
        <v>1</v>
      </c>
      <c r="AU19" s="88">
        <f>IFERROR(VLOOKUP($B19,'LOD 300 - ADMN'!$B:CM,90,FALSE),"N/A")</f>
        <v>1</v>
      </c>
      <c r="AV19" s="88">
        <f>IFERROR(VLOOKUP($B19,'LOD 300 - ADMN'!$B:CP,93,FALSE),"N/A")</f>
        <v>1</v>
      </c>
      <c r="AW19" s="88">
        <f>IFERROR(VLOOKUP($B19,'LOD 300 - ADMN'!$B:CS,96,FALSE),"N/A")</f>
        <v>1</v>
      </c>
      <c r="AX19" s="88">
        <f>IFERROR(VLOOKUP($B19,'LOD 300 - ADMN'!$B:CV,99,FALSE),"N/A")</f>
        <v>1</v>
      </c>
      <c r="AY19" s="88">
        <f>IFERROR(VLOOKUP($B19,'LOD 300 - ADMN'!$B:CY,102,FALSE),"N/A")</f>
        <v>1</v>
      </c>
      <c r="AZ19" s="88">
        <f>IFERROR(VLOOKUP($B19,'LOD 300 - ADMN'!$B:DB,105,FALSE),"N/A")</f>
        <v>1</v>
      </c>
      <c r="BA19" s="87">
        <f>IFERROR(VLOOKUP($B19,'LOD 300 - ADMN'!$B:DE,108,FALSE),"N/A")</f>
        <v>1</v>
      </c>
      <c r="BB19" s="87">
        <f>IFERROR(VLOOKUP($B19,'LOD 300 - ADMN'!$B:DH,111,FALSE),"N/A")</f>
        <v>1</v>
      </c>
      <c r="BC19" s="87">
        <f>IFERROR(VLOOKUP($B19,'LOD 300 - ADMN'!$B:DK,114,FALSE),"N/A")</f>
        <v>1</v>
      </c>
      <c r="BD19" s="87">
        <f>IFERROR(VLOOKUP($B19,'LOD 300 - ADMN'!$B:DN,117,FALSE),"N/A")</f>
        <v>1</v>
      </c>
      <c r="BE19" s="87">
        <f>IFERROR(VLOOKUP($B19,'LOD 300 - ADMN'!$B:DQ,120,FALSE),"N/A")</f>
        <v>1</v>
      </c>
      <c r="BF19" s="87">
        <f>IFERROR(VLOOKUP($B19,'LOD 300 - ADMN'!$B:DT,123,FALSE),"N/A")</f>
        <v>1</v>
      </c>
      <c r="BG19" s="87">
        <f>IFERROR(VLOOKUP($B19,'LOD 300 - ADMN'!$B:DW,126,FALSE),"N/A")</f>
        <v>1</v>
      </c>
      <c r="BH19" s="87">
        <f>IFERROR(VLOOKUP($B19,'LOD 300 - ADMN'!$B:DZ,129,FALSE),"N/A")</f>
        <v>1</v>
      </c>
      <c r="BI19" s="87">
        <f>IFERROR(VLOOKUP($B19,'LOD 300 - ADMN'!$B:EC,132,FALSE),"N/A")</f>
        <v>1</v>
      </c>
      <c r="BJ19" s="90">
        <f>IFERROR(__xludf.DUMMYFUNCTION("IFERROR(
  MAX(FILTER(X19:BI19, ISNUMBER(X19:BI19))),
  BI19
)"),1.0)</f>
        <v>1</v>
      </c>
      <c r="BK19" s="91">
        <f>IFERROR(VLOOKUP($B19,'LOD 300 - COLO1'!$B:S,18,FALSE),"N/A")</f>
        <v>0.62</v>
      </c>
      <c r="BL19" s="92">
        <f>IFERROR(VLOOKUP($B19,'LOD 300 - COLO1'!$B:V,21,FALSE),"N/A")</f>
        <v>0.91</v>
      </c>
      <c r="BM19" s="92">
        <f>IFERROR(VLOOKUP($B19,'LOD 300 - COLO1'!$B:Y,24,FALSE),"N/A")</f>
        <v>1</v>
      </c>
      <c r="BN19" s="92">
        <f>IFERROR(VLOOKUP($B19,'LOD 300 - COLO1'!$B:AB,27,FALSE),"N/A")</f>
        <v>1</v>
      </c>
      <c r="BO19" s="92">
        <f>IFERROR(VLOOKUP($B19,'LOD 300 - COLO1'!$B:AE,30,FALSE),"N/A")</f>
        <v>1</v>
      </c>
      <c r="BP19" s="92">
        <f>IFERROR(VLOOKUP($B19,'LOD 300 - COLO1'!$B:AH,33,FALSE),"N/A")</f>
        <v>1</v>
      </c>
      <c r="BQ19" s="92">
        <f>IFERROR(VLOOKUP($B19,'LOD 300 - COLO1'!$B:AK,36,FALSE),"N/A")</f>
        <v>1</v>
      </c>
      <c r="BR19" s="92">
        <f>IFERROR(VLOOKUP($B19,'LOD 300 - COLO1'!$B:AN,39,FALSE),"N/A")</f>
        <v>1</v>
      </c>
      <c r="BS19" s="92">
        <f>IFERROR(VLOOKUP($B19,'LOD 300 - COLO1'!$B:AQ,42,FALSE),"N/A")</f>
        <v>1</v>
      </c>
      <c r="BT19" s="92">
        <f>IFERROR(VLOOKUP($B19,'LOD 300 - COLO1'!$B:AT,45,FALSE),"N/A")</f>
        <v>1</v>
      </c>
      <c r="BU19" s="92">
        <f>IFERROR(VLOOKUP($B19,'LOD 300 - COLO1'!$B:AW,48,FALSE),"N/A")</f>
        <v>1</v>
      </c>
      <c r="BV19" s="92">
        <f>IFERROR(VLOOKUP($B19,'LOD 300 - COLO1'!$B:AZ,51,FALSE),"N/A")</f>
        <v>1</v>
      </c>
      <c r="BW19" s="92">
        <f>IFERROR(VLOOKUP($B19,'LOD 300 - COLO1'!$B:BC,54,FALSE),"N/A")</f>
        <v>1</v>
      </c>
      <c r="BX19" s="94">
        <f>IFERROR(VLOOKUP($B19,'LOD 300 - COLO1'!$B:BF,57,FALSE),"N/A")</f>
        <v>1</v>
      </c>
      <c r="BY19" s="94">
        <f>IFERROR(VLOOKUP($B19,'LOD 300 - COLO1'!$B:BI,60,FALSE),"N/A")</f>
        <v>1</v>
      </c>
      <c r="BZ19" s="95">
        <f>IFERROR(VLOOKUP($B19,'LOD 300 - COLO1'!$B:BL,63,FALSE),"N/A")</f>
        <v>1</v>
      </c>
      <c r="CA19" s="86">
        <f>IFERROR(VLOOKUP($B19,'LOD 300 - COLO1'!$B:BO,66,FALSE),"N/A")</f>
        <v>1</v>
      </c>
      <c r="CB19" s="86">
        <f>IFERROR(VLOOKUP($B19,'LOD 300 - COLO1'!$B:BR,69,FALSE),"N/A")</f>
        <v>1</v>
      </c>
      <c r="CC19" s="86">
        <f>IFERROR(VLOOKUP($B19,'LOD 300 - COLO1'!$B:BU,72,FALSE),"N/A")</f>
        <v>1</v>
      </c>
      <c r="CD19" s="86">
        <f>IFERROR(VLOOKUP($B19,'LOD 300 - COLO1'!$B:BX,75,FALSE),"N/A")</f>
        <v>1</v>
      </c>
      <c r="CE19" s="86">
        <f>IFERROR(VLOOKUP($B19,'LOD 300 - COLO1'!$B:CA,78,FALSE),"N/A")</f>
        <v>1</v>
      </c>
      <c r="CF19" s="87">
        <f>IFERROR(VLOOKUP($B19,'LOD 300 - COLO1'!$B:CD,81,FALSE),"N/A")</f>
        <v>1</v>
      </c>
      <c r="CG19" s="86">
        <f>IFERROR(VLOOKUP($B19,'LOD 300 - COLO1'!$B:CG,84,FALSE),"N/A")</f>
        <v>1</v>
      </c>
      <c r="CH19" s="87">
        <f>IFERROR(VLOOKUP($B19,'LOD 300 - COLO1'!$B:CJ,87,FALSE),"N/A")</f>
        <v>1</v>
      </c>
      <c r="CI19" s="88">
        <f>IFERROR(VLOOKUP($B19,'LOD 300 - COLO1'!$B:CM,90,FALSE),"N/A")</f>
        <v>1</v>
      </c>
      <c r="CJ19" s="88">
        <f>IFERROR(VLOOKUP($B19,'LOD 300 - COLO1'!$B:CP,93,FALSE),"N/A")</f>
        <v>1</v>
      </c>
      <c r="CK19" s="88">
        <f>IFERROR(VLOOKUP($B19,'LOD 300 - COLO1'!$B:CS,96,FALSE),"N/A")</f>
        <v>1</v>
      </c>
      <c r="CL19" s="88">
        <f>IFERROR(VLOOKUP($B19,'LOD 300 - COLO1'!$B:CV,99,FALSE),"N/A")</f>
        <v>1</v>
      </c>
      <c r="CM19" s="88">
        <f>IFERROR(VLOOKUP($B19,'LOD 300 - COLO1'!$B:CY,102,FALSE),"N/A")</f>
        <v>1</v>
      </c>
      <c r="CN19" s="89">
        <f>IFERROR(VLOOKUP($B19,'LOD 300 - COLO1'!$B:DB,105,FALSE),"N/A")</f>
        <v>1</v>
      </c>
      <c r="CO19" s="87">
        <f>IFERROR(VLOOKUP($B19,'LOD 300 - COLO1'!$B:EE,108,FALSE),"N/A")</f>
        <v>1</v>
      </c>
      <c r="CP19" s="87">
        <f>IFERROR(VLOOKUP($B19,'LOD 300 - COLO1'!$B:EH,111,FALSE),"N/A")</f>
        <v>1</v>
      </c>
      <c r="CQ19" s="87">
        <f>IFERROR(VLOOKUP($B19,'LOD 300 - COLO1'!$B:EK,114,FALSE),"N/A")</f>
        <v>1</v>
      </c>
      <c r="CR19" s="87">
        <f>IFERROR(VLOOKUP($B19,'LOD 300 - COLO1'!$B:EN,117,FALSE),"N/A")</f>
        <v>1</v>
      </c>
      <c r="CS19" s="87">
        <f>IFERROR(VLOOKUP($B19,'LOD 300 - COLO1'!$B:EQ,120,FALSE),"N/A")</f>
        <v>1</v>
      </c>
      <c r="CT19" s="87">
        <f>IFERROR(VLOOKUP($B19,'LOD 300 - COLO1'!$B:ET,123,FALSE),"N/A")</f>
        <v>1</v>
      </c>
      <c r="CU19" s="87">
        <f>IFERROR(VLOOKUP($B19,'LOD 300 - COLO1'!$B:EW,126,FALSE),"N/A")</f>
        <v>1</v>
      </c>
      <c r="CV19" s="87">
        <f>IFERROR(VLOOKUP($B19,'LOD 300 - COLO1'!$B:EZ,129,FALSE),"N/A")</f>
        <v>1</v>
      </c>
      <c r="CW19" s="87">
        <f>IFERROR(VLOOKUP($B19,'LOD 300 - COLO1'!$B:FC,132,FALSE),"N/A")</f>
        <v>1</v>
      </c>
      <c r="CX19" s="96">
        <f>IFERROR(__xludf.DUMMYFUNCTION("IFERROR(
  MAX(FILTER(BK19:CW19, ISNUMBER(BK19:CW19))),
  CW19
)"),1.0)</f>
        <v>1</v>
      </c>
      <c r="CY19" s="104">
        <f>IFERROR(VLOOKUP($B19,'LOD 300 - COLO2'!$B:S,18,FALSE),"N/A")</f>
        <v>0.55</v>
      </c>
      <c r="CZ19" s="117" t="str">
        <f>IFERROR(VLOOKUP($B19,'LOD 300 - COLO2'!$B:V,21,FALSE),"N/A")</f>
        <v>OUTDATED MODEL</v>
      </c>
      <c r="DA19" s="117" t="str">
        <f>IFERROR(VLOOKUP($B19,'LOD 300 - COLO2'!$B:Y,24,FALSE),"N/A")</f>
        <v>OUTDATED MODEL</v>
      </c>
      <c r="DB19" s="117">
        <f>IFERROR(VLOOKUP($B19,'LOD 300 - COLO2'!$B:AB,27,FALSE),"N/A")</f>
        <v>1</v>
      </c>
      <c r="DC19" s="92">
        <f>IFERROR(VLOOKUP($B19,'LOD 300 - COLO2'!$B:AE,30,FALSE),"N/A")</f>
        <v>1</v>
      </c>
      <c r="DD19" s="120">
        <f>IFERROR(VLOOKUP($B19,'LOD 300 - COLO2'!$B:AH,33,FALSE),"N/A")</f>
        <v>1</v>
      </c>
      <c r="DE19" s="117">
        <f>IFERROR(VLOOKUP($B19,'LOD 300 - COLO2'!$B:AK,36,FALSE),"N/A")</f>
        <v>1</v>
      </c>
      <c r="DF19" s="117">
        <f>IFERROR(VLOOKUP($B19,'LOD 300 - COLO2'!$B:AN,39,FALSE),"N/A")</f>
        <v>1</v>
      </c>
      <c r="DG19" s="119">
        <f>IFERROR(VLOOKUP($B19,'LOD 300 - COLO2'!$B:AQ,42,FALSE),"N/A")</f>
        <v>1</v>
      </c>
      <c r="DH19" s="87">
        <f>IFERROR(VLOOKUP($B19,'LOD 300 - COLO2'!$B:AT,45,FALSE),"N/A")</f>
        <v>1</v>
      </c>
      <c r="DI19" s="94">
        <f>IFERROR(VLOOKUP($B19,'LOD 300 - COLO2'!$B:AW,48,FALSE),"N/A")</f>
        <v>1</v>
      </c>
      <c r="DJ19" s="95">
        <f>IFERROR(VLOOKUP($B19,'LOD 300 - COLO2'!$B:AZ,51,FALSE),"N/A")</f>
        <v>1</v>
      </c>
      <c r="DK19" s="86">
        <f>IFERROR(VLOOKUP($B19,'LOD 300 - COLO2'!$B:BC,54,FALSE),"N/A")</f>
        <v>1</v>
      </c>
      <c r="DL19" s="86">
        <f>IFERROR(VLOOKUP($B19,'LOD 300 - COLO2'!$B:BF,57,FALSE),"N/A")</f>
        <v>1</v>
      </c>
      <c r="DM19" s="86">
        <f>IFERROR(VLOOKUP($B19,'LOD 300 - COLO2'!$B:BI,60,FALSE),"N/A")</f>
        <v>1</v>
      </c>
      <c r="DN19" s="86">
        <f>IFERROR(VLOOKUP($B19,'LOD 300 - COLO2'!$B:BL,63,FALSE),"N/A")</f>
        <v>1</v>
      </c>
      <c r="DO19" s="86">
        <f>IFERROR(VLOOKUP($B19,'LOD 300 - COLO2'!$B:BO,66,FALSE),"N/A")</f>
        <v>1</v>
      </c>
      <c r="DP19" s="87">
        <f>IFERROR(VLOOKUP($B19,'LOD 300 - COLO2'!$B:BR,69,FALSE),"N/A")</f>
        <v>1</v>
      </c>
      <c r="DQ19" s="87">
        <f>IFERROR(VLOOKUP($B19,'LOD 300 - COLO2'!$B:BU,72,FALSE),"N/A")</f>
        <v>1</v>
      </c>
      <c r="DR19" s="87">
        <f>IFERROR(VLOOKUP($B19,'LOD 300 - COLO2'!$B:BX,75,FALSE),"N/A")</f>
        <v>1</v>
      </c>
      <c r="DS19" s="98">
        <f>IFERROR(VLOOKUP($B19,'LOD 300 - COLO2'!$B:CA,78,FALSE),"N/A")</f>
        <v>1</v>
      </c>
      <c r="DT19" s="98">
        <f>IFERROR(VLOOKUP($B19,'LOD 300 - COLO2'!$B:CD,81,FALSE),"N/A")</f>
        <v>1</v>
      </c>
      <c r="DU19" s="98">
        <f>IFERROR(VLOOKUP($B19,'LOD 300 - COLO2'!$B:CG,84,FALSE),"N/A")</f>
        <v>1</v>
      </c>
      <c r="DV19" s="98">
        <f>IFERROR(VLOOKUP($B19,'LOD 300 - COLO2'!$B:CJ,87,FALSE),"N/A")</f>
        <v>1</v>
      </c>
      <c r="DW19" s="98">
        <f>IFERROR(VLOOKUP($B19,'LOD 300 - COLO2'!$B:CM,90,FALSE),"N/A")</f>
        <v>1</v>
      </c>
      <c r="DX19" s="98">
        <f>IFERROR(VLOOKUP($B19,'LOD 300 - COLO2'!$B:CP,93,FALSE),"N/A")</f>
        <v>1</v>
      </c>
      <c r="DY19" s="87">
        <f>IFERROR(VLOOKUP($B19,'LOD 300 - COLO2'!$B:CS,96,FALSE),"N/A")</f>
        <v>1</v>
      </c>
      <c r="DZ19" s="87">
        <f>IFERROR(VLOOKUP($B19,'LOD 300 - COLO2'!$B:CV,99,FALSE),"N/A")</f>
        <v>1</v>
      </c>
      <c r="EA19" s="87">
        <f>IFERROR(VLOOKUP($B19,'LOD 300 - COLO2'!$B:DB,105,FALSE),"N/A")</f>
        <v>1</v>
      </c>
      <c r="EB19" s="87">
        <f>IFERROR(VLOOKUP($B19,'LOD 300 - COLO2'!$B:DB,105,FALSE),"N/A")</f>
        <v>1</v>
      </c>
      <c r="EC19" s="87">
        <f>IFERROR(VLOOKUP($B19,'LOD 300 - COLO2'!$B:DE,108,FALSE),"N/A")</f>
        <v>1</v>
      </c>
      <c r="ED19" s="87">
        <f>IFERROR(VLOOKUP($B19,'LOD 300 - COLO2'!$B:DH,111,FALSE),"N/A")</f>
        <v>1</v>
      </c>
      <c r="EE19" s="87">
        <f>IFERROR(VLOOKUP($B19,'LOD 300 - COLO2'!$B:DK,114,FALSE),"N/A")</f>
        <v>1</v>
      </c>
      <c r="EF19" s="87">
        <f>IFERROR(VLOOKUP($B19,'LOD 300 - COLO2'!$B:DN,117,FALSE),"N/A")</f>
        <v>1</v>
      </c>
      <c r="EG19" s="87">
        <f>IFERROR(VLOOKUP($B19,'LOD 300 - COLO2'!$B:DQ,120,FALSE),"N/A")</f>
        <v>1</v>
      </c>
      <c r="EH19" s="99">
        <f>IFERROR(__xludf.DUMMYFUNCTION("IFERROR(
  MAX(FILTER(CZ19:EG19, ISNUMBER(CZ19:EG19))),
  EG19
)"),1.0)</f>
        <v>1</v>
      </c>
      <c r="EI19" s="100">
        <f>IFERROR(VLOOKUP($B19,'LOD 300 - COLO3'!$B:R,17,FALSE),"N/A")</f>
        <v>0</v>
      </c>
      <c r="EJ19" s="127">
        <f>IFERROR(VLOOKUP($B19,'LOD 300 - COLO3'!$B:U,20,FALSE),"N/A")</f>
        <v>0.27</v>
      </c>
      <c r="EK19" s="127" t="str">
        <f>IFERROR(VLOOKUP($B19,'LOD 300 - COLO3'!$B:X,23,FALSE),"N/A")</f>
        <v>NEXT ROUND</v>
      </c>
      <c r="EL19" s="127">
        <f>IFERROR(VLOOKUP($B19,'LOD 300 - COLO3'!$B:AA,26,FALSE),"N/A")</f>
        <v>0.55</v>
      </c>
      <c r="EM19" s="127" t="str">
        <f>IFERROR(VLOOKUP($B19,'LOD 300 - COLO3'!$B:AD,29,FALSE),"N/A")</f>
        <v>OUTDATED MODEL</v>
      </c>
      <c r="EN19" s="127" t="str">
        <f>IFERROR(VLOOKUP($B19,'LOD 300 - COLO3'!$B:AG,32,FALSE),"N/A")</f>
        <v>NEXT ROUND</v>
      </c>
      <c r="EO19" s="127" t="str">
        <f>IFERROR(VLOOKUP($B19,'LOD 300 - COLO3'!$B:AJ,35,FALSE),"N/A")</f>
        <v>NEXT ROUND</v>
      </c>
      <c r="EP19" s="100" t="str">
        <f>IFERROR(VLOOKUP($B19,'LOD 300 - COLO3'!$B:AM,38,FALSE),"N/A")</f>
        <v>NEXT ROUND</v>
      </c>
      <c r="EQ19" s="100">
        <f>IFERROR(VLOOKUP($B19,'LOD 300 - COLO3'!$B:AP,41,FALSE),"N/A")</f>
        <v>1</v>
      </c>
      <c r="ER19" s="100">
        <f>IFERROR(VLOOKUP($B19,'LOD 300 - COLO3'!$B:AS,44,FALSE),"N/A")</f>
        <v>1</v>
      </c>
      <c r="ES19" s="100">
        <f>IFERROR(VLOOKUP($B19,'LOD 300 - COLO3'!$B:AV,47,FALSE),"N/A")</f>
        <v>1</v>
      </c>
      <c r="ET19" s="100">
        <f>IFERROR(VLOOKUP($B19,'LOD 300 - COLO3'!$B:AY,50,FALSE),"N/A")</f>
        <v>1</v>
      </c>
      <c r="EU19" s="100">
        <f>IFERROR(VLOOKUP($B19,'LOD 300 - COLO3'!$B:BB,53,FALSE),"N/A")</f>
        <v>1</v>
      </c>
      <c r="EV19" s="100">
        <f>IFERROR(VLOOKUP($B19,'LOD 300 - COLO3'!$B:BE,56,FALSE),"N/A")</f>
        <v>1</v>
      </c>
      <c r="EW19" s="100">
        <f>IFERROR(VLOOKUP($B19,'LOD 300 - COLO3'!$B:BL,59,FALSE),"N/A")</f>
        <v>1</v>
      </c>
      <c r="EX19" s="100">
        <f>IFERROR(VLOOKUP($B19,'LOD 300 - COLO3'!$B:BO,62,FALSE),"N/A")</f>
        <v>1</v>
      </c>
      <c r="EY19" s="103">
        <f>IFERROR(__xludf.DUMMYFUNCTION("IFERROR(
  MAX(FILTER(EI19:EX19, ISNUMBER(EI19:EX19))),
  EX19
)"),1.0)</f>
        <v>1</v>
      </c>
      <c r="EZ19" s="104">
        <f>IFERROR(VLOOKUP($B19,'LOD 300 - COLO4'!$B:BT,17,FALSE),"N/A")</f>
        <v>0</v>
      </c>
      <c r="FA19" s="103">
        <f>IFERROR(__xludf.DUMMYFUNCTION("IFERROR(
  MAX(FILTER(EZ19, ISNUMBER(EZ19))),
  EZ19
)"),0.0)</f>
        <v>0</v>
      </c>
      <c r="FB19" s="121" t="str">
        <f>IFERROR(VLOOKUP($B19,'LOD 300 - SITE'!$B:S,18,FALSE),"N/A")</f>
        <v>N/A</v>
      </c>
      <c r="FC19" s="122" t="str">
        <f>IFERROR(VLOOKUP($B19,'LOD 300 - SITE'!$B:V,21,FALSE),"N/A")</f>
        <v>N/A</v>
      </c>
      <c r="FD19" s="122" t="str">
        <f>IFERROR(VLOOKUP($B19,'LOD 300 - SITE'!$B:Y,24,FALSE),"N/A")</f>
        <v>N/A</v>
      </c>
      <c r="FE19" s="122" t="str">
        <f>IFERROR(VLOOKUP($B19,'LOD 300 - SITE'!$B:AB,27,FALSE),"N/A")</f>
        <v>N/A</v>
      </c>
      <c r="FF19" s="122" t="str">
        <f>IFERROR(VLOOKUP($B19,'LOD 300 - SITE'!$B:AE,30,FALSE),"N/A")</f>
        <v>N/A</v>
      </c>
      <c r="FG19" s="122" t="str">
        <f>IFERROR(VLOOKUP($B19,'LOD 300 - SITE'!$B:AH,33,FALSE),"N/A")</f>
        <v>N/A</v>
      </c>
      <c r="FH19" s="122" t="str">
        <f>IFERROR(VLOOKUP($B19,'LOD 300 - SITE'!$B:AK,36,FALSE),"N/A")</f>
        <v>N/A</v>
      </c>
      <c r="FI19" s="122" t="str">
        <f>IFERROR(VLOOKUP($B19,'LOD 300 - SITE'!$B:AN,39,FALSE),"N/A")</f>
        <v>N/A</v>
      </c>
      <c r="FJ19" s="122" t="str">
        <f>IFERROR(VLOOKUP($B19,'LOD 300 - SITE'!$B:AQ,42,FALSE),"N/A")</f>
        <v>N/A</v>
      </c>
      <c r="FK19" s="122" t="str">
        <f>IFERROR(VLOOKUP($B19,'LOD 300 - SITE'!$B:AT,45,FALSE),"N/A")</f>
        <v>N/A</v>
      </c>
      <c r="FL19" s="123" t="str">
        <f>IFERROR(VLOOKUP($B19,'LOD 300 - SITE'!$B:AW,48,FALSE),"N/A")</f>
        <v>N/A</v>
      </c>
      <c r="FM19" s="87" t="str">
        <f>IFERROR(VLOOKUP($B19,'LOD 300 - SITE'!$B:AZ,51,FALSE),"N/A")</f>
        <v>N/A</v>
      </c>
      <c r="FN19" s="94" t="str">
        <f>IFERROR(VLOOKUP($B19,'LOD 300 - SITE'!$B:BC,54,FALSE),"N/A")</f>
        <v>N/A</v>
      </c>
      <c r="FO19" s="95" t="str">
        <f>IFERROR(VLOOKUP($B19,'LOD 300 - SITE'!$B:BF,57,FALSE),"N/A")</f>
        <v>N/A</v>
      </c>
      <c r="FP19" s="86" t="str">
        <f>IFERROR(VLOOKUP($B19,'LOD 300 - SITE'!$B:BI,60,FALSE),"N/A")</f>
        <v>N/A</v>
      </c>
      <c r="FQ19" s="86" t="str">
        <f>IFERROR(VLOOKUP($B19,'LOD 300 - SITE'!$B:BL,63,FALSE),"N/A")</f>
        <v>N/A</v>
      </c>
      <c r="FR19" s="86" t="str">
        <f>IFERROR(VLOOKUP($B19,'LOD 300 - SITE'!$B:BO,66,FALSE),"N/A")</f>
        <v>N/A</v>
      </c>
      <c r="FS19" s="86" t="str">
        <f>IFERROR(VLOOKUP($B19,'LOD 300 - SITE'!$B:BR,69,FALSE),"N/A")</f>
        <v>N/A</v>
      </c>
      <c r="FT19" s="86" t="str">
        <f>IFERROR(VLOOKUP($B19,'LOD 300 - SITE'!$B:BU,72,FALSE),"N/A")</f>
        <v>N/A</v>
      </c>
      <c r="FU19" s="86" t="str">
        <f>IFERROR(VLOOKUP($B19,'LOD 300 - SITE'!$B:BX,75,FALSE),"N/A")</f>
        <v>N/A</v>
      </c>
      <c r="FV19" s="86" t="str">
        <f>IFERROR(VLOOKUP($B19,'LOD 300 - SITE'!$B:CA,78,FALSE),"N/A")</f>
        <v>N/A</v>
      </c>
      <c r="FW19" s="87" t="str">
        <f>IFERROR(VLOOKUP($B19,'LOD 300 - SITE'!$B:CD,81,FALSE),"N/A")</f>
        <v>N/A</v>
      </c>
      <c r="FX19" s="108" t="str">
        <f>IFERROR(VLOOKUP($B19,'LOD 300 - SITE'!$B:CG,84,FALSE),"N/A")</f>
        <v>N/A</v>
      </c>
      <c r="FY19" s="108" t="str">
        <f>IFERROR(VLOOKUP($B19,'LOD 300 - SITE'!$B:CJ,87,FALSE),"N/A")</f>
        <v>N/A</v>
      </c>
      <c r="FZ19" s="108" t="str">
        <f>IFERROR(VLOOKUP($B19,'LOD 300 - SITE'!$B:CM,90,FALSE),"N/A")</f>
        <v>N/A</v>
      </c>
      <c r="GA19" s="108" t="str">
        <f>IFERROR(VLOOKUP($B19,'LOD 300 - SITE'!$B:CP,93,FALSE),"N/A")</f>
        <v>N/A</v>
      </c>
      <c r="GB19" s="108" t="str">
        <f>IFERROR(VLOOKUP($B19,'LOD 300 - SITE'!$B:CS,96,FALSE),"N/A")</f>
        <v>N/A</v>
      </c>
      <c r="GC19" s="109" t="str">
        <f>IFERROR(VLOOKUP($B19,'LOD 300 - SITE'!$B:CV,99,FALSE),"N/A")</f>
        <v>N/A</v>
      </c>
      <c r="GD19" s="87" t="str">
        <f>IFERROR(VLOOKUP($B19,'LOD 300 - SITE'!$B:CY,102,FALSE),"N/A")</f>
        <v>N/A</v>
      </c>
      <c r="GE19" s="87" t="str">
        <f>IFERROR(VLOOKUP($B19,'LOD 300 - SITE'!$B:DB,105,FALSE),"N/A")</f>
        <v>N/A</v>
      </c>
      <c r="GF19" s="87" t="str">
        <f>IFERROR(VLOOKUP($B19,'LOD 300 - SITE'!$B:DE,108,FALSE),"N/A")</f>
        <v>N/A</v>
      </c>
      <c r="GG19" s="87" t="str">
        <f>IFERROR(VLOOKUP($B19,'LOD 300 - SITE'!$B:DH,111,FALSE),"N/A")</f>
        <v>N/A</v>
      </c>
      <c r="GH19" s="87" t="str">
        <f>IFERROR(VLOOKUP($B19,'LOD 300 - SITE'!$B:DK,114,FALSE),"N/A")</f>
        <v>N/A</v>
      </c>
      <c r="GI19" s="87" t="str">
        <f>IFERROR(VLOOKUP($B19,'LOD 300 - SITE'!$B:DN,117,FALSE),"N/A")</f>
        <v>N/A</v>
      </c>
      <c r="GJ19" s="87" t="str">
        <f>IFERROR(VLOOKUP($B19,'LOD 300 - SITE'!$B:DQ,120,FALSE),"N/A")</f>
        <v>N/A</v>
      </c>
      <c r="GK19" s="87" t="str">
        <f>IFERROR(VLOOKUP($B19,'LOD 300 - SITE'!$B:DT,123,FALSE),"N/A")</f>
        <v>N/A</v>
      </c>
      <c r="GL19" s="87" t="str">
        <f>IFERROR(VLOOKUP($B19,'LOD 300 - SITE'!$B:DW,126,FALSE),"N/A")</f>
        <v>N/A</v>
      </c>
      <c r="GM19" s="110" t="str">
        <f>IFERROR(__xludf.DUMMYFUNCTION("IFERROR(
  MAX(FILTER(FB19:GL19, ISNUMBER(FB19:GL19))),
  GL19
)"),"N/A")</f>
        <v>N/A</v>
      </c>
      <c r="GN19" s="111"/>
      <c r="GO19" s="111"/>
      <c r="GP19" s="111"/>
    </row>
    <row r="20" ht="15.0" customHeight="1" outlineLevel="1">
      <c r="A20" s="60">
        <v>23.0</v>
      </c>
      <c r="B20" s="140" t="s">
        <v>134</v>
      </c>
      <c r="C20" s="70" t="s">
        <v>135</v>
      </c>
      <c r="D20" s="71" t="s">
        <v>85</v>
      </c>
      <c r="E20" s="146" t="s">
        <v>132</v>
      </c>
      <c r="F20" s="13">
        <v>1110.0</v>
      </c>
      <c r="G20" s="139" t="s">
        <v>133</v>
      </c>
      <c r="H20" s="139">
        <v>1128.0</v>
      </c>
      <c r="I20" s="74" t="str">
        <f>IFERROR(VLOOKUP(C17:C159,'R22 RELATÓRIO ACC'!B:F,5,FALSE),"NOT PUBLISHED")</f>
        <v>V30</v>
      </c>
      <c r="J20" s="74" t="str">
        <f>IFERROR(VLOOKUP(C17:C159,'R22 RELATÓRIO ACC'!B:P,15,FALSE),"NOT PUBLISHED")</f>
        <v>26/03/2026</v>
      </c>
      <c r="K20" s="141" t="str">
        <f>IFERROR(VLOOKUP(B17:B209,'RELATÓRIO ACC'!B:F,5,FALSE),"NOT PUBLISHED")</f>
        <v>V2</v>
      </c>
      <c r="L20" s="142" t="str">
        <f>IFERROR(VLOOKUP(B17:B209,'RELATÓRIO ACC'!B:P,15,FALSE),"NOT PUBLISHED")</f>
        <v>20/05/2026</v>
      </c>
      <c r="M20" s="76" t="str">
        <f>IF(OR($D20="UTLS",$D20="GUAR",$D20="STIR",$D20="PUMP",$D20="SITE"),
   VLOOKUP($B20,'LOD 300 - SITE'!B:M,12,FALSE),
   VLOOKUP($B20,'LOD 300 - ADMN'!B:M,12,FALSE)
)</f>
        <v>V20</v>
      </c>
      <c r="N20" s="77" t="str">
        <f>IF(OR($D20="UTLS",$D20="GUAR",$D20="STIR",$D20="PUMP",$D20="SITE"),
   VLOOKUP($B20,'LOD 300 - SITE'!B:N,13,FALSE),
   VLOOKUP($B20,'LOD 300 - ADMN'!B:N,13,FALSE)
)</f>
        <v>16/10/2025</v>
      </c>
      <c r="O20" s="78" t="str">
        <f>IF(OR($D20="UTLS",$D20="GUAR",$D20="STIR",$D20="PUMP",$D20="SITE"),
   VLOOKUP($B20,'LOD 300 - SITE'!B:O,14,FALSE),
   VLOOKUP($B20,'LOD 300 - ADMN'!B:O,14,FALSE)
)</f>
        <v>R22</v>
      </c>
      <c r="P20" s="79" t="str">
        <f>IF(OR($D20="C345",$D20="C12A",$D20="DATA"),
   VLOOKUP($B20,'LOD 300 - COLO3'!B:M,12,FALSE),"N/A")</f>
        <v>V30</v>
      </c>
      <c r="Q20" s="77" t="str">
        <f>IF(OR($D20="C345",$D20="C12A",$D20="DATA"),
   VLOOKUP($B20,'LOD 300 - COLO3'!B:N,13,FALSE),"N/A")</f>
        <v>26/03/2026</v>
      </c>
      <c r="R20" s="76" t="str">
        <f>IF(OR($D20="C345",$D20="C12A",$D20="DATA"),
   VLOOKUP($B20,'LOD 300 - COLO3'!B:O,14,FALSE),"N/A")</f>
        <v>R22</v>
      </c>
      <c r="S20" s="79" t="str">
        <f>IF(OR($D20="C345",$D20="C12A",$D20="DATA"),
   VLOOKUP($B20,'LOD 300 - COLO4'!B:M,12,FALSE),"N/A")</f>
        <v>N/A</v>
      </c>
      <c r="T20" s="76" t="str">
        <f>IF(OR($D20="C345",$D20="C12A",$D20="DATA"),
   VLOOKUP($B20,'LOD 300 - COLO4'!B:T,13,FALSE),"N/A")</f>
        <v>N/A</v>
      </c>
      <c r="U20" s="81">
        <f>IF(OR($D20="C345",$D20="C12A",$D20="DATA"),
   VLOOKUP($B20,'LOD 300 - COLO4'!B:U,17,FALSE),"N/A")</f>
        <v>0</v>
      </c>
      <c r="V20" s="153" t="s">
        <v>129</v>
      </c>
      <c r="W20" s="144">
        <f>IFERROR(VLOOKUP($B20,'LOD 300 - ADMN'!$B:S,18,FALSE),"N/A")</f>
        <v>0.48</v>
      </c>
      <c r="X20" s="122">
        <f>IFERROR(VLOOKUP($B20,'LOD 300 - ADMN'!$B:V,21,FALSE),"N/A")</f>
        <v>0.9</v>
      </c>
      <c r="Y20" s="122">
        <f>IFERROR(VLOOKUP($B20,'LOD 300 - ADMN'!$B:Y,24,FALSE),"N/A")</f>
        <v>0.97</v>
      </c>
      <c r="Z20" s="122">
        <f>IFERROR(VLOOKUP($B20,'LOD 300 - ADMN'!$B:AB,27,FALSE),"N/A")</f>
        <v>1</v>
      </c>
      <c r="AA20" s="122">
        <f>IFERROR(VLOOKUP($B20,'LOD 300 - ADMN'!$B:AE,30,FALSE),"N/A")</f>
        <v>1</v>
      </c>
      <c r="AB20" s="145">
        <f>IFERROR(VLOOKUP($B20,'LOD 300 - ADMN'!$B:AH,33,FALSE),"N/A")</f>
        <v>1</v>
      </c>
      <c r="AC20" s="145">
        <f>IFERROR(VLOOKUP($B20,'LOD 300 - ADMN'!$B:AK,36,FALSE),"N/A")</f>
        <v>1</v>
      </c>
      <c r="AD20" s="122">
        <f>IFERROR(VLOOKUP($B20,'LOD 300 - ADMN'!$B:AN,39,FALSE),"N/A")</f>
        <v>1</v>
      </c>
      <c r="AE20" s="122">
        <f>IFERROR(VLOOKUP($B20,'LOD 300 - ADMN'!$B:AQ,42,FALSE),"N/A")</f>
        <v>1</v>
      </c>
      <c r="AF20" s="122">
        <f>IFERROR(VLOOKUP($B20,'LOD 300 - ADMN'!$B:AT,45,FALSE),"N/A")</f>
        <v>1</v>
      </c>
      <c r="AG20" s="122">
        <f>IFERROR(VLOOKUP($B20,'LOD 300 - ADMN'!$B:AW,48,FALSE),"N/A")</f>
        <v>1</v>
      </c>
      <c r="AH20" s="122">
        <f>IFERROR(VLOOKUP($B20,'LOD 300 - ADMN'!$B:AZ,51,FALSE),"N/A")</f>
        <v>1</v>
      </c>
      <c r="AI20" s="122">
        <f>IFERROR(VLOOKUP($B20,'LOD 300 - ADMN'!$B:BC,54,FALSE),"N/A")</f>
        <v>1</v>
      </c>
      <c r="AJ20" s="87">
        <f>IFERROR(VLOOKUP($B20,'LOD 300 - ADMN'!$B:BF,57,FALSE),"N/A")</f>
        <v>1</v>
      </c>
      <c r="AK20" s="87">
        <f>IFERROR(VLOOKUP($B20,'LOD 300 - ADMN'!$B:EP,60,FALSE),"N/A")</f>
        <v>1</v>
      </c>
      <c r="AL20" s="87">
        <f>IFERROR(VLOOKUP($B20,'LOD 300 - ADMN'!$B:EQ,63,FALSE),"N/A")</f>
        <v>1</v>
      </c>
      <c r="AM20" s="87">
        <f>IFERROR(VLOOKUP($B20,'LOD 300 - ADMN'!$B:BO,66,FALSE),"N/A")</f>
        <v>1</v>
      </c>
      <c r="AN20" s="87">
        <f>IFERROR(VLOOKUP($B20,'LOD 300 - ADMN'!$B:BR,69,FALSE),"N/A")</f>
        <v>1</v>
      </c>
      <c r="AO20" s="87">
        <f>IFERROR(VLOOKUP($B20,'LOD 300 - ADMN'!$B:BU,72,FALSE),"N/A")</f>
        <v>1</v>
      </c>
      <c r="AP20" s="87">
        <f>IFERROR(VLOOKUP($B20,'LOD 300 - ADMN'!$B:BX,75,FALSE),"N/A")</f>
        <v>1</v>
      </c>
      <c r="AQ20" s="87">
        <f>IFERROR(VLOOKUP($B20,'LOD 300 - ADMN'!$B:CA,78,FALSE),"N/A")</f>
        <v>1</v>
      </c>
      <c r="AR20" s="87">
        <f>IFERROR(VLOOKUP($B20,'LOD 300 - ADMN'!$B:CD,81,FALSE),"N/A")</f>
        <v>1</v>
      </c>
      <c r="AS20" s="87">
        <f>IFERROR(VLOOKUP($B20,'LOD 300 - ADMN'!$B:CG,84,FALSE),"N/A")</f>
        <v>1</v>
      </c>
      <c r="AT20" s="87">
        <f>IFERROR(VLOOKUP($B20,'LOD 300 - ADMN'!$B:CJ,87,FALSE),"N/A")</f>
        <v>1</v>
      </c>
      <c r="AU20" s="88">
        <f>IFERROR(VLOOKUP($B20,'LOD 300 - ADMN'!$B:CM,90,FALSE),"N/A")</f>
        <v>1</v>
      </c>
      <c r="AV20" s="88">
        <f>IFERROR(VLOOKUP($B20,'LOD 300 - ADMN'!$B:CP,93,FALSE),"N/A")</f>
        <v>1</v>
      </c>
      <c r="AW20" s="88">
        <f>IFERROR(VLOOKUP($B20,'LOD 300 - ADMN'!$B:CS,96,FALSE),"N/A")</f>
        <v>1</v>
      </c>
      <c r="AX20" s="88">
        <f>IFERROR(VLOOKUP($B20,'LOD 300 - ADMN'!$B:CV,99,FALSE),"N/A")</f>
        <v>1</v>
      </c>
      <c r="AY20" s="88">
        <f>IFERROR(VLOOKUP($B20,'LOD 300 - ADMN'!$B:CY,102,FALSE),"N/A")</f>
        <v>1</v>
      </c>
      <c r="AZ20" s="88">
        <f>IFERROR(VLOOKUP($B20,'LOD 300 - ADMN'!$B:DB,105,FALSE),"N/A")</f>
        <v>1</v>
      </c>
      <c r="BA20" s="87">
        <f>IFERROR(VLOOKUP($B20,'LOD 300 - ADMN'!$B:DE,108,FALSE),"N/A")</f>
        <v>1</v>
      </c>
      <c r="BB20" s="87">
        <f>IFERROR(VLOOKUP($B20,'LOD 300 - ADMN'!$B:DH,111,FALSE),"N/A")</f>
        <v>1</v>
      </c>
      <c r="BC20" s="87">
        <f>IFERROR(VLOOKUP($B20,'LOD 300 - ADMN'!$B:DK,114,FALSE),"N/A")</f>
        <v>1</v>
      </c>
      <c r="BD20" s="87">
        <f>IFERROR(VLOOKUP($B20,'LOD 300 - ADMN'!$B:DN,117,FALSE),"N/A")</f>
        <v>1</v>
      </c>
      <c r="BE20" s="87">
        <f>IFERROR(VLOOKUP($B20,'LOD 300 - ADMN'!$B:DQ,120,FALSE),"N/A")</f>
        <v>1</v>
      </c>
      <c r="BF20" s="87">
        <f>IFERROR(VLOOKUP($B20,'LOD 300 - ADMN'!$B:DT,123,FALSE),"N/A")</f>
        <v>1</v>
      </c>
      <c r="BG20" s="87">
        <f>IFERROR(VLOOKUP($B20,'LOD 300 - ADMN'!$B:DW,126,FALSE),"N/A")</f>
        <v>1</v>
      </c>
      <c r="BH20" s="87">
        <f>IFERROR(VLOOKUP($B20,'LOD 300 - ADMN'!$B:DZ,129,FALSE),"N/A")</f>
        <v>1</v>
      </c>
      <c r="BI20" s="87">
        <f>IFERROR(VLOOKUP($B20,'LOD 300 - ADMN'!$B:EC,132,FALSE),"N/A")</f>
        <v>1</v>
      </c>
      <c r="BJ20" s="90">
        <f>IFERROR(__xludf.DUMMYFUNCTION("IFERROR(
  MAX(FILTER(X20:BI20, ISNUMBER(X20:BI20))),
  BI20
)"),1.0)</f>
        <v>1</v>
      </c>
      <c r="BK20" s="91">
        <f>IFERROR(VLOOKUP($B20,'LOD 300 - COLO1'!$B:S,18,FALSE),"N/A")</f>
        <v>0.48</v>
      </c>
      <c r="BL20" s="92">
        <f>IFERROR(VLOOKUP($B20,'LOD 300 - COLO1'!$B:V,21,FALSE),"N/A")</f>
        <v>0.9</v>
      </c>
      <c r="BM20" s="92">
        <f>IFERROR(VLOOKUP($B20,'LOD 300 - COLO1'!$B:Y,24,FALSE),"N/A")</f>
        <v>0.97</v>
      </c>
      <c r="BN20" s="92">
        <f>IFERROR(VLOOKUP($B20,'LOD 300 - COLO1'!$B:AB,27,FALSE),"N/A")</f>
        <v>1</v>
      </c>
      <c r="BO20" s="92">
        <f>IFERROR(VLOOKUP($B20,'LOD 300 - COLO1'!$B:AE,30,FALSE),"N/A")</f>
        <v>1</v>
      </c>
      <c r="BP20" s="92">
        <f>IFERROR(VLOOKUP($B20,'LOD 300 - COLO1'!$B:AH,33,FALSE),"N/A")</f>
        <v>1</v>
      </c>
      <c r="BQ20" s="92">
        <f>IFERROR(VLOOKUP($B20,'LOD 300 - COLO1'!$B:AK,36,FALSE),"N/A")</f>
        <v>1</v>
      </c>
      <c r="BR20" s="92">
        <f>IFERROR(VLOOKUP($B20,'LOD 300 - COLO1'!$B:AN,39,FALSE),"N/A")</f>
        <v>1</v>
      </c>
      <c r="BS20" s="92">
        <f>IFERROR(VLOOKUP($B20,'LOD 300 - COLO1'!$B:AQ,42,FALSE),"N/A")</f>
        <v>1</v>
      </c>
      <c r="BT20" s="92">
        <f>IFERROR(VLOOKUP($B20,'LOD 300 - COLO1'!$B:AT,45,FALSE),"N/A")</f>
        <v>1</v>
      </c>
      <c r="BU20" s="92">
        <f>IFERROR(VLOOKUP($B20,'LOD 300 - COLO1'!$B:AW,48,FALSE),"N/A")</f>
        <v>1</v>
      </c>
      <c r="BV20" s="92">
        <f>IFERROR(VLOOKUP($B20,'LOD 300 - COLO1'!$B:AZ,51,FALSE),"N/A")</f>
        <v>1</v>
      </c>
      <c r="BW20" s="92">
        <f>IFERROR(VLOOKUP($B20,'LOD 300 - COLO1'!$B:BC,54,FALSE),"N/A")</f>
        <v>1</v>
      </c>
      <c r="BX20" s="94">
        <f>IFERROR(VLOOKUP($B20,'LOD 300 - COLO1'!$B:BF,57,FALSE),"N/A")</f>
        <v>1</v>
      </c>
      <c r="BY20" s="94">
        <f>IFERROR(VLOOKUP($B20,'LOD 300 - COLO1'!$B:BI,60,FALSE),"N/A")</f>
        <v>1</v>
      </c>
      <c r="BZ20" s="95">
        <f>IFERROR(VLOOKUP($B20,'LOD 300 - COLO1'!$B:BL,63,FALSE),"N/A")</f>
        <v>1</v>
      </c>
      <c r="CA20" s="86">
        <f>IFERROR(VLOOKUP($B20,'LOD 300 - COLO1'!$B:BO,66,FALSE),"N/A")</f>
        <v>1</v>
      </c>
      <c r="CB20" s="86">
        <f>IFERROR(VLOOKUP($B20,'LOD 300 - COLO1'!$B:BR,69,FALSE),"N/A")</f>
        <v>1</v>
      </c>
      <c r="CC20" s="86">
        <f>IFERROR(VLOOKUP($B20,'LOD 300 - COLO1'!$B:BU,72,FALSE),"N/A")</f>
        <v>1</v>
      </c>
      <c r="CD20" s="86">
        <f>IFERROR(VLOOKUP($B20,'LOD 300 - COLO1'!$B:BX,75,FALSE),"N/A")</f>
        <v>1</v>
      </c>
      <c r="CE20" s="86">
        <f>IFERROR(VLOOKUP($B20,'LOD 300 - COLO1'!$B:CA,78,FALSE),"N/A")</f>
        <v>1</v>
      </c>
      <c r="CF20" s="87">
        <f>IFERROR(VLOOKUP($B20,'LOD 300 - COLO1'!$B:CD,81,FALSE),"N/A")</f>
        <v>1</v>
      </c>
      <c r="CG20" s="86">
        <f>IFERROR(VLOOKUP($B20,'LOD 300 - COLO1'!$B:CG,84,FALSE),"N/A")</f>
        <v>1</v>
      </c>
      <c r="CH20" s="87">
        <f>IFERROR(VLOOKUP($B20,'LOD 300 - COLO1'!$B:CJ,87,FALSE),"N/A")</f>
        <v>1</v>
      </c>
      <c r="CI20" s="88">
        <f>IFERROR(VLOOKUP($B20,'LOD 300 - COLO1'!$B:CM,90,FALSE),"N/A")</f>
        <v>1</v>
      </c>
      <c r="CJ20" s="88">
        <f>IFERROR(VLOOKUP($B20,'LOD 300 - COLO1'!$B:CP,93,FALSE),"N/A")</f>
        <v>1</v>
      </c>
      <c r="CK20" s="88">
        <f>IFERROR(VLOOKUP($B20,'LOD 300 - COLO1'!$B:CS,96,FALSE),"N/A")</f>
        <v>1</v>
      </c>
      <c r="CL20" s="88">
        <f>IFERROR(VLOOKUP($B20,'LOD 300 - COLO1'!$B:CV,99,FALSE),"N/A")</f>
        <v>1</v>
      </c>
      <c r="CM20" s="88">
        <f>IFERROR(VLOOKUP($B20,'LOD 300 - COLO1'!$B:CY,102,FALSE),"N/A")</f>
        <v>1</v>
      </c>
      <c r="CN20" s="89">
        <f>IFERROR(VLOOKUP($B20,'LOD 300 - COLO1'!$B:DB,105,FALSE),"N/A")</f>
        <v>1</v>
      </c>
      <c r="CO20" s="87">
        <f>IFERROR(VLOOKUP($B20,'LOD 300 - COLO1'!$B:EE,108,FALSE),"N/A")</f>
        <v>1</v>
      </c>
      <c r="CP20" s="87">
        <f>IFERROR(VLOOKUP($B20,'LOD 300 - COLO1'!$B:EH,111,FALSE),"N/A")</f>
        <v>1</v>
      </c>
      <c r="CQ20" s="87">
        <f>IFERROR(VLOOKUP($B20,'LOD 300 - COLO1'!$B:EK,114,FALSE),"N/A")</f>
        <v>1</v>
      </c>
      <c r="CR20" s="87">
        <f>IFERROR(VLOOKUP($B20,'LOD 300 - COLO1'!$B:EN,117,FALSE),"N/A")</f>
        <v>1</v>
      </c>
      <c r="CS20" s="87">
        <f>IFERROR(VLOOKUP($B20,'LOD 300 - COLO1'!$B:EQ,120,FALSE),"N/A")</f>
        <v>1</v>
      </c>
      <c r="CT20" s="87">
        <f>IFERROR(VLOOKUP($B20,'LOD 300 - COLO1'!$B:ET,123,FALSE),"N/A")</f>
        <v>1</v>
      </c>
      <c r="CU20" s="87">
        <f>IFERROR(VLOOKUP($B20,'LOD 300 - COLO1'!$B:EW,126,FALSE),"N/A")</f>
        <v>1</v>
      </c>
      <c r="CV20" s="87">
        <f>IFERROR(VLOOKUP($B20,'LOD 300 - COLO1'!$B:EZ,129,FALSE),"N/A")</f>
        <v>1</v>
      </c>
      <c r="CW20" s="87">
        <f>IFERROR(VLOOKUP($B20,'LOD 300 - COLO1'!$B:FC,132,FALSE),"N/A")</f>
        <v>1</v>
      </c>
      <c r="CX20" s="96">
        <f>IFERROR(__xludf.DUMMYFUNCTION("IFERROR(
  MAX(FILTER(BK20:CW20, ISNUMBER(BK20:CW20))),
  CW20
)"),1.0)</f>
        <v>1</v>
      </c>
      <c r="CY20" s="104">
        <f>IFERROR(VLOOKUP($B20,'LOD 300 - COLO2'!$B:S,18,FALSE),"N/A")</f>
        <v>0.8</v>
      </c>
      <c r="CZ20" s="117">
        <f>IFERROR(VLOOKUP($B20,'LOD 300 - COLO2'!$B:V,21,FALSE),"N/A")</f>
        <v>0.93</v>
      </c>
      <c r="DA20" s="117">
        <f>IFERROR(VLOOKUP($B20,'LOD 300 - COLO2'!$B:Y,24,FALSE),"N/A")</f>
        <v>0.93</v>
      </c>
      <c r="DB20" s="117" t="str">
        <f>IFERROR(VLOOKUP($B20,'LOD 300 - COLO2'!$B:AB,27,FALSE),"N/A")</f>
        <v>OUTDATED MODEL</v>
      </c>
      <c r="DC20" s="92">
        <f>IFERROR(VLOOKUP($B20,'LOD 300 - COLO2'!$B:AE,30,FALSE),"N/A")</f>
        <v>1</v>
      </c>
      <c r="DD20" s="120">
        <f>IFERROR(VLOOKUP($B20,'LOD 300 - COLO2'!$B:AH,33,FALSE),"N/A")</f>
        <v>1</v>
      </c>
      <c r="DE20" s="117">
        <f>IFERROR(VLOOKUP($B20,'LOD 300 - COLO2'!$B:AK,36,FALSE),"N/A")</f>
        <v>1</v>
      </c>
      <c r="DF20" s="117">
        <f>IFERROR(VLOOKUP($B20,'LOD 300 - COLO2'!$B:AN,39,FALSE),"N/A")</f>
        <v>1</v>
      </c>
      <c r="DG20" s="119">
        <f>IFERROR(VLOOKUP($B20,'LOD 300 - COLO2'!$B:AQ,42,FALSE),"N/A")</f>
        <v>1</v>
      </c>
      <c r="DH20" s="87">
        <f>IFERROR(VLOOKUP($B20,'LOD 300 - COLO2'!$B:AT,45,FALSE),"N/A")</f>
        <v>1</v>
      </c>
      <c r="DI20" s="94">
        <f>IFERROR(VLOOKUP($B20,'LOD 300 - COLO2'!$B:AW,48,FALSE),"N/A")</f>
        <v>1</v>
      </c>
      <c r="DJ20" s="95">
        <f>IFERROR(VLOOKUP($B20,'LOD 300 - COLO2'!$B:AZ,51,FALSE),"N/A")</f>
        <v>1</v>
      </c>
      <c r="DK20" s="86">
        <f>IFERROR(VLOOKUP($B20,'LOD 300 - COLO2'!$B:BC,54,FALSE),"N/A")</f>
        <v>1</v>
      </c>
      <c r="DL20" s="86">
        <f>IFERROR(VLOOKUP($B20,'LOD 300 - COLO2'!$B:BF,57,FALSE),"N/A")</f>
        <v>1</v>
      </c>
      <c r="DM20" s="86">
        <f>IFERROR(VLOOKUP($B20,'LOD 300 - COLO2'!$B:BI,60,FALSE),"N/A")</f>
        <v>1</v>
      </c>
      <c r="DN20" s="86">
        <f>IFERROR(VLOOKUP($B20,'LOD 300 - COLO2'!$B:BL,63,FALSE),"N/A")</f>
        <v>1</v>
      </c>
      <c r="DO20" s="86">
        <f>IFERROR(VLOOKUP($B20,'LOD 300 - COLO2'!$B:BO,66,FALSE),"N/A")</f>
        <v>1</v>
      </c>
      <c r="DP20" s="87">
        <f>IFERROR(VLOOKUP($B20,'LOD 300 - COLO2'!$B:BR,69,FALSE),"N/A")</f>
        <v>1</v>
      </c>
      <c r="DQ20" s="87">
        <f>IFERROR(VLOOKUP($B20,'LOD 300 - COLO2'!$B:BU,72,FALSE),"N/A")</f>
        <v>1</v>
      </c>
      <c r="DR20" s="87">
        <f>IFERROR(VLOOKUP($B20,'LOD 300 - COLO2'!$B:BX,75,FALSE),"N/A")</f>
        <v>1</v>
      </c>
      <c r="DS20" s="98">
        <f>IFERROR(VLOOKUP($B20,'LOD 300 - COLO2'!$B:CA,78,FALSE),"N/A")</f>
        <v>1</v>
      </c>
      <c r="DT20" s="98">
        <f>IFERROR(VLOOKUP($B20,'LOD 300 - COLO2'!$B:CD,81,FALSE),"N/A")</f>
        <v>1</v>
      </c>
      <c r="DU20" s="98">
        <f>IFERROR(VLOOKUP($B20,'LOD 300 - COLO2'!$B:CG,84,FALSE),"N/A")</f>
        <v>1</v>
      </c>
      <c r="DV20" s="98">
        <f>IFERROR(VLOOKUP($B20,'LOD 300 - COLO2'!$B:CJ,87,FALSE),"N/A")</f>
        <v>1</v>
      </c>
      <c r="DW20" s="98">
        <f>IFERROR(VLOOKUP($B20,'LOD 300 - COLO2'!$B:CM,90,FALSE),"N/A")</f>
        <v>1</v>
      </c>
      <c r="DX20" s="98">
        <f>IFERROR(VLOOKUP($B20,'LOD 300 - COLO2'!$B:CP,93,FALSE),"N/A")</f>
        <v>1</v>
      </c>
      <c r="DY20" s="87">
        <f>IFERROR(VLOOKUP($B20,'LOD 300 - COLO2'!$B:CS,96,FALSE),"N/A")</f>
        <v>1</v>
      </c>
      <c r="DZ20" s="87">
        <f>IFERROR(VLOOKUP($B20,'LOD 300 - COLO2'!$B:CV,99,FALSE),"N/A")</f>
        <v>1</v>
      </c>
      <c r="EA20" s="87">
        <f>IFERROR(VLOOKUP($B20,'LOD 300 - COLO2'!$B:DB,105,FALSE),"N/A")</f>
        <v>1</v>
      </c>
      <c r="EB20" s="87">
        <f>IFERROR(VLOOKUP($B20,'LOD 300 - COLO2'!$B:DB,105,FALSE),"N/A")</f>
        <v>1</v>
      </c>
      <c r="EC20" s="87">
        <f>IFERROR(VLOOKUP($B20,'LOD 300 - COLO2'!$B:DE,108,FALSE),"N/A")</f>
        <v>1</v>
      </c>
      <c r="ED20" s="87">
        <f>IFERROR(VLOOKUP($B20,'LOD 300 - COLO2'!$B:DH,111,FALSE),"N/A")</f>
        <v>1</v>
      </c>
      <c r="EE20" s="87">
        <f>IFERROR(VLOOKUP($B20,'LOD 300 - COLO2'!$B:DK,114,FALSE),"N/A")</f>
        <v>1</v>
      </c>
      <c r="EF20" s="87">
        <f>IFERROR(VLOOKUP($B20,'LOD 300 - COLO2'!$B:DN,117,FALSE),"N/A")</f>
        <v>1</v>
      </c>
      <c r="EG20" s="87">
        <f>IFERROR(VLOOKUP($B20,'LOD 300 - COLO2'!$B:DQ,120,FALSE),"N/A")</f>
        <v>1</v>
      </c>
      <c r="EH20" s="99">
        <f>IFERROR(__xludf.DUMMYFUNCTION("IFERROR(
  MAX(FILTER(CZ20:EG20, ISNUMBER(CZ20:EG20))),
  EG20
)"),1.0)</f>
        <v>1</v>
      </c>
      <c r="EI20" s="100">
        <f>IFERROR(VLOOKUP($B20,'LOD 300 - COLO3'!$B:R,17,FALSE),"N/A")</f>
        <v>0</v>
      </c>
      <c r="EJ20" s="127">
        <f>IFERROR(VLOOKUP($B20,'LOD 300 - COLO3'!$B:U,20,FALSE),"N/A")</f>
        <v>1</v>
      </c>
      <c r="EK20" s="127">
        <f>IFERROR(VLOOKUP($B20,'LOD 300 - COLO3'!$B:X,23,FALSE),"N/A")</f>
        <v>1</v>
      </c>
      <c r="EL20" s="127">
        <f>IFERROR(VLOOKUP($B20,'LOD 300 - COLO3'!$B:AA,26,FALSE),"N/A")</f>
        <v>1</v>
      </c>
      <c r="EM20" s="127">
        <f>IFERROR(VLOOKUP($B20,'LOD 300 - COLO3'!$B:AD,29,FALSE),"N/A")</f>
        <v>1</v>
      </c>
      <c r="EN20" s="127">
        <f>IFERROR(VLOOKUP($B20,'LOD 300 - COLO3'!$B:AG,32,FALSE),"N/A")</f>
        <v>1</v>
      </c>
      <c r="EO20" s="127">
        <f>IFERROR(VLOOKUP($B20,'LOD 300 - COLO3'!$B:AJ,35,FALSE),"N/A")</f>
        <v>1</v>
      </c>
      <c r="EP20" s="100">
        <f>IFERROR(VLOOKUP($B20,'LOD 300 - COLO3'!$B:AM,38,FALSE),"N/A")</f>
        <v>1</v>
      </c>
      <c r="EQ20" s="100">
        <f>IFERROR(VLOOKUP($B20,'LOD 300 - COLO3'!$B:AP,41,FALSE),"N/A")</f>
        <v>1</v>
      </c>
      <c r="ER20" s="100">
        <f>IFERROR(VLOOKUP($B20,'LOD 300 - COLO3'!$B:AS,44,FALSE),"N/A")</f>
        <v>1</v>
      </c>
      <c r="ES20" s="100">
        <f>IFERROR(VLOOKUP($B20,'LOD 300 - COLO3'!$B:AV,47,FALSE),"N/A")</f>
        <v>1</v>
      </c>
      <c r="ET20" s="100">
        <f>IFERROR(VLOOKUP($B20,'LOD 300 - COLO3'!$B:AY,50,FALSE),"N/A")</f>
        <v>1</v>
      </c>
      <c r="EU20" s="100">
        <f>IFERROR(VLOOKUP($B20,'LOD 300 - COLO3'!$B:BB,53,FALSE),"N/A")</f>
        <v>1</v>
      </c>
      <c r="EV20" s="100">
        <f>IFERROR(VLOOKUP($B20,'LOD 300 - COLO3'!$B:BE,56,FALSE),"N/A")</f>
        <v>1</v>
      </c>
      <c r="EW20" s="100">
        <f>IFERROR(VLOOKUP($B20,'LOD 300 - COLO3'!$B:BL,59,FALSE),"N/A")</f>
        <v>1</v>
      </c>
      <c r="EX20" s="100">
        <f>IFERROR(VLOOKUP($B20,'LOD 300 - COLO3'!$B:BO,62,FALSE),"N/A")</f>
        <v>1</v>
      </c>
      <c r="EY20" s="103">
        <f>IFERROR(__xludf.DUMMYFUNCTION("IFERROR(
  MAX(FILTER(EI20:EX20, ISNUMBER(EI20:EX20))),
  EX20
)"),1.0)</f>
        <v>1</v>
      </c>
      <c r="EZ20" s="104">
        <f>IFERROR(VLOOKUP($B20,'LOD 300 - COLO4'!$B:BT,17,FALSE),"N/A")</f>
        <v>0</v>
      </c>
      <c r="FA20" s="103">
        <f>IFERROR(__xludf.DUMMYFUNCTION("IFERROR(
  MAX(FILTER(EZ20, ISNUMBER(EZ20))),
  EZ20
)"),0.0)</f>
        <v>0</v>
      </c>
      <c r="FB20" s="121" t="str">
        <f>IFERROR(VLOOKUP($B20,'LOD 300 - SITE'!$B:S,18,FALSE),"N/A")</f>
        <v>N/A</v>
      </c>
      <c r="FC20" s="122" t="str">
        <f>IFERROR(VLOOKUP($B20,'LOD 300 - SITE'!$B:V,21,FALSE),"N/A")</f>
        <v>N/A</v>
      </c>
      <c r="FD20" s="122" t="str">
        <f>IFERROR(VLOOKUP($B20,'LOD 300 - SITE'!$B:Y,24,FALSE),"N/A")</f>
        <v>N/A</v>
      </c>
      <c r="FE20" s="122" t="str">
        <f>IFERROR(VLOOKUP($B20,'LOD 300 - SITE'!$B:AB,27,FALSE),"N/A")</f>
        <v>N/A</v>
      </c>
      <c r="FF20" s="122" t="str">
        <f>IFERROR(VLOOKUP($B20,'LOD 300 - SITE'!$B:AE,30,FALSE),"N/A")</f>
        <v>N/A</v>
      </c>
      <c r="FG20" s="122" t="str">
        <f>IFERROR(VLOOKUP($B20,'LOD 300 - SITE'!$B:AH,33,FALSE),"N/A")</f>
        <v>N/A</v>
      </c>
      <c r="FH20" s="122" t="str">
        <f>IFERROR(VLOOKUP($B20,'LOD 300 - SITE'!$B:AK,36,FALSE),"N/A")</f>
        <v>N/A</v>
      </c>
      <c r="FI20" s="122" t="str">
        <f>IFERROR(VLOOKUP($B20,'LOD 300 - SITE'!$B:AN,39,FALSE),"N/A")</f>
        <v>N/A</v>
      </c>
      <c r="FJ20" s="122" t="str">
        <f>IFERROR(VLOOKUP($B20,'LOD 300 - SITE'!$B:AQ,42,FALSE),"N/A")</f>
        <v>N/A</v>
      </c>
      <c r="FK20" s="122" t="str">
        <f>IFERROR(VLOOKUP($B20,'LOD 300 - SITE'!$B:AT,45,FALSE),"N/A")</f>
        <v>N/A</v>
      </c>
      <c r="FL20" s="123" t="str">
        <f>IFERROR(VLOOKUP($B20,'LOD 300 - SITE'!$B:AW,48,FALSE),"N/A")</f>
        <v>N/A</v>
      </c>
      <c r="FM20" s="87" t="str">
        <f>IFERROR(VLOOKUP($B20,'LOD 300 - SITE'!$B:AZ,51,FALSE),"N/A")</f>
        <v>N/A</v>
      </c>
      <c r="FN20" s="94" t="str">
        <f>IFERROR(VLOOKUP($B20,'LOD 300 - SITE'!$B:BC,54,FALSE),"N/A")</f>
        <v>N/A</v>
      </c>
      <c r="FO20" s="95" t="str">
        <f>IFERROR(VLOOKUP($B20,'LOD 300 - SITE'!$B:BF,57,FALSE),"N/A")</f>
        <v>N/A</v>
      </c>
      <c r="FP20" s="86" t="str">
        <f>IFERROR(VLOOKUP($B20,'LOD 300 - SITE'!$B:BI,60,FALSE),"N/A")</f>
        <v>N/A</v>
      </c>
      <c r="FQ20" s="86" t="str">
        <f>IFERROR(VLOOKUP($B20,'LOD 300 - SITE'!$B:BL,63,FALSE),"N/A")</f>
        <v>N/A</v>
      </c>
      <c r="FR20" s="86" t="str">
        <f>IFERROR(VLOOKUP($B20,'LOD 300 - SITE'!$B:BO,66,FALSE),"N/A")</f>
        <v>N/A</v>
      </c>
      <c r="FS20" s="86" t="str">
        <f>IFERROR(VLOOKUP($B20,'LOD 300 - SITE'!$B:BR,69,FALSE),"N/A")</f>
        <v>N/A</v>
      </c>
      <c r="FT20" s="86" t="str">
        <f>IFERROR(VLOOKUP($B20,'LOD 300 - SITE'!$B:BU,72,FALSE),"N/A")</f>
        <v>N/A</v>
      </c>
      <c r="FU20" s="86" t="str">
        <f>IFERROR(VLOOKUP($B20,'LOD 300 - SITE'!$B:BX,75,FALSE),"N/A")</f>
        <v>N/A</v>
      </c>
      <c r="FV20" s="86" t="str">
        <f>IFERROR(VLOOKUP($B20,'LOD 300 - SITE'!$B:CA,78,FALSE),"N/A")</f>
        <v>N/A</v>
      </c>
      <c r="FW20" s="87" t="str">
        <f>IFERROR(VLOOKUP($B20,'LOD 300 - SITE'!$B:CD,81,FALSE),"N/A")</f>
        <v>N/A</v>
      </c>
      <c r="FX20" s="108" t="str">
        <f>IFERROR(VLOOKUP($B20,'LOD 300 - SITE'!$B:CG,84,FALSE),"N/A")</f>
        <v>N/A</v>
      </c>
      <c r="FY20" s="108" t="str">
        <f>IFERROR(VLOOKUP($B20,'LOD 300 - SITE'!$B:CJ,87,FALSE),"N/A")</f>
        <v>N/A</v>
      </c>
      <c r="FZ20" s="108" t="str">
        <f>IFERROR(VLOOKUP($B20,'LOD 300 - SITE'!$B:CM,90,FALSE),"N/A")</f>
        <v>N/A</v>
      </c>
      <c r="GA20" s="108" t="str">
        <f>IFERROR(VLOOKUP($B20,'LOD 300 - SITE'!$B:CP,93,FALSE),"N/A")</f>
        <v>N/A</v>
      </c>
      <c r="GB20" s="108" t="str">
        <f>IFERROR(VLOOKUP($B20,'LOD 300 - SITE'!$B:CS,96,FALSE),"N/A")</f>
        <v>N/A</v>
      </c>
      <c r="GC20" s="109" t="str">
        <f>IFERROR(VLOOKUP($B20,'LOD 300 - SITE'!$B:CV,99,FALSE),"N/A")</f>
        <v>N/A</v>
      </c>
      <c r="GD20" s="87" t="str">
        <f>IFERROR(VLOOKUP($B20,'LOD 300 - SITE'!$B:CY,102,FALSE),"N/A")</f>
        <v>N/A</v>
      </c>
      <c r="GE20" s="87" t="str">
        <f>IFERROR(VLOOKUP($B20,'LOD 300 - SITE'!$B:DB,105,FALSE),"N/A")</f>
        <v>N/A</v>
      </c>
      <c r="GF20" s="87" t="str">
        <f>IFERROR(VLOOKUP($B20,'LOD 300 - SITE'!$B:DE,108,FALSE),"N/A")</f>
        <v>N/A</v>
      </c>
      <c r="GG20" s="87" t="str">
        <f>IFERROR(VLOOKUP($B20,'LOD 300 - SITE'!$B:DH,111,FALSE),"N/A")</f>
        <v>N/A</v>
      </c>
      <c r="GH20" s="87" t="str">
        <f>IFERROR(VLOOKUP($B20,'LOD 300 - SITE'!$B:DK,114,FALSE),"N/A")</f>
        <v>N/A</v>
      </c>
      <c r="GI20" s="87" t="str">
        <f>IFERROR(VLOOKUP($B20,'LOD 300 - SITE'!$B:DN,117,FALSE),"N/A")</f>
        <v>N/A</v>
      </c>
      <c r="GJ20" s="87" t="str">
        <f>IFERROR(VLOOKUP($B20,'LOD 300 - SITE'!$B:DQ,120,FALSE),"N/A")</f>
        <v>N/A</v>
      </c>
      <c r="GK20" s="87" t="str">
        <f>IFERROR(VLOOKUP($B20,'LOD 300 - SITE'!$B:DT,123,FALSE),"N/A")</f>
        <v>N/A</v>
      </c>
      <c r="GL20" s="87" t="str">
        <f>IFERROR(VLOOKUP($B20,'LOD 300 - SITE'!$B:DW,126,FALSE),"N/A")</f>
        <v>N/A</v>
      </c>
      <c r="GM20" s="110" t="str">
        <f>IFERROR(__xludf.DUMMYFUNCTION("IFERROR(
  MAX(FILTER(FB20:GL20, ISNUMBER(FB20:GL20))),
  GL20
)"),"N/A")</f>
        <v>N/A</v>
      </c>
      <c r="GN20" s="111"/>
      <c r="GO20" s="111"/>
      <c r="GP20" s="111"/>
    </row>
    <row r="21" ht="15.0" customHeight="1" outlineLevel="1">
      <c r="A21" s="60">
        <v>24.0</v>
      </c>
      <c r="B21" s="140" t="s">
        <v>136</v>
      </c>
      <c r="C21" s="70" t="s">
        <v>137</v>
      </c>
      <c r="D21" s="71" t="s">
        <v>90</v>
      </c>
      <c r="E21" s="146" t="s">
        <v>138</v>
      </c>
      <c r="F21" s="13">
        <v>1101.0</v>
      </c>
      <c r="G21" s="139" t="s">
        <v>139</v>
      </c>
      <c r="H21" s="139">
        <v>1126.0</v>
      </c>
      <c r="I21" s="74" t="str">
        <f>IFERROR(VLOOKUP(C18:C160,'R22 RELATÓRIO ACC'!B:F,5,FALSE),"NOT PUBLISHED")</f>
        <v>V14</v>
      </c>
      <c r="J21" s="74" t="str">
        <f>IFERROR(VLOOKUP(C18:C160,'R22 RELATÓRIO ACC'!B:P,15,FALSE),"NOT PUBLISHED")</f>
        <v>18/03/2026</v>
      </c>
      <c r="K21" s="141" t="str">
        <f>IFERROR(VLOOKUP(B18:B210,'RELATÓRIO ACC'!B:F,5,FALSE),"NOT PUBLISHED")</f>
        <v>V2</v>
      </c>
      <c r="L21" s="142" t="str">
        <f>IFERROR(VLOOKUP(B18:B210,'RELATÓRIO ACC'!B:P,15,FALSE),"NOT PUBLISHED")</f>
        <v>17/06/2026</v>
      </c>
      <c r="M21" s="76" t="str">
        <f>IF(OR($D21="UTLS",$D21="GUAR",$D21="STIR",$D21="PUMP",$D21="SITE"),
   VLOOKUP($B21,'LOD 300 - SITE'!B:M,12,FALSE),
   VLOOKUP($B21,'LOD 300 - ADMN'!B:M,12,FALSE)
)</f>
        <v>V11</v>
      </c>
      <c r="N21" s="77">
        <f>IF(OR($D21="UTLS",$D21="GUAR",$D21="STIR",$D21="PUMP",$D21="SITE"),
   VLOOKUP($B21,'LOD 300 - SITE'!B:N,13,FALSE),
   VLOOKUP($B21,'LOD 300 - ADMN'!B:N,13,FALSE)
)</f>
        <v>45922</v>
      </c>
      <c r="O21" s="114" t="str">
        <f>IF(OR($D21="UTLS",$D21="GUAR",$D21="STIR",$D21="PUMP",$D21="SITE"),
   VLOOKUP($B21,'LOD 300 - SITE'!B:O,14,FALSE),
   VLOOKUP($B21,'LOD 300 - ADMN'!B:O,14,FALSE)
)</f>
        <v>R22</v>
      </c>
      <c r="P21" s="79" t="str">
        <f>IF(OR($D21="C345",$D21="C12A",$D21="DATA"),
   VLOOKUP($B21,'LOD 300 - COLO3'!B:M,12,FALSE),"N/A")</f>
        <v>N/A</v>
      </c>
      <c r="Q21" s="76" t="str">
        <f>IF(OR($D21="C345",$D21="C12A",$D21="DATA"),
   VLOOKUP($B21,'LOD 300 - COLO3'!B:N,13,FALSE),"N/A")</f>
        <v>N/A</v>
      </c>
      <c r="R21" s="76" t="str">
        <f>IF(OR($D21="C345",$D21="C12A",$D21="DATA"),
   VLOOKUP($B21,'LOD 300 - COLO3'!B:O,14,FALSE),"N/A")</f>
        <v>N/A</v>
      </c>
      <c r="S21" s="79" t="str">
        <f>IF(OR($D21="C345",$D21="C12A",$D21="DATA"),
   VLOOKUP($B21,'LOD 300 - COLO4'!B:M,12,FALSE),"N/A")</f>
        <v>N/A</v>
      </c>
      <c r="T21" s="76" t="str">
        <f>IF(OR($D21="C345",$D21="C12A",$D21="DATA"),
   VLOOKUP($B21,'LOD 300 - COLO4'!B:T,13,FALSE),"N/A")</f>
        <v>N/A</v>
      </c>
      <c r="U21" s="76" t="str">
        <f>IF(OR($D21="C345",$D21="C12A",$D21="DATA"),
   VLOOKUP($B21,'LOD 300 - COLO4'!B:U,17,FALSE),"N/A")</f>
        <v>N/A</v>
      </c>
      <c r="V21" s="126" t="s">
        <v>102</v>
      </c>
      <c r="W21" s="144" t="str">
        <f>IFERROR(VLOOKUP($B21,'LOD 300 - ADMN'!$B:S,18,FALSE),"N/A")</f>
        <v>N/A</v>
      </c>
      <c r="X21" s="122" t="str">
        <f>IFERROR(VLOOKUP($B21,'LOD 300 - ADMN'!$B:V,21,FALSE),"N/A")</f>
        <v>N/A</v>
      </c>
      <c r="Y21" s="122" t="str">
        <f>IFERROR(VLOOKUP($B21,'LOD 300 - ADMN'!$B:Y,24,FALSE),"N/A")</f>
        <v>N/A</v>
      </c>
      <c r="Z21" s="122" t="str">
        <f>IFERROR(VLOOKUP($B21,'LOD 300 - ADMN'!$B:AB,27,FALSE),"N/A")</f>
        <v>N/A</v>
      </c>
      <c r="AA21" s="122" t="str">
        <f>IFERROR(VLOOKUP($B21,'LOD 300 - ADMN'!$B:AE,30,FALSE),"N/A")</f>
        <v>N/A</v>
      </c>
      <c r="AB21" s="145" t="str">
        <f>IFERROR(VLOOKUP($B21,'LOD 300 - ADMN'!$B:AH,33,FALSE),"N/A")</f>
        <v>N/A</v>
      </c>
      <c r="AC21" s="145" t="str">
        <f>IFERROR(VLOOKUP($B21,'LOD 300 - ADMN'!$B:AK,36,FALSE),"N/A")</f>
        <v>N/A</v>
      </c>
      <c r="AD21" s="122" t="str">
        <f>IFERROR(VLOOKUP($B21,'LOD 300 - ADMN'!$B:AN,39,FALSE),"N/A")</f>
        <v>N/A</v>
      </c>
      <c r="AE21" s="122" t="str">
        <f>IFERROR(VLOOKUP($B21,'LOD 300 - ADMN'!$B:AQ,42,FALSE),"N/A")</f>
        <v>N/A</v>
      </c>
      <c r="AF21" s="122" t="str">
        <f>IFERROR(VLOOKUP($B21,'LOD 300 - ADMN'!$B:AT,45,FALSE),"N/A")</f>
        <v>N/A</v>
      </c>
      <c r="AG21" s="122" t="str">
        <f>IFERROR(VLOOKUP($B21,'LOD 300 - ADMN'!$B:AW,48,FALSE),"N/A")</f>
        <v>N/A</v>
      </c>
      <c r="AH21" s="122" t="str">
        <f>IFERROR(VLOOKUP($B21,'LOD 300 - ADMN'!$B:AZ,51,FALSE),"N/A")</f>
        <v>N/A</v>
      </c>
      <c r="AI21" s="122" t="str">
        <f>IFERROR(VLOOKUP($B21,'LOD 300 - ADMN'!$B:BC,54,FALSE),"N/A")</f>
        <v>N/A</v>
      </c>
      <c r="AJ21" s="87" t="str">
        <f>IFERROR(VLOOKUP($B21,'LOD 300 - ADMN'!$B:BF,57,FALSE),"N/A")</f>
        <v>N/A</v>
      </c>
      <c r="AK21" s="87" t="str">
        <f>IFERROR(VLOOKUP($B21,'LOD 300 - ADMN'!$B:EP,60,FALSE),"N/A")</f>
        <v>N/A</v>
      </c>
      <c r="AL21" s="87" t="str">
        <f>IFERROR(VLOOKUP($B21,'LOD 300 - ADMN'!$B:EQ,63,FALSE),"N/A")</f>
        <v>N/A</v>
      </c>
      <c r="AM21" s="87" t="str">
        <f>IFERROR(VLOOKUP($B21,'LOD 300 - ADMN'!$B:BO,66,FALSE),"N/A")</f>
        <v>N/A</v>
      </c>
      <c r="AN21" s="87" t="str">
        <f>IFERROR(VLOOKUP($B21,'LOD 300 - ADMN'!$B:BR,69,FALSE),"N/A")</f>
        <v>N/A</v>
      </c>
      <c r="AO21" s="87" t="str">
        <f>IFERROR(VLOOKUP($B21,'LOD 300 - ADMN'!$B:BU,72,FALSE),"N/A")</f>
        <v>N/A</v>
      </c>
      <c r="AP21" s="87" t="str">
        <f>IFERROR(VLOOKUP($B21,'LOD 300 - ADMN'!$B:BX,75,FALSE),"N/A")</f>
        <v>N/A</v>
      </c>
      <c r="AQ21" s="87" t="str">
        <f>IFERROR(VLOOKUP($B21,'LOD 300 - ADMN'!$B:CA,78,FALSE),"N/A")</f>
        <v>N/A</v>
      </c>
      <c r="AR21" s="87" t="str">
        <f>IFERROR(VLOOKUP($B21,'LOD 300 - ADMN'!$B:CD,81,FALSE),"N/A")</f>
        <v>N/A</v>
      </c>
      <c r="AS21" s="87" t="str">
        <f>IFERROR(VLOOKUP($B21,'LOD 300 - ADMN'!$B:CG,84,FALSE),"N/A")</f>
        <v>N/A</v>
      </c>
      <c r="AT21" s="87" t="str">
        <f>IFERROR(VLOOKUP($B21,'LOD 300 - ADMN'!$B:CJ,87,FALSE),"N/A")</f>
        <v>N/A</v>
      </c>
      <c r="AU21" s="88" t="str">
        <f>IFERROR(VLOOKUP($B21,'LOD 300 - ADMN'!$B:CM,90,FALSE),"N/A")</f>
        <v>N/A</v>
      </c>
      <c r="AV21" s="88" t="str">
        <f>IFERROR(VLOOKUP($B21,'LOD 300 - ADMN'!$B:CP,93,FALSE),"N/A")</f>
        <v>N/A</v>
      </c>
      <c r="AW21" s="88" t="str">
        <f>IFERROR(VLOOKUP($B21,'LOD 300 - ADMN'!$B:CS,96,FALSE),"N/A")</f>
        <v>N/A</v>
      </c>
      <c r="AX21" s="88" t="str">
        <f>IFERROR(VLOOKUP($B21,'LOD 300 - ADMN'!$B:CV,99,FALSE),"N/A")</f>
        <v>N/A</v>
      </c>
      <c r="AY21" s="88" t="str">
        <f>IFERROR(VLOOKUP($B21,'LOD 300 - ADMN'!$B:CY,102,FALSE),"N/A")</f>
        <v>N/A</v>
      </c>
      <c r="AZ21" s="88" t="str">
        <f>IFERROR(VLOOKUP($B21,'LOD 300 - ADMN'!$B:DB,105,FALSE),"N/A")</f>
        <v>N/A</v>
      </c>
      <c r="BA21" s="87" t="str">
        <f>IFERROR(VLOOKUP($B21,'LOD 300 - ADMN'!$B:DE,108,FALSE),"N/A")</f>
        <v>N/A</v>
      </c>
      <c r="BB21" s="87" t="str">
        <f>IFERROR(VLOOKUP($B21,'LOD 300 - ADMN'!$B:DH,111,FALSE),"N/A")</f>
        <v>N/A</v>
      </c>
      <c r="BC21" s="87" t="str">
        <f>IFERROR(VLOOKUP($B21,'LOD 300 - ADMN'!$B:DK,114,FALSE),"N/A")</f>
        <v>N/A</v>
      </c>
      <c r="BD21" s="87" t="str">
        <f>IFERROR(VLOOKUP($B21,'LOD 300 - ADMN'!$B:DN,117,FALSE),"N/A")</f>
        <v>N/A</v>
      </c>
      <c r="BE21" s="87" t="str">
        <f>IFERROR(VLOOKUP($B21,'LOD 300 - ADMN'!$B:DQ,120,FALSE),"N/A")</f>
        <v>N/A</v>
      </c>
      <c r="BF21" s="87" t="str">
        <f>IFERROR(VLOOKUP($B21,'LOD 300 - ADMN'!$B:DT,123,FALSE),"N/A")</f>
        <v>N/A</v>
      </c>
      <c r="BG21" s="87" t="str">
        <f>IFERROR(VLOOKUP($B21,'LOD 300 - ADMN'!$B:DW,126,FALSE),"N/A")</f>
        <v>N/A</v>
      </c>
      <c r="BH21" s="87" t="str">
        <f>IFERROR(VLOOKUP($B21,'LOD 300 - ADMN'!$B:DZ,129,FALSE),"N/A")</f>
        <v>N/A</v>
      </c>
      <c r="BI21" s="87" t="str">
        <f>IFERROR(VLOOKUP($B21,'LOD 300 - ADMN'!$B:EC,132,FALSE),"N/A")</f>
        <v>N/A</v>
      </c>
      <c r="BJ21" s="90" t="str">
        <f>IFERROR(__xludf.DUMMYFUNCTION("IFERROR(
  MAX(FILTER(X21:BI21, ISNUMBER(X21:BI21))),
  BI21
)"),"N/A")</f>
        <v>N/A</v>
      </c>
      <c r="BK21" s="91" t="str">
        <f>IFERROR(VLOOKUP($B21,'LOD 300 - COLO1'!$B:S,18,FALSE),"N/A")</f>
        <v>N/A</v>
      </c>
      <c r="BL21" s="92" t="str">
        <f>IFERROR(VLOOKUP($B21,'LOD 300 - COLO1'!$B:V,21,FALSE),"N/A")</f>
        <v>N/A</v>
      </c>
      <c r="BM21" s="92" t="str">
        <f>IFERROR(VLOOKUP($B21,'LOD 300 - COLO1'!$B:Y,24,FALSE),"N/A")</f>
        <v>N/A</v>
      </c>
      <c r="BN21" s="92" t="str">
        <f>IFERROR(VLOOKUP($B21,'LOD 300 - COLO1'!$B:AB,27,FALSE),"N/A")</f>
        <v>N/A</v>
      </c>
      <c r="BO21" s="92" t="str">
        <f>IFERROR(VLOOKUP($B21,'LOD 300 - COLO1'!$B:AE,30,FALSE),"N/A")</f>
        <v>N/A</v>
      </c>
      <c r="BP21" s="92" t="str">
        <f>IFERROR(VLOOKUP($B21,'LOD 300 - COLO1'!$B:AH,33,FALSE),"N/A")</f>
        <v>N/A</v>
      </c>
      <c r="BQ21" s="92" t="str">
        <f>IFERROR(VLOOKUP($B21,'LOD 300 - COLO1'!$B:AK,36,FALSE),"N/A")</f>
        <v>N/A</v>
      </c>
      <c r="BR21" s="92" t="str">
        <f>IFERROR(VLOOKUP($B21,'LOD 300 - COLO1'!$B:AN,39,FALSE),"N/A")</f>
        <v>N/A</v>
      </c>
      <c r="BS21" s="92" t="str">
        <f>IFERROR(VLOOKUP($B21,'LOD 300 - COLO1'!$B:AQ,42,FALSE),"N/A")</f>
        <v>N/A</v>
      </c>
      <c r="BT21" s="92" t="str">
        <f>IFERROR(VLOOKUP($B21,'LOD 300 - COLO1'!$B:AT,45,FALSE),"N/A")</f>
        <v>N/A</v>
      </c>
      <c r="BU21" s="92" t="str">
        <f>IFERROR(VLOOKUP($B21,'LOD 300 - COLO1'!$B:AW,48,FALSE),"N/A")</f>
        <v>N/A</v>
      </c>
      <c r="BV21" s="92" t="str">
        <f>IFERROR(VLOOKUP($B21,'LOD 300 - COLO1'!$B:AZ,51,FALSE),"N/A")</f>
        <v>N/A</v>
      </c>
      <c r="BW21" s="92" t="str">
        <f>IFERROR(VLOOKUP($B21,'LOD 300 - COLO1'!$B:BC,54,FALSE),"N/A")</f>
        <v>N/A</v>
      </c>
      <c r="BX21" s="94" t="str">
        <f>IFERROR(VLOOKUP($B21,'LOD 300 - COLO1'!$B:BF,57,FALSE),"N/A")</f>
        <v>N/A</v>
      </c>
      <c r="BY21" s="94" t="str">
        <f>IFERROR(VLOOKUP($B21,'LOD 300 - COLO1'!$B:BI,60,FALSE),"N/A")</f>
        <v>N/A</v>
      </c>
      <c r="BZ21" s="95" t="str">
        <f>IFERROR(VLOOKUP($B21,'LOD 300 - COLO1'!$B:BL,63,FALSE),"N/A")</f>
        <v>N/A</v>
      </c>
      <c r="CA21" s="86" t="str">
        <f>IFERROR(VLOOKUP($B21,'LOD 300 - COLO1'!$B:BO,66,FALSE),"N/A")</f>
        <v>N/A</v>
      </c>
      <c r="CB21" s="86" t="str">
        <f>IFERROR(VLOOKUP($B21,'LOD 300 - COLO1'!$B:BR,69,FALSE),"N/A")</f>
        <v>N/A</v>
      </c>
      <c r="CC21" s="86" t="str">
        <f>IFERROR(VLOOKUP($B21,'LOD 300 - COLO1'!$B:BU,72,FALSE),"N/A")</f>
        <v>N/A</v>
      </c>
      <c r="CD21" s="86" t="str">
        <f>IFERROR(VLOOKUP($B21,'LOD 300 - COLO1'!$B:BX,75,FALSE),"N/A")</f>
        <v>N/A</v>
      </c>
      <c r="CE21" s="86" t="str">
        <f>IFERROR(VLOOKUP($B21,'LOD 300 - COLO1'!$B:CA,78,FALSE),"N/A")</f>
        <v>N/A</v>
      </c>
      <c r="CF21" s="87" t="str">
        <f>IFERROR(VLOOKUP($B21,'LOD 300 - COLO1'!$B:CD,81,FALSE),"N/A")</f>
        <v>N/A</v>
      </c>
      <c r="CG21" s="86" t="str">
        <f>IFERROR(VLOOKUP($B21,'LOD 300 - COLO1'!$B:CG,84,FALSE),"N/A")</f>
        <v>N/A</v>
      </c>
      <c r="CH21" s="87" t="str">
        <f>IFERROR(VLOOKUP($B21,'LOD 300 - COLO1'!$B:CJ,87,FALSE),"N/A")</f>
        <v>N/A</v>
      </c>
      <c r="CI21" s="88" t="str">
        <f>IFERROR(VLOOKUP($B21,'LOD 300 - COLO1'!$B:CM,90,FALSE),"N/A")</f>
        <v>N/A</v>
      </c>
      <c r="CJ21" s="88" t="str">
        <f>IFERROR(VLOOKUP($B21,'LOD 300 - COLO1'!$B:CP,93,FALSE),"N/A")</f>
        <v>N/A</v>
      </c>
      <c r="CK21" s="88" t="str">
        <f>IFERROR(VLOOKUP($B21,'LOD 300 - COLO1'!$B:CS,96,FALSE),"N/A")</f>
        <v>N/A</v>
      </c>
      <c r="CL21" s="88" t="str">
        <f>IFERROR(VLOOKUP($B21,'LOD 300 - COLO1'!$B:CV,99,FALSE),"N/A")</f>
        <v>N/A</v>
      </c>
      <c r="CM21" s="88" t="str">
        <f>IFERROR(VLOOKUP($B21,'LOD 300 - COLO1'!$B:CY,102,FALSE),"N/A")</f>
        <v>N/A</v>
      </c>
      <c r="CN21" s="89" t="str">
        <f>IFERROR(VLOOKUP($B21,'LOD 300 - COLO1'!$B:DB,105,FALSE),"N/A")</f>
        <v>N/A</v>
      </c>
      <c r="CO21" s="87" t="str">
        <f>IFERROR(VLOOKUP($B21,'LOD 300 - COLO1'!$B:EE,108,FALSE),"N/A")</f>
        <v>N/A</v>
      </c>
      <c r="CP21" s="87" t="str">
        <f>IFERROR(VLOOKUP($B21,'LOD 300 - COLO1'!$B:EH,111,FALSE),"N/A")</f>
        <v>N/A</v>
      </c>
      <c r="CQ21" s="87" t="str">
        <f>IFERROR(VLOOKUP($B21,'LOD 300 - COLO1'!$B:EK,114,FALSE),"N/A")</f>
        <v>N/A</v>
      </c>
      <c r="CR21" s="87" t="str">
        <f>IFERROR(VLOOKUP($B21,'LOD 300 - COLO1'!$B:EN,117,FALSE),"N/A")</f>
        <v>N/A</v>
      </c>
      <c r="CS21" s="87" t="str">
        <f>IFERROR(VLOOKUP($B21,'LOD 300 - COLO1'!$B:EQ,120,FALSE),"N/A")</f>
        <v>N/A</v>
      </c>
      <c r="CT21" s="87" t="str">
        <f>IFERROR(VLOOKUP($B21,'LOD 300 - COLO1'!$B:ET,123,FALSE),"N/A")</f>
        <v>N/A</v>
      </c>
      <c r="CU21" s="87" t="str">
        <f>IFERROR(VLOOKUP($B21,'LOD 300 - COLO1'!$B:EW,126,FALSE),"N/A")</f>
        <v>N/A</v>
      </c>
      <c r="CV21" s="87" t="str">
        <f>IFERROR(VLOOKUP($B21,'LOD 300 - COLO1'!$B:EZ,129,FALSE),"N/A")</f>
        <v>N/A</v>
      </c>
      <c r="CW21" s="87" t="str">
        <f>IFERROR(VLOOKUP($B21,'LOD 300 - COLO1'!$B:FC,132,FALSE),"N/A")</f>
        <v>N/A</v>
      </c>
      <c r="CX21" s="96" t="str">
        <f>IFERROR(__xludf.DUMMYFUNCTION("IFERROR(
  MAX(FILTER(BK21:CW21, ISNUMBER(BK21:CW21))),
  CW21
)"),"N/A")</f>
        <v>N/A</v>
      </c>
      <c r="CY21" s="104" t="str">
        <f>IFERROR(VLOOKUP($B21,'LOD 300 - COLO2'!$B:S,18,FALSE),"N/A")</f>
        <v>N/A</v>
      </c>
      <c r="CZ21" s="117" t="str">
        <f>IFERROR(VLOOKUP($B21,'LOD 300 - COLO2'!$B:V,21,FALSE),"N/A")</f>
        <v>N/A</v>
      </c>
      <c r="DA21" s="117" t="str">
        <f>IFERROR(VLOOKUP($B21,'LOD 300 - COLO2'!$B:Y,24,FALSE),"N/A")</f>
        <v>N/A</v>
      </c>
      <c r="DB21" s="117" t="str">
        <f>IFERROR(VLOOKUP($B21,'LOD 300 - COLO2'!$B:AB,27,FALSE),"N/A")</f>
        <v>N/A</v>
      </c>
      <c r="DC21" s="92" t="str">
        <f>IFERROR(VLOOKUP($B21,'LOD 300 - COLO2'!$B:AE,30,FALSE),"N/A")</f>
        <v>N/A</v>
      </c>
      <c r="DD21" s="120" t="str">
        <f>IFERROR(VLOOKUP($B21,'LOD 300 - COLO2'!$B:AH,33,FALSE),"N/A")</f>
        <v>N/A</v>
      </c>
      <c r="DE21" s="117" t="str">
        <f>IFERROR(VLOOKUP($B21,'LOD 300 - COLO2'!$B:AK,36,FALSE),"N/A")</f>
        <v>N/A</v>
      </c>
      <c r="DF21" s="117" t="str">
        <f>IFERROR(VLOOKUP($B21,'LOD 300 - COLO2'!$B:AN,39,FALSE),"N/A")</f>
        <v>N/A</v>
      </c>
      <c r="DG21" s="119" t="str">
        <f>IFERROR(VLOOKUP($B21,'LOD 300 - COLO2'!$B:AQ,42,FALSE),"N/A")</f>
        <v>N/A</v>
      </c>
      <c r="DH21" s="87" t="str">
        <f>IFERROR(VLOOKUP($B21,'LOD 300 - COLO2'!$B:AT,45,FALSE),"N/A")</f>
        <v>N/A</v>
      </c>
      <c r="DI21" s="94" t="str">
        <f>IFERROR(VLOOKUP($B21,'LOD 300 - COLO2'!$B:AW,48,FALSE),"N/A")</f>
        <v>N/A</v>
      </c>
      <c r="DJ21" s="95" t="str">
        <f>IFERROR(VLOOKUP($B21,'LOD 300 - COLO2'!$B:AZ,51,FALSE),"N/A")</f>
        <v>N/A</v>
      </c>
      <c r="DK21" s="86" t="str">
        <f>IFERROR(VLOOKUP($B21,'LOD 300 - COLO2'!$B:BC,54,FALSE),"N/A")</f>
        <v>N/A</v>
      </c>
      <c r="DL21" s="86" t="str">
        <f>IFERROR(VLOOKUP($B21,'LOD 300 - COLO2'!$B:BF,57,FALSE),"N/A")</f>
        <v>N/A</v>
      </c>
      <c r="DM21" s="86" t="str">
        <f>IFERROR(VLOOKUP($B21,'LOD 300 - COLO2'!$B:BI,60,FALSE),"N/A")</f>
        <v>N/A</v>
      </c>
      <c r="DN21" s="86" t="str">
        <f>IFERROR(VLOOKUP($B21,'LOD 300 - COLO2'!$B:BL,63,FALSE),"N/A")</f>
        <v>N/A</v>
      </c>
      <c r="DO21" s="86" t="str">
        <f>IFERROR(VLOOKUP($B21,'LOD 300 - COLO2'!$B:BO,66,FALSE),"N/A")</f>
        <v>N/A</v>
      </c>
      <c r="DP21" s="87" t="str">
        <f>IFERROR(VLOOKUP($B21,'LOD 300 - COLO2'!$B:BR,69,FALSE),"N/A")</f>
        <v>N/A</v>
      </c>
      <c r="DQ21" s="87" t="str">
        <f>IFERROR(VLOOKUP($B21,'LOD 300 - COLO2'!$B:BU,72,FALSE),"N/A")</f>
        <v>N/A</v>
      </c>
      <c r="DR21" s="87" t="str">
        <f>IFERROR(VLOOKUP($B21,'LOD 300 - COLO2'!$B:BX,75,FALSE),"N/A")</f>
        <v>N/A</v>
      </c>
      <c r="DS21" s="98" t="str">
        <f>IFERROR(VLOOKUP($B21,'LOD 300 - COLO2'!$B:CA,78,FALSE),"N/A")</f>
        <v>N/A</v>
      </c>
      <c r="DT21" s="98" t="str">
        <f>IFERROR(VLOOKUP($B21,'LOD 300 - COLO2'!$B:CD,81,FALSE),"N/A")</f>
        <v>N/A</v>
      </c>
      <c r="DU21" s="98" t="str">
        <f>IFERROR(VLOOKUP($B21,'LOD 300 - COLO2'!$B:CG,84,FALSE),"N/A")</f>
        <v>N/A</v>
      </c>
      <c r="DV21" s="98" t="str">
        <f>IFERROR(VLOOKUP($B21,'LOD 300 - COLO2'!$B:CJ,87,FALSE),"N/A")</f>
        <v>N/A</v>
      </c>
      <c r="DW21" s="98" t="str">
        <f>IFERROR(VLOOKUP($B21,'LOD 300 - COLO2'!$B:CM,90,FALSE),"N/A")</f>
        <v>N/A</v>
      </c>
      <c r="DX21" s="98" t="str">
        <f>IFERROR(VLOOKUP($B21,'LOD 300 - COLO2'!$B:CP,93,FALSE),"N/A")</f>
        <v>N/A</v>
      </c>
      <c r="DY21" s="87" t="str">
        <f>IFERROR(VLOOKUP($B21,'LOD 300 - COLO2'!$B:CS,96,FALSE),"N/A")</f>
        <v>N/A</v>
      </c>
      <c r="DZ21" s="87" t="str">
        <f>IFERROR(VLOOKUP($B21,'LOD 300 - COLO2'!$B:CV,99,FALSE),"N/A")</f>
        <v>N/A</v>
      </c>
      <c r="EA21" s="87" t="str">
        <f>IFERROR(VLOOKUP($B21,'LOD 300 - COLO2'!$B:DB,105,FALSE),"N/A")</f>
        <v>N/A</v>
      </c>
      <c r="EB21" s="87" t="str">
        <f>IFERROR(VLOOKUP($B21,'LOD 300 - COLO2'!$B:DB,105,FALSE),"N/A")</f>
        <v>N/A</v>
      </c>
      <c r="EC21" s="87" t="str">
        <f>IFERROR(VLOOKUP($B21,'LOD 300 - COLO2'!$B:DE,108,FALSE),"N/A")</f>
        <v>N/A</v>
      </c>
      <c r="ED21" s="87" t="str">
        <f>IFERROR(VLOOKUP($B21,'LOD 300 - COLO2'!$B:DH,111,FALSE),"N/A")</f>
        <v>N/A</v>
      </c>
      <c r="EE21" s="87" t="str">
        <f>IFERROR(VLOOKUP($B21,'LOD 300 - COLO2'!$B:DK,114,FALSE),"N/A")</f>
        <v>N/A</v>
      </c>
      <c r="EF21" s="87" t="str">
        <f>IFERROR(VLOOKUP($B21,'LOD 300 - COLO2'!$B:DN,117,FALSE),"N/A")</f>
        <v>N/A</v>
      </c>
      <c r="EG21" s="87" t="str">
        <f>IFERROR(VLOOKUP($B21,'LOD 300 - COLO2'!$B:DQ,120,FALSE),"N/A")</f>
        <v>N/A</v>
      </c>
      <c r="EH21" s="99" t="str">
        <f>IFERROR(__xludf.DUMMYFUNCTION("IFERROR(
  MAX(FILTER(CZ21:EG21, ISNUMBER(CZ21:EG21))),
  EG21
)"),"N/A")</f>
        <v>N/A</v>
      </c>
      <c r="EI21" s="100" t="str">
        <f>IFERROR(VLOOKUP($B21,'LOD 300 - COLO3'!$B:R,17,FALSE),"N/A")</f>
        <v>N/A</v>
      </c>
      <c r="EJ21" s="127" t="str">
        <f>IFERROR(VLOOKUP($B21,'LOD 300 - COLO3'!$B:U,20,FALSE),"N/A")</f>
        <v>N/A</v>
      </c>
      <c r="EK21" s="127" t="str">
        <f>IFERROR(VLOOKUP($B21,'LOD 300 - COLO3'!$B:X,23,FALSE),"N/A")</f>
        <v>N/A</v>
      </c>
      <c r="EL21" s="127" t="str">
        <f>IFERROR(VLOOKUP($B21,'LOD 300 - COLO3'!$B:AA,26,FALSE),"N/A")</f>
        <v>N/A</v>
      </c>
      <c r="EM21" s="127" t="str">
        <f>IFERROR(VLOOKUP($B21,'LOD 300 - COLO3'!$B:AD,29,FALSE),"N/A")</f>
        <v>N/A</v>
      </c>
      <c r="EN21" s="127" t="str">
        <f>IFERROR(VLOOKUP($B21,'LOD 300 - COLO3'!$B:AG,32,FALSE),"N/A")</f>
        <v>N/A</v>
      </c>
      <c r="EO21" s="127" t="str">
        <f>IFERROR(VLOOKUP($B21,'LOD 300 - COLO3'!$B:AJ,35,FALSE),"N/A")</f>
        <v>N/A</v>
      </c>
      <c r="EP21" s="100" t="str">
        <f>IFERROR(VLOOKUP($B21,'LOD 300 - COLO3'!$B:AM,38,FALSE),"N/A")</f>
        <v>N/A</v>
      </c>
      <c r="EQ21" s="100" t="str">
        <f>IFERROR(VLOOKUP($B21,'LOD 300 - COLO3'!$B:AP,41,FALSE),"N/A")</f>
        <v>N/A</v>
      </c>
      <c r="ER21" s="100" t="str">
        <f>IFERROR(VLOOKUP($B21,'LOD 300 - COLO3'!$B:AS,44,FALSE),"N/A")</f>
        <v>N/A</v>
      </c>
      <c r="ES21" s="100" t="str">
        <f>IFERROR(VLOOKUP($B21,'LOD 300 - COLO3'!$B:AV,47,FALSE),"N/A")</f>
        <v>N/A</v>
      </c>
      <c r="ET21" s="100" t="str">
        <f>IFERROR(VLOOKUP($B21,'LOD 300 - COLO3'!$B:AY,50,FALSE),"N/A")</f>
        <v>N/A</v>
      </c>
      <c r="EU21" s="100" t="str">
        <f>IFERROR(VLOOKUP($B21,'LOD 300 - COLO3'!$B:BB,53,FALSE),"N/A")</f>
        <v>N/A</v>
      </c>
      <c r="EV21" s="100" t="str">
        <f>IFERROR(VLOOKUP($B21,'LOD 300 - COLO3'!$B:BE,56,FALSE),"N/A")</f>
        <v>N/A</v>
      </c>
      <c r="EW21" s="100" t="str">
        <f>IFERROR(VLOOKUP($B21,'LOD 300 - COLO3'!$B:BL,59,FALSE),"N/A")</f>
        <v>N/A</v>
      </c>
      <c r="EX21" s="100" t="str">
        <f>IFERROR(VLOOKUP($B21,'LOD 300 - COLO3'!$B:BO,62,FALSE),"N/A")</f>
        <v>N/A</v>
      </c>
      <c r="EY21" s="103" t="str">
        <f>IFERROR(__xludf.DUMMYFUNCTION("IFERROR(
  MAX(FILTER(EI21:EX21, ISNUMBER(EI21:EX21))),
  EX21
)"),"N/A")</f>
        <v>N/A</v>
      </c>
      <c r="EZ21" s="104" t="str">
        <f>IFERROR(VLOOKUP($B21,'LOD 300 - COLO4'!$B:BT,17,FALSE),"N/A")</f>
        <v>N/A</v>
      </c>
      <c r="FA21" s="103" t="str">
        <f>IFERROR(__xludf.DUMMYFUNCTION("IFERROR(
  MAX(FILTER(EZ21, ISNUMBER(EZ21))),
  EZ21
)"),"N/A")</f>
        <v>N/A</v>
      </c>
      <c r="FB21" s="121">
        <f>IFERROR(VLOOKUP($B21,'LOD 300 - SITE'!$B:S,18,FALSE),"N/A")</f>
        <v>0.39</v>
      </c>
      <c r="FC21" s="122">
        <f>IFERROR(VLOOKUP($B21,'LOD 300 - SITE'!$B:V,21,FALSE),"N/A")</f>
        <v>0.96</v>
      </c>
      <c r="FD21" s="122" t="str">
        <f>IFERROR(VLOOKUP($B21,'LOD 300 - SITE'!$B:Y,24,FALSE),"N/A")</f>
        <v>OUTDATED MODEL</v>
      </c>
      <c r="FE21" s="122" t="str">
        <f>IFERROR(VLOOKUP($B21,'LOD 300 - SITE'!$B:AB,27,FALSE),"N/A")</f>
        <v>OUTDATED MODEL</v>
      </c>
      <c r="FF21" s="122">
        <f>IFERROR(VLOOKUP($B21,'LOD 300 - SITE'!$B:AE,30,FALSE),"N/A")</f>
        <v>1</v>
      </c>
      <c r="FG21" s="122">
        <f>IFERROR(VLOOKUP($B21,'LOD 300 - SITE'!$B:AH,33,FALSE),"N/A")</f>
        <v>1</v>
      </c>
      <c r="FH21" s="122">
        <f>IFERROR(VLOOKUP($B21,'LOD 300 - SITE'!$B:AK,36,FALSE),"N/A")</f>
        <v>1</v>
      </c>
      <c r="FI21" s="122">
        <f>IFERROR(VLOOKUP($B21,'LOD 300 - SITE'!$B:AN,39,FALSE),"N/A")</f>
        <v>1</v>
      </c>
      <c r="FJ21" s="122">
        <f>IFERROR(VLOOKUP($B21,'LOD 300 - SITE'!$B:AQ,42,FALSE),"N/A")</f>
        <v>1</v>
      </c>
      <c r="FK21" s="122">
        <f>IFERROR(VLOOKUP($B21,'LOD 300 - SITE'!$B:AT,45,FALSE),"N/A")</f>
        <v>1</v>
      </c>
      <c r="FL21" s="123">
        <f>IFERROR(VLOOKUP($B21,'LOD 300 - SITE'!$B:AW,48,FALSE),"N/A")</f>
        <v>1</v>
      </c>
      <c r="FM21" s="87">
        <f>IFERROR(VLOOKUP($B21,'LOD 300 - SITE'!$B:AZ,51,FALSE),"N/A")</f>
        <v>1</v>
      </c>
      <c r="FN21" s="94">
        <f>IFERROR(VLOOKUP($B21,'LOD 300 - SITE'!$B:BC,54,FALSE),"N/A")</f>
        <v>1</v>
      </c>
      <c r="FO21" s="95">
        <f>IFERROR(VLOOKUP($B21,'LOD 300 - SITE'!$B:BF,57,FALSE),"N/A")</f>
        <v>1</v>
      </c>
      <c r="FP21" s="86">
        <f>IFERROR(VLOOKUP($B21,'LOD 300 - SITE'!$B:BI,60,FALSE),"N/A")</f>
        <v>1</v>
      </c>
      <c r="FQ21" s="86">
        <f>IFERROR(VLOOKUP($B21,'LOD 300 - SITE'!$B:BL,63,FALSE),"N/A")</f>
        <v>1</v>
      </c>
      <c r="FR21" s="86">
        <f>IFERROR(VLOOKUP($B21,'LOD 300 - SITE'!$B:BO,66,FALSE),"N/A")</f>
        <v>1</v>
      </c>
      <c r="FS21" s="86">
        <f>IFERROR(VLOOKUP($B21,'LOD 300 - SITE'!$B:BR,69,FALSE),"N/A")</f>
        <v>1</v>
      </c>
      <c r="FT21" s="86">
        <f>IFERROR(VLOOKUP($B21,'LOD 300 - SITE'!$B:BU,72,FALSE),"N/A")</f>
        <v>1</v>
      </c>
      <c r="FU21" s="86">
        <f>IFERROR(VLOOKUP($B21,'LOD 300 - SITE'!$B:BX,75,FALSE),"N/A")</f>
        <v>1</v>
      </c>
      <c r="FV21" s="86">
        <f>IFERROR(VLOOKUP($B21,'LOD 300 - SITE'!$B:CA,78,FALSE),"N/A")</f>
        <v>1</v>
      </c>
      <c r="FW21" s="87">
        <f>IFERROR(VLOOKUP($B21,'LOD 300 - SITE'!$B:CD,81,FALSE),"N/A")</f>
        <v>1</v>
      </c>
      <c r="FX21" s="108">
        <f>IFERROR(VLOOKUP($B21,'LOD 300 - SITE'!$B:CG,84,FALSE),"N/A")</f>
        <v>1</v>
      </c>
      <c r="FY21" s="108">
        <f>IFERROR(VLOOKUP($B21,'LOD 300 - SITE'!$B:CJ,87,FALSE),"N/A")</f>
        <v>1</v>
      </c>
      <c r="FZ21" s="108">
        <f>IFERROR(VLOOKUP($B21,'LOD 300 - SITE'!$B:CM,90,FALSE),"N/A")</f>
        <v>1</v>
      </c>
      <c r="GA21" s="108">
        <f>IFERROR(VLOOKUP($B21,'LOD 300 - SITE'!$B:CP,93,FALSE),"N/A")</f>
        <v>1</v>
      </c>
      <c r="GB21" s="108">
        <f>IFERROR(VLOOKUP($B21,'LOD 300 - SITE'!$B:CS,96,FALSE),"N/A")</f>
        <v>1</v>
      </c>
      <c r="GC21" s="109">
        <f>IFERROR(VLOOKUP($B21,'LOD 300 - SITE'!$B:CV,99,FALSE),"N/A")</f>
        <v>1</v>
      </c>
      <c r="GD21" s="87">
        <f>IFERROR(VLOOKUP($B21,'LOD 300 - SITE'!$B:CY,102,FALSE),"N/A")</f>
        <v>1</v>
      </c>
      <c r="GE21" s="87">
        <f>IFERROR(VLOOKUP($B21,'LOD 300 - SITE'!$B:DB,105,FALSE),"N/A")</f>
        <v>1</v>
      </c>
      <c r="GF21" s="87">
        <f>IFERROR(VLOOKUP($B21,'LOD 300 - SITE'!$B:DE,108,FALSE),"N/A")</f>
        <v>1</v>
      </c>
      <c r="GG21" s="87">
        <f>IFERROR(VLOOKUP($B21,'LOD 300 - SITE'!$B:DH,111,FALSE),"N/A")</f>
        <v>1</v>
      </c>
      <c r="GH21" s="87">
        <f>IFERROR(VLOOKUP($B21,'LOD 300 - SITE'!$B:DK,114,FALSE),"N/A")</f>
        <v>1</v>
      </c>
      <c r="GI21" s="87">
        <f>IFERROR(VLOOKUP($B21,'LOD 300 - SITE'!$B:DN,117,FALSE),"N/A")</f>
        <v>1</v>
      </c>
      <c r="GJ21" s="87">
        <f>IFERROR(VLOOKUP($B21,'LOD 300 - SITE'!$B:DQ,120,FALSE),"N/A")</f>
        <v>1</v>
      </c>
      <c r="GK21" s="87">
        <f>IFERROR(VLOOKUP($B21,'LOD 300 - SITE'!$B:DT,123,FALSE),"N/A")</f>
        <v>1</v>
      </c>
      <c r="GL21" s="87">
        <f>IFERROR(VLOOKUP($B21,'LOD 300 - SITE'!$B:DW,126,FALSE),"N/A")</f>
        <v>1</v>
      </c>
      <c r="GM21" s="110">
        <f>IFERROR(__xludf.DUMMYFUNCTION("IFERROR(
  MAX(FILTER(FB21:GL21, ISNUMBER(FB21:GL21))),
  GL21
)"),1.0)</f>
        <v>1</v>
      </c>
      <c r="GN21" s="68"/>
      <c r="GO21" s="68"/>
      <c r="GP21" s="68"/>
    </row>
    <row r="22" ht="15.0" customHeight="1" outlineLevel="1">
      <c r="A22" s="60">
        <v>25.0</v>
      </c>
      <c r="B22" s="140" t="s">
        <v>140</v>
      </c>
      <c r="C22" s="70" t="s">
        <v>141</v>
      </c>
      <c r="D22" s="71" t="s">
        <v>142</v>
      </c>
      <c r="E22" s="146" t="s">
        <v>138</v>
      </c>
      <c r="F22" s="13">
        <v>1101.0</v>
      </c>
      <c r="G22" s="139" t="s">
        <v>139</v>
      </c>
      <c r="H22" s="139">
        <v>1126.0</v>
      </c>
      <c r="I22" s="74" t="str">
        <f>IFERROR(VLOOKUP(C19:C161,'R22 RELATÓRIO ACC'!B:F,5,FALSE),"NOT PUBLISHED")</f>
        <v>V14</v>
      </c>
      <c r="J22" s="74" t="str">
        <f>IFERROR(VLOOKUP(C19:C161,'R22 RELATÓRIO ACC'!B:P,15,FALSE),"NOT PUBLISHED")</f>
        <v>30/01/2026</v>
      </c>
      <c r="K22" s="141" t="str">
        <f>IFERROR(VLOOKUP(B19:B211,'RELATÓRIO ACC'!B:F,5,FALSE),"NOT PUBLISHED")</f>
        <v>V1</v>
      </c>
      <c r="L22" s="142" t="str">
        <f>IFERROR(VLOOKUP(B19:B211,'RELATÓRIO ACC'!B:P,15,FALSE),"NOT PUBLISHED")</f>
        <v>19/05/2026</v>
      </c>
      <c r="M22" s="76" t="str">
        <f>IF(OR($D22="UTLS",$D22="GUAR",$D22="STIR",$D22="PUMP",$D22="SITE"),
   VLOOKUP($B22,'LOD 300 - SITE'!B:M,12,FALSE),
   VLOOKUP($B22,'LOD 300 - ADMN'!B:M,12,FALSE)
)</f>
        <v>N/A</v>
      </c>
      <c r="N22" s="76" t="str">
        <f>IF(OR($D22="UTLS",$D22="GUAR",$D22="STIR",$D22="PUMP",$D22="SITE"),
   VLOOKUP($B22,'LOD 300 - SITE'!B:N,13,FALSE),
   VLOOKUP($B22,'LOD 300 - ADMN'!B:N,13,FALSE)
)</f>
        <v>N/A</v>
      </c>
      <c r="O22" s="78" t="str">
        <f>IF(OR($D22="UTLS",$D22="GUAR",$D22="STIR",$D22="PUMP",$D22="SITE"),
   VLOOKUP($B22,'LOD 300 - SITE'!B:O,14,FALSE),
   VLOOKUP($B22,'LOD 300 - ADMN'!B:O,14,FALSE)
)</f>
        <v>N/A</v>
      </c>
      <c r="P22" s="79" t="str">
        <f>IF(OR($D22="C345",$D22="C12A",$D22="DATA"),
   VLOOKUP($B22,'LOD 300 - COLO3'!B:M,12,FALSE),"N/A")</f>
        <v>V1</v>
      </c>
      <c r="Q22" s="77">
        <f>IF(OR($D22="C345",$D22="C12A",$D22="DATA"),
   VLOOKUP($B22,'LOD 300 - COLO3'!B:N,13,FALSE),"N/A")</f>
        <v>46161</v>
      </c>
      <c r="R22" s="76" t="str">
        <f>IF(OR($D22="C345",$D22="C12A",$D22="DATA"),
   VLOOKUP($B22,'LOD 300 - COLO3'!B:O,14,FALSE),"N/A")</f>
        <v>R24</v>
      </c>
      <c r="S22" s="79" t="str">
        <f>IF(OR($D22="C345",$D22="C12A",$D22="DATA"),
   VLOOKUP($B22,'LOD 300 - COLO4'!B:M,12,FALSE),"N/A")</f>
        <v>N/A</v>
      </c>
      <c r="T22" s="76" t="str">
        <f>IF(OR($D22="C345",$D22="C12A",$D22="DATA"),
   VLOOKUP($B22,'LOD 300 - COLO4'!B:T,13,FALSE),"N/A")</f>
        <v>N/A</v>
      </c>
      <c r="U22" s="81">
        <f>IF(OR($D22="C345",$D22="C12A",$D22="DATA"),
   VLOOKUP($B22,'LOD 300 - COLO4'!B:U,17,FALSE),"N/A")</f>
        <v>0</v>
      </c>
      <c r="V22" s="126"/>
      <c r="W22" s="144" t="str">
        <f>IFERROR(VLOOKUP($B22,'LOD 300 - ADMN'!$B:S,18,FALSE),"N/A")</f>
        <v>N/A</v>
      </c>
      <c r="X22" s="122" t="str">
        <f>IFERROR(VLOOKUP($B22,'LOD 300 - ADMN'!$B:V,21,FALSE),"N/A")</f>
        <v>N/A</v>
      </c>
      <c r="Y22" s="122" t="str">
        <f>IFERROR(VLOOKUP($B22,'LOD 300 - ADMN'!$B:Y,24,FALSE),"N/A")</f>
        <v>N/A</v>
      </c>
      <c r="Z22" s="122" t="str">
        <f>IFERROR(VLOOKUP($B22,'LOD 300 - ADMN'!$B:AB,27,FALSE),"N/A")</f>
        <v>N/A</v>
      </c>
      <c r="AA22" s="122" t="str">
        <f>IFERROR(VLOOKUP($B22,'LOD 300 - ADMN'!$B:AE,30,FALSE),"N/A")</f>
        <v>N/A</v>
      </c>
      <c r="AB22" s="145" t="str">
        <f>IFERROR(VLOOKUP($B22,'LOD 300 - ADMN'!$B:AH,33,FALSE),"N/A")</f>
        <v>N/A</v>
      </c>
      <c r="AC22" s="145" t="str">
        <f>IFERROR(VLOOKUP($B22,'LOD 300 - ADMN'!$B:AK,36,FALSE),"N/A")</f>
        <v>N/A</v>
      </c>
      <c r="AD22" s="122" t="str">
        <f>IFERROR(VLOOKUP($B22,'LOD 300 - ADMN'!$B:AN,39,FALSE),"N/A")</f>
        <v>N/A</v>
      </c>
      <c r="AE22" s="122" t="str">
        <f>IFERROR(VLOOKUP($B22,'LOD 300 - ADMN'!$B:AQ,42,FALSE),"N/A")</f>
        <v>N/A</v>
      </c>
      <c r="AF22" s="122" t="str">
        <f>IFERROR(VLOOKUP($B22,'LOD 300 - ADMN'!$B:AT,45,FALSE),"N/A")</f>
        <v>N/A</v>
      </c>
      <c r="AG22" s="122" t="str">
        <f>IFERROR(VLOOKUP($B22,'LOD 300 - ADMN'!$B:AW,48,FALSE),"N/A")</f>
        <v>N/A</v>
      </c>
      <c r="AH22" s="122" t="str">
        <f>IFERROR(VLOOKUP($B22,'LOD 300 - ADMN'!$B:AZ,51,FALSE),"N/A")</f>
        <v>N/A</v>
      </c>
      <c r="AI22" s="122" t="str">
        <f>IFERROR(VLOOKUP($B22,'LOD 300 - ADMN'!$B:BC,54,FALSE),"N/A")</f>
        <v>N/A</v>
      </c>
      <c r="AJ22" s="87" t="str">
        <f>IFERROR(VLOOKUP($B22,'LOD 300 - ADMN'!$B:BF,57,FALSE),"N/A")</f>
        <v>N/A</v>
      </c>
      <c r="AK22" s="87" t="str">
        <f>IFERROR(VLOOKUP($B22,'LOD 300 - ADMN'!$B:EP,60,FALSE),"N/A")</f>
        <v>N/A</v>
      </c>
      <c r="AL22" s="87" t="str">
        <f>IFERROR(VLOOKUP($B22,'LOD 300 - ADMN'!$B:EQ,63,FALSE),"N/A")</f>
        <v>N/A</v>
      </c>
      <c r="AM22" s="87" t="str">
        <f>IFERROR(VLOOKUP($B22,'LOD 300 - ADMN'!$B:BO,66,FALSE),"N/A")</f>
        <v>N/A</v>
      </c>
      <c r="AN22" s="87" t="str">
        <f>IFERROR(VLOOKUP($B22,'LOD 300 - ADMN'!$B:BR,69,FALSE),"N/A")</f>
        <v>N/A</v>
      </c>
      <c r="AO22" s="87" t="str">
        <f>IFERROR(VLOOKUP($B22,'LOD 300 - ADMN'!$B:BU,72,FALSE),"N/A")</f>
        <v>N/A</v>
      </c>
      <c r="AP22" s="87" t="str">
        <f>IFERROR(VLOOKUP($B22,'LOD 300 - ADMN'!$B:BX,75,FALSE),"N/A")</f>
        <v>N/A</v>
      </c>
      <c r="AQ22" s="87" t="str">
        <f>IFERROR(VLOOKUP($B22,'LOD 300 - ADMN'!$B:CA,78,FALSE),"N/A")</f>
        <v>N/A</v>
      </c>
      <c r="AR22" s="87" t="str">
        <f>IFERROR(VLOOKUP($B22,'LOD 300 - ADMN'!$B:CD,81,FALSE),"N/A")</f>
        <v>N/A</v>
      </c>
      <c r="AS22" s="87" t="str">
        <f>IFERROR(VLOOKUP($B22,'LOD 300 - ADMN'!$B:CG,84,FALSE),"N/A")</f>
        <v>N/A</v>
      </c>
      <c r="AT22" s="87" t="str">
        <f>IFERROR(VLOOKUP($B22,'LOD 300 - ADMN'!$B:CJ,87,FALSE),"N/A")</f>
        <v>N/A</v>
      </c>
      <c r="AU22" s="88" t="str">
        <f>IFERROR(VLOOKUP($B22,'LOD 300 - ADMN'!$B:CM,90,FALSE),"N/A")</f>
        <v>N/A</v>
      </c>
      <c r="AV22" s="88" t="str">
        <f>IFERROR(VLOOKUP($B22,'LOD 300 - ADMN'!$B:CP,93,FALSE),"N/A")</f>
        <v>N/A</v>
      </c>
      <c r="AW22" s="88" t="str">
        <f>IFERROR(VLOOKUP($B22,'LOD 300 - ADMN'!$B:CS,96,FALSE),"N/A")</f>
        <v>N/A</v>
      </c>
      <c r="AX22" s="88" t="str">
        <f>IFERROR(VLOOKUP($B22,'LOD 300 - ADMN'!$B:CV,99,FALSE),"N/A")</f>
        <v>N/A</v>
      </c>
      <c r="AY22" s="88" t="str">
        <f>IFERROR(VLOOKUP($B22,'LOD 300 - ADMN'!$B:CY,102,FALSE),"N/A")</f>
        <v>N/A</v>
      </c>
      <c r="AZ22" s="88" t="str">
        <f>IFERROR(VLOOKUP($B22,'LOD 300 - ADMN'!$B:DB,105,FALSE),"N/A")</f>
        <v>N/A</v>
      </c>
      <c r="BA22" s="87" t="str">
        <f>IFERROR(VLOOKUP($B22,'LOD 300 - ADMN'!$B:DE,108,FALSE),"N/A")</f>
        <v>N/A</v>
      </c>
      <c r="BB22" s="87" t="str">
        <f>IFERROR(VLOOKUP($B22,'LOD 300 - ADMN'!$B:DH,111,FALSE),"N/A")</f>
        <v>N/A</v>
      </c>
      <c r="BC22" s="87" t="str">
        <f>IFERROR(VLOOKUP($B22,'LOD 300 - ADMN'!$B:DK,114,FALSE),"N/A")</f>
        <v>N/A</v>
      </c>
      <c r="BD22" s="87" t="str">
        <f>IFERROR(VLOOKUP($B22,'LOD 300 - ADMN'!$B:DN,117,FALSE),"N/A")</f>
        <v>N/A</v>
      </c>
      <c r="BE22" s="87" t="str">
        <f>IFERROR(VLOOKUP($B22,'LOD 300 - ADMN'!$B:DQ,120,FALSE),"N/A")</f>
        <v>N/A</v>
      </c>
      <c r="BF22" s="87" t="str">
        <f>IFERROR(VLOOKUP($B22,'LOD 300 - ADMN'!$B:DT,123,FALSE),"N/A")</f>
        <v>N/A</v>
      </c>
      <c r="BG22" s="87" t="str">
        <f>IFERROR(VLOOKUP($B22,'LOD 300 - ADMN'!$B:DW,126,FALSE),"N/A")</f>
        <v>N/A</v>
      </c>
      <c r="BH22" s="87" t="str">
        <f>IFERROR(VLOOKUP($B22,'LOD 300 - ADMN'!$B:DZ,129,FALSE),"N/A")</f>
        <v>N/A</v>
      </c>
      <c r="BI22" s="87" t="str">
        <f>IFERROR(VLOOKUP($B22,'LOD 300 - ADMN'!$B:EC,132,FALSE),"N/A")</f>
        <v>N/A</v>
      </c>
      <c r="BJ22" s="90" t="str">
        <f>IFERROR(__xludf.DUMMYFUNCTION("IFERROR(
  MAX(FILTER(X22:BI22, ISNUMBER(X22:BI22))),
  BI22
)"),"N/A")</f>
        <v>N/A</v>
      </c>
      <c r="BK22" s="91" t="str">
        <f>IFERROR(VLOOKUP($B22,'LOD 300 - COLO1'!$B:S,18,FALSE),"N/A")</f>
        <v>N/A</v>
      </c>
      <c r="BL22" s="92" t="str">
        <f>IFERROR(VLOOKUP($B22,'LOD 300 - COLO1'!$B:V,21,FALSE),"N/A")</f>
        <v>N/A</v>
      </c>
      <c r="BM22" s="92" t="str">
        <f>IFERROR(VLOOKUP($B22,'LOD 300 - COLO1'!$B:Y,24,FALSE),"N/A")</f>
        <v>N/A</v>
      </c>
      <c r="BN22" s="92" t="str">
        <f>IFERROR(VLOOKUP($B22,'LOD 300 - COLO1'!$B:AB,27,FALSE),"N/A")</f>
        <v>N/A</v>
      </c>
      <c r="BO22" s="92" t="str">
        <f>IFERROR(VLOOKUP($B22,'LOD 300 - COLO1'!$B:AE,30,FALSE),"N/A")</f>
        <v>N/A</v>
      </c>
      <c r="BP22" s="92" t="str">
        <f>IFERROR(VLOOKUP($B22,'LOD 300 - COLO1'!$B:AH,33,FALSE),"N/A")</f>
        <v>N/A</v>
      </c>
      <c r="BQ22" s="92" t="str">
        <f>IFERROR(VLOOKUP($B22,'LOD 300 - COLO1'!$B:AK,36,FALSE),"N/A")</f>
        <v>N/A</v>
      </c>
      <c r="BR22" s="92" t="str">
        <f>IFERROR(VLOOKUP($B22,'LOD 300 - COLO1'!$B:AN,39,FALSE),"N/A")</f>
        <v>N/A</v>
      </c>
      <c r="BS22" s="92" t="str">
        <f>IFERROR(VLOOKUP($B22,'LOD 300 - COLO1'!$B:AQ,42,FALSE),"N/A")</f>
        <v>N/A</v>
      </c>
      <c r="BT22" s="92" t="str">
        <f>IFERROR(VLOOKUP($B22,'LOD 300 - COLO1'!$B:AT,45,FALSE),"N/A")</f>
        <v>N/A</v>
      </c>
      <c r="BU22" s="92" t="str">
        <f>IFERROR(VLOOKUP($B22,'LOD 300 - COLO1'!$B:AW,48,FALSE),"N/A")</f>
        <v>N/A</v>
      </c>
      <c r="BV22" s="92" t="str">
        <f>IFERROR(VLOOKUP($B22,'LOD 300 - COLO1'!$B:AZ,51,FALSE),"N/A")</f>
        <v>N/A</v>
      </c>
      <c r="BW22" s="92" t="str">
        <f>IFERROR(VLOOKUP($B22,'LOD 300 - COLO1'!$B:BC,54,FALSE),"N/A")</f>
        <v>N/A</v>
      </c>
      <c r="BX22" s="94" t="str">
        <f>IFERROR(VLOOKUP($B22,'LOD 300 - COLO1'!$B:BF,57,FALSE),"N/A")</f>
        <v>N/A</v>
      </c>
      <c r="BY22" s="94" t="str">
        <f>IFERROR(VLOOKUP($B22,'LOD 300 - COLO1'!$B:BI,60,FALSE),"N/A")</f>
        <v>N/A</v>
      </c>
      <c r="BZ22" s="95" t="str">
        <f>IFERROR(VLOOKUP($B22,'LOD 300 - COLO1'!$B:BL,63,FALSE),"N/A")</f>
        <v>N/A</v>
      </c>
      <c r="CA22" s="86" t="str">
        <f>IFERROR(VLOOKUP($B22,'LOD 300 - COLO1'!$B:BO,66,FALSE),"N/A")</f>
        <v>N/A</v>
      </c>
      <c r="CB22" s="86" t="str">
        <f>IFERROR(VLOOKUP($B22,'LOD 300 - COLO1'!$B:BR,69,FALSE),"N/A")</f>
        <v>N/A</v>
      </c>
      <c r="CC22" s="86" t="str">
        <f>IFERROR(VLOOKUP($B22,'LOD 300 - COLO1'!$B:BU,72,FALSE),"N/A")</f>
        <v>N/A</v>
      </c>
      <c r="CD22" s="86" t="str">
        <f>IFERROR(VLOOKUP($B22,'LOD 300 - COLO1'!$B:BX,75,FALSE),"N/A")</f>
        <v>N/A</v>
      </c>
      <c r="CE22" s="86" t="str">
        <f>IFERROR(VLOOKUP($B22,'LOD 300 - COLO1'!$B:CA,78,FALSE),"N/A")</f>
        <v>N/A</v>
      </c>
      <c r="CF22" s="87" t="str">
        <f>IFERROR(VLOOKUP($B22,'LOD 300 - COLO1'!$B:CD,81,FALSE),"N/A")</f>
        <v>N/A</v>
      </c>
      <c r="CG22" s="86" t="str">
        <f>IFERROR(VLOOKUP($B22,'LOD 300 - COLO1'!$B:CG,84,FALSE),"N/A")</f>
        <v>N/A</v>
      </c>
      <c r="CH22" s="87" t="str">
        <f>IFERROR(VLOOKUP($B22,'LOD 300 - COLO1'!$B:CJ,87,FALSE),"N/A")</f>
        <v>N/A</v>
      </c>
      <c r="CI22" s="88" t="str">
        <f>IFERROR(VLOOKUP($B22,'LOD 300 - COLO1'!$B:CM,90,FALSE),"N/A")</f>
        <v>N/A</v>
      </c>
      <c r="CJ22" s="88" t="str">
        <f>IFERROR(VLOOKUP($B22,'LOD 300 - COLO1'!$B:CP,93,FALSE),"N/A")</f>
        <v>N/A</v>
      </c>
      <c r="CK22" s="88" t="str">
        <f>IFERROR(VLOOKUP($B22,'LOD 300 - COLO1'!$B:CS,96,FALSE),"N/A")</f>
        <v>N/A</v>
      </c>
      <c r="CL22" s="88" t="str">
        <f>IFERROR(VLOOKUP($B22,'LOD 300 - COLO1'!$B:CV,99,FALSE),"N/A")</f>
        <v>N/A</v>
      </c>
      <c r="CM22" s="88" t="str">
        <f>IFERROR(VLOOKUP($B22,'LOD 300 - COLO1'!$B:CY,102,FALSE),"N/A")</f>
        <v>N/A</v>
      </c>
      <c r="CN22" s="89" t="str">
        <f>IFERROR(VLOOKUP($B22,'LOD 300 - COLO1'!$B:DB,105,FALSE),"N/A")</f>
        <v>N/A</v>
      </c>
      <c r="CO22" s="87" t="str">
        <f>IFERROR(VLOOKUP($B22,'LOD 300 - COLO1'!$B:EE,108,FALSE),"N/A")</f>
        <v>N/A</v>
      </c>
      <c r="CP22" s="87" t="str">
        <f>IFERROR(VLOOKUP($B22,'LOD 300 - COLO1'!$B:EH,111,FALSE),"N/A")</f>
        <v>N/A</v>
      </c>
      <c r="CQ22" s="87" t="str">
        <f>IFERROR(VLOOKUP($B22,'LOD 300 - COLO1'!$B:EK,114,FALSE),"N/A")</f>
        <v>N/A</v>
      </c>
      <c r="CR22" s="87" t="str">
        <f>IFERROR(VLOOKUP($B22,'LOD 300 - COLO1'!$B:EN,117,FALSE),"N/A")</f>
        <v>N/A</v>
      </c>
      <c r="CS22" s="87" t="str">
        <f>IFERROR(VLOOKUP($B22,'LOD 300 - COLO1'!$B:EQ,120,FALSE),"N/A")</f>
        <v>N/A</v>
      </c>
      <c r="CT22" s="87" t="str">
        <f>IFERROR(VLOOKUP($B22,'LOD 300 - COLO1'!$B:ET,123,FALSE),"N/A")</f>
        <v>N/A</v>
      </c>
      <c r="CU22" s="87" t="str">
        <f>IFERROR(VLOOKUP($B22,'LOD 300 - COLO1'!$B:EW,126,FALSE),"N/A")</f>
        <v>N/A</v>
      </c>
      <c r="CV22" s="87" t="str">
        <f>IFERROR(VLOOKUP($B22,'LOD 300 - COLO1'!$B:EZ,129,FALSE),"N/A")</f>
        <v>N/A</v>
      </c>
      <c r="CW22" s="87" t="str">
        <f>IFERROR(VLOOKUP($B22,'LOD 300 - COLO1'!$B:FC,132,FALSE),"N/A")</f>
        <v>N/A</v>
      </c>
      <c r="CX22" s="96" t="str">
        <f>IFERROR(__xludf.DUMMYFUNCTION("IFERROR(
  MAX(FILTER(BK22:CW22, ISNUMBER(BK22:CW22))),
  CW22
)"),"N/A")</f>
        <v>N/A</v>
      </c>
      <c r="CY22" s="104" t="str">
        <f>IFERROR(VLOOKUP($B22,'LOD 300 - COLO2'!$B:S,18,FALSE),"N/A")</f>
        <v>N/A</v>
      </c>
      <c r="CZ22" s="117" t="str">
        <f>IFERROR(VLOOKUP($B22,'LOD 300 - COLO2'!$B:V,21,FALSE),"N/A")</f>
        <v>N/A</v>
      </c>
      <c r="DA22" s="117" t="str">
        <f>IFERROR(VLOOKUP($B22,'LOD 300 - COLO2'!$B:Y,24,FALSE),"N/A")</f>
        <v>N/A</v>
      </c>
      <c r="DB22" s="117" t="str">
        <f>IFERROR(VLOOKUP($B22,'LOD 300 - COLO2'!$B:AB,27,FALSE),"N/A")</f>
        <v>N/A</v>
      </c>
      <c r="DC22" s="92" t="str">
        <f>IFERROR(VLOOKUP($B22,'LOD 300 - COLO2'!$B:AE,30,FALSE),"N/A")</f>
        <v>N/A</v>
      </c>
      <c r="DD22" s="120" t="str">
        <f>IFERROR(VLOOKUP($B22,'LOD 300 - COLO2'!$B:AH,33,FALSE),"N/A")</f>
        <v>N/A</v>
      </c>
      <c r="DE22" s="117" t="str">
        <f>IFERROR(VLOOKUP($B22,'LOD 300 - COLO2'!$B:AK,36,FALSE),"N/A")</f>
        <v>N/A</v>
      </c>
      <c r="DF22" s="117" t="str">
        <f>IFERROR(VLOOKUP($B22,'LOD 300 - COLO2'!$B:AN,39,FALSE),"N/A")</f>
        <v>N/A</v>
      </c>
      <c r="DG22" s="119" t="str">
        <f>IFERROR(VLOOKUP($B22,'LOD 300 - COLO2'!$B:AQ,42,FALSE),"N/A")</f>
        <v>N/A</v>
      </c>
      <c r="DH22" s="87" t="str">
        <f>IFERROR(VLOOKUP($B22,'LOD 300 - COLO2'!$B:AT,45,FALSE),"N/A")</f>
        <v>N/A</v>
      </c>
      <c r="DI22" s="94" t="str">
        <f>IFERROR(VLOOKUP($B22,'LOD 300 - COLO2'!$B:AW,48,FALSE),"N/A")</f>
        <v>N/A</v>
      </c>
      <c r="DJ22" s="95" t="str">
        <f>IFERROR(VLOOKUP($B22,'LOD 300 - COLO2'!$B:AZ,51,FALSE),"N/A")</f>
        <v>N/A</v>
      </c>
      <c r="DK22" s="86" t="str">
        <f>IFERROR(VLOOKUP($B22,'LOD 300 - COLO2'!$B:BC,54,FALSE),"N/A")</f>
        <v>N/A</v>
      </c>
      <c r="DL22" s="86" t="str">
        <f>IFERROR(VLOOKUP($B22,'LOD 300 - COLO2'!$B:BF,57,FALSE),"N/A")</f>
        <v>N/A</v>
      </c>
      <c r="DM22" s="86" t="str">
        <f>IFERROR(VLOOKUP($B22,'LOD 300 - COLO2'!$B:BI,60,FALSE),"N/A")</f>
        <v>N/A</v>
      </c>
      <c r="DN22" s="86" t="str">
        <f>IFERROR(VLOOKUP($B22,'LOD 300 - COLO2'!$B:BL,63,FALSE),"N/A")</f>
        <v>N/A</v>
      </c>
      <c r="DO22" s="86" t="str">
        <f>IFERROR(VLOOKUP($B22,'LOD 300 - COLO2'!$B:BO,66,FALSE),"N/A")</f>
        <v>N/A</v>
      </c>
      <c r="DP22" s="87" t="str">
        <f>IFERROR(VLOOKUP($B22,'LOD 300 - COLO2'!$B:BR,69,FALSE),"N/A")</f>
        <v>N/A</v>
      </c>
      <c r="DQ22" s="87" t="str">
        <f>IFERROR(VLOOKUP($B22,'LOD 300 - COLO2'!$B:BU,72,FALSE),"N/A")</f>
        <v>N/A</v>
      </c>
      <c r="DR22" s="87" t="str">
        <f>IFERROR(VLOOKUP($B22,'LOD 300 - COLO2'!$B:BX,75,FALSE),"N/A")</f>
        <v>N/A</v>
      </c>
      <c r="DS22" s="98" t="str">
        <f>IFERROR(VLOOKUP($B22,'LOD 300 - COLO2'!$B:CA,78,FALSE),"N/A")</f>
        <v>N/A</v>
      </c>
      <c r="DT22" s="98" t="str">
        <f>IFERROR(VLOOKUP($B22,'LOD 300 - COLO2'!$B:CD,81,FALSE),"N/A")</f>
        <v>N/A</v>
      </c>
      <c r="DU22" s="98" t="str">
        <f>IFERROR(VLOOKUP($B22,'LOD 300 - COLO2'!$B:CG,84,FALSE),"N/A")</f>
        <v>N/A</v>
      </c>
      <c r="DV22" s="98" t="str">
        <f>IFERROR(VLOOKUP($B22,'LOD 300 - COLO2'!$B:CJ,87,FALSE),"N/A")</f>
        <v>N/A</v>
      </c>
      <c r="DW22" s="98" t="str">
        <f>IFERROR(VLOOKUP($B22,'LOD 300 - COLO2'!$B:CM,90,FALSE),"N/A")</f>
        <v>N/A</v>
      </c>
      <c r="DX22" s="98" t="str">
        <f>IFERROR(VLOOKUP($B22,'LOD 300 - COLO2'!$B:CP,93,FALSE),"N/A")</f>
        <v>N/A</v>
      </c>
      <c r="DY22" s="87" t="str">
        <f>IFERROR(VLOOKUP($B22,'LOD 300 - COLO2'!$B:CS,96,FALSE),"N/A")</f>
        <v>N/A</v>
      </c>
      <c r="DZ22" s="87" t="str">
        <f>IFERROR(VLOOKUP($B22,'LOD 300 - COLO2'!$B:CV,99,FALSE),"N/A")</f>
        <v>N/A</v>
      </c>
      <c r="EA22" s="87" t="str">
        <f>IFERROR(VLOOKUP($B22,'LOD 300 - COLO2'!$B:DB,105,FALSE),"N/A")</f>
        <v>N/A</v>
      </c>
      <c r="EB22" s="87" t="str">
        <f>IFERROR(VLOOKUP($B22,'LOD 300 - COLO2'!$B:DB,105,FALSE),"N/A")</f>
        <v>N/A</v>
      </c>
      <c r="EC22" s="87" t="str">
        <f>IFERROR(VLOOKUP($B22,'LOD 300 - COLO2'!$B:DE,108,FALSE),"N/A")</f>
        <v>N/A</v>
      </c>
      <c r="ED22" s="87" t="str">
        <f>IFERROR(VLOOKUP($B22,'LOD 300 - COLO2'!$B:DH,111,FALSE),"N/A")</f>
        <v>N/A</v>
      </c>
      <c r="EE22" s="87" t="str">
        <f>IFERROR(VLOOKUP($B22,'LOD 300 - COLO2'!$B:DK,114,FALSE),"N/A")</f>
        <v>N/A</v>
      </c>
      <c r="EF22" s="87" t="str">
        <f>IFERROR(VLOOKUP($B22,'LOD 300 - COLO2'!$B:DN,117,FALSE),"N/A")</f>
        <v>N/A</v>
      </c>
      <c r="EG22" s="87" t="str">
        <f>IFERROR(VLOOKUP($B22,'LOD 300 - COLO2'!$B:DQ,120,FALSE),"N/A")</f>
        <v>N/A</v>
      </c>
      <c r="EH22" s="99" t="str">
        <f>IFERROR(__xludf.DUMMYFUNCTION("IFERROR(
  MAX(FILTER(CZ22:EG22, ISNUMBER(CZ22:EG22))),
  EG22
)"),"N/A")</f>
        <v>N/A</v>
      </c>
      <c r="EI22" s="100">
        <f>IFERROR(VLOOKUP($B22,'LOD 300 - COLO3'!$B:R,17,FALSE),"N/A")</f>
        <v>0</v>
      </c>
      <c r="EJ22" s="127">
        <f>IFERROR(VLOOKUP($B22,'LOD 300 - COLO3'!$B:U,20,FALSE),"N/A")</f>
        <v>0.53</v>
      </c>
      <c r="EK22" s="127" t="str">
        <f>IFERROR(VLOOKUP($B22,'LOD 300 - COLO3'!$B:X,23,FALSE),"N/A")</f>
        <v>OUTDATED MODEL</v>
      </c>
      <c r="EL22" s="127" t="str">
        <f>IFERROR(VLOOKUP($B22,'LOD 300 - COLO3'!$B:AA,26,FALSE),"N/A")</f>
        <v>OUTDATED MODEL</v>
      </c>
      <c r="EM22" s="127" t="str">
        <f>IFERROR(VLOOKUP($B22,'LOD 300 - COLO3'!$B:AD,29,FALSE),"N/A")</f>
        <v>OUTDATED MODEL</v>
      </c>
      <c r="EN22" s="127" t="str">
        <f>IFERROR(VLOOKUP($B22,'LOD 300 - COLO3'!$B:AG,32,FALSE),"N/A")</f>
        <v>OUTDATED MODEL</v>
      </c>
      <c r="EO22" s="127" t="str">
        <f>IFERROR(VLOOKUP($B22,'LOD 300 - COLO3'!$B:AJ,35,FALSE),"N/A")</f>
        <v>OUTDATED MODEL</v>
      </c>
      <c r="EP22" s="100" t="str">
        <f>IFERROR(VLOOKUP($B22,'LOD 300 - COLO3'!$B:AM,38,FALSE),"N/A")</f>
        <v>IMPROPER</v>
      </c>
      <c r="EQ22" s="100" t="str">
        <f>IFERROR(VLOOKUP($B22,'LOD 300 - COLO3'!$B:AP,41,FALSE),"N/A")</f>
        <v>OUTDATED MODEL</v>
      </c>
      <c r="ER22" s="100" t="str">
        <f>IFERROR(VLOOKUP($B22,'LOD 300 - COLO3'!$B:AS,44,FALSE),"N/A")</f>
        <v>OUTDATED MODEL</v>
      </c>
      <c r="ES22" s="100" t="str">
        <f>IFERROR(VLOOKUP($B22,'LOD 300 - COLO3'!$B:AV,47,FALSE),"N/A")</f>
        <v>OUTDATED MODEL</v>
      </c>
      <c r="ET22" s="100" t="str">
        <f>IFERROR(VLOOKUP($B22,'LOD 300 - COLO3'!$B:AY,50,FALSE),"N/A")</f>
        <v>OUTDATED MODEL</v>
      </c>
      <c r="EU22" s="100" t="str">
        <f>IFERROR(VLOOKUP($B22,'LOD 300 - COLO3'!$B:BB,53,FALSE),"N/A")</f>
        <v>OUTDATED MODEL</v>
      </c>
      <c r="EV22" s="100" t="str">
        <f>IFERROR(VLOOKUP($B22,'LOD 300 - COLO3'!$B:BE,56,FALSE),"N/A")</f>
        <v>OUTDATED MODEL</v>
      </c>
      <c r="EW22" s="100" t="str">
        <f>IFERROR(VLOOKUP($B22,'LOD 300 - COLO3'!$B:BL,59,FALSE),"N/A")</f>
        <v>OUTDATED MODEL</v>
      </c>
      <c r="EX22" s="100" t="str">
        <f>IFERROR(VLOOKUP($B22,'LOD 300 - COLO3'!$B:BO,62,FALSE),"N/A")</f>
        <v>OUTDATED MODEL</v>
      </c>
      <c r="EY22" s="103">
        <f>IFERROR(__xludf.DUMMYFUNCTION("IFERROR(
  MAX(FILTER(EI22:EX22, ISNUMBER(EI22:EX22))),
  EX22
)"),0.53)</f>
        <v>0.53</v>
      </c>
      <c r="EZ22" s="104">
        <f>IFERROR(VLOOKUP($B22,'LOD 300 - COLO4'!$B:BT,17,FALSE),"N/A")</f>
        <v>0</v>
      </c>
      <c r="FA22" s="103">
        <f>IFERROR(__xludf.DUMMYFUNCTION("IFERROR(
  MAX(FILTER(EZ22, ISNUMBER(EZ22))),
  EZ22
)"),0.0)</f>
        <v>0</v>
      </c>
      <c r="FB22" s="121" t="str">
        <f>IFERROR(VLOOKUP($B22,'LOD 300 - SITE'!$B:S,18,FALSE),"N/A")</f>
        <v>N/A</v>
      </c>
      <c r="FC22" s="122" t="str">
        <f>IFERROR(VLOOKUP($B22,'LOD 300 - SITE'!$B:V,21,FALSE),"N/A")</f>
        <v>N/A</v>
      </c>
      <c r="FD22" s="122" t="str">
        <f>IFERROR(VLOOKUP($B22,'LOD 300 - SITE'!$B:Y,24,FALSE),"N/A")</f>
        <v>N/A</v>
      </c>
      <c r="FE22" s="122" t="str">
        <f>IFERROR(VLOOKUP($B22,'LOD 300 - SITE'!$B:AB,27,FALSE),"N/A")</f>
        <v>N/A</v>
      </c>
      <c r="FF22" s="122" t="str">
        <f>IFERROR(VLOOKUP($B22,'LOD 300 - SITE'!$B:AE,30,FALSE),"N/A")</f>
        <v>N/A</v>
      </c>
      <c r="FG22" s="122" t="str">
        <f>IFERROR(VLOOKUP($B22,'LOD 300 - SITE'!$B:AH,33,FALSE),"N/A")</f>
        <v>N/A</v>
      </c>
      <c r="FH22" s="122" t="str">
        <f>IFERROR(VLOOKUP($B22,'LOD 300 - SITE'!$B:AK,36,FALSE),"N/A")</f>
        <v>N/A</v>
      </c>
      <c r="FI22" s="122" t="str">
        <f>IFERROR(VLOOKUP($B22,'LOD 300 - SITE'!$B:AN,39,FALSE),"N/A")</f>
        <v>N/A</v>
      </c>
      <c r="FJ22" s="122" t="str">
        <f>IFERROR(VLOOKUP($B22,'LOD 300 - SITE'!$B:AQ,42,FALSE),"N/A")</f>
        <v>N/A</v>
      </c>
      <c r="FK22" s="122" t="str">
        <f>IFERROR(VLOOKUP($B22,'LOD 300 - SITE'!$B:AT,45,FALSE),"N/A")</f>
        <v>N/A</v>
      </c>
      <c r="FL22" s="123" t="str">
        <f>IFERROR(VLOOKUP($B22,'LOD 300 - SITE'!$B:AW,48,FALSE),"N/A")</f>
        <v>N/A</v>
      </c>
      <c r="FM22" s="87" t="str">
        <f>IFERROR(VLOOKUP($B22,'LOD 300 - SITE'!$B:AZ,51,FALSE),"N/A")</f>
        <v>N/A</v>
      </c>
      <c r="FN22" s="94" t="str">
        <f>IFERROR(VLOOKUP($B22,'LOD 300 - SITE'!$B:BC,54,FALSE),"N/A")</f>
        <v>N/A</v>
      </c>
      <c r="FO22" s="95" t="str">
        <f>IFERROR(VLOOKUP($B22,'LOD 300 - SITE'!$B:BF,57,FALSE),"N/A")</f>
        <v>N/A</v>
      </c>
      <c r="FP22" s="86" t="str">
        <f>IFERROR(VLOOKUP($B22,'LOD 300 - SITE'!$B:BI,60,FALSE),"N/A")</f>
        <v>N/A</v>
      </c>
      <c r="FQ22" s="86" t="str">
        <f>IFERROR(VLOOKUP($B22,'LOD 300 - SITE'!$B:BL,63,FALSE),"N/A")</f>
        <v>N/A</v>
      </c>
      <c r="FR22" s="86" t="str">
        <f>IFERROR(VLOOKUP($B22,'LOD 300 - SITE'!$B:BO,66,FALSE),"N/A")</f>
        <v>N/A</v>
      </c>
      <c r="FS22" s="86" t="str">
        <f>IFERROR(VLOOKUP($B22,'LOD 300 - SITE'!$B:BR,69,FALSE),"N/A")</f>
        <v>N/A</v>
      </c>
      <c r="FT22" s="86" t="str">
        <f>IFERROR(VLOOKUP($B22,'LOD 300 - SITE'!$B:BU,72,FALSE),"N/A")</f>
        <v>N/A</v>
      </c>
      <c r="FU22" s="86" t="str">
        <f>IFERROR(VLOOKUP($B22,'LOD 300 - SITE'!$B:BX,75,FALSE),"N/A")</f>
        <v>N/A</v>
      </c>
      <c r="FV22" s="86" t="str">
        <f>IFERROR(VLOOKUP($B22,'LOD 300 - SITE'!$B:CA,78,FALSE),"N/A")</f>
        <v>N/A</v>
      </c>
      <c r="FW22" s="87" t="str">
        <f>IFERROR(VLOOKUP($B22,'LOD 300 - SITE'!$B:CD,81,FALSE),"N/A")</f>
        <v>N/A</v>
      </c>
      <c r="FX22" s="108" t="str">
        <f>IFERROR(VLOOKUP($B22,'LOD 300 - SITE'!$B:CG,84,FALSE),"N/A")</f>
        <v>N/A</v>
      </c>
      <c r="FY22" s="108" t="str">
        <f>IFERROR(VLOOKUP($B22,'LOD 300 - SITE'!$B:CJ,87,FALSE),"N/A")</f>
        <v>N/A</v>
      </c>
      <c r="FZ22" s="108" t="str">
        <f>IFERROR(VLOOKUP($B22,'LOD 300 - SITE'!$B:CM,90,FALSE),"N/A")</f>
        <v>N/A</v>
      </c>
      <c r="GA22" s="108" t="str">
        <f>IFERROR(VLOOKUP($B22,'LOD 300 - SITE'!$B:CP,93,FALSE),"N/A")</f>
        <v>N/A</v>
      </c>
      <c r="GB22" s="108" t="str">
        <f>IFERROR(VLOOKUP($B22,'LOD 300 - SITE'!$B:CS,96,FALSE),"N/A")</f>
        <v>N/A</v>
      </c>
      <c r="GC22" s="109" t="str">
        <f>IFERROR(VLOOKUP($B22,'LOD 300 - SITE'!$B:CV,99,FALSE),"N/A")</f>
        <v>N/A</v>
      </c>
      <c r="GD22" s="87" t="str">
        <f>IFERROR(VLOOKUP($B22,'LOD 300 - SITE'!$B:CY,102,FALSE),"N/A")</f>
        <v>N/A</v>
      </c>
      <c r="GE22" s="87" t="str">
        <f>IFERROR(VLOOKUP($B22,'LOD 300 - SITE'!$B:DB,105,FALSE),"N/A")</f>
        <v>N/A</v>
      </c>
      <c r="GF22" s="87" t="str">
        <f>IFERROR(VLOOKUP($B22,'LOD 300 - SITE'!$B:DE,108,FALSE),"N/A")</f>
        <v>N/A</v>
      </c>
      <c r="GG22" s="87" t="str">
        <f>IFERROR(VLOOKUP($B22,'LOD 300 - SITE'!$B:DH,111,FALSE),"N/A")</f>
        <v>N/A</v>
      </c>
      <c r="GH22" s="87" t="str">
        <f>IFERROR(VLOOKUP($B22,'LOD 300 - SITE'!$B:DK,114,FALSE),"N/A")</f>
        <v>N/A</v>
      </c>
      <c r="GI22" s="87" t="str">
        <f>IFERROR(VLOOKUP($B22,'LOD 300 - SITE'!$B:DN,117,FALSE),"N/A")</f>
        <v>N/A</v>
      </c>
      <c r="GJ22" s="87" t="str">
        <f>IFERROR(VLOOKUP($B22,'LOD 300 - SITE'!$B:DQ,120,FALSE),"N/A")</f>
        <v>N/A</v>
      </c>
      <c r="GK22" s="87" t="str">
        <f>IFERROR(VLOOKUP($B22,'LOD 300 - SITE'!$B:DT,123,FALSE),"N/A")</f>
        <v>N/A</v>
      </c>
      <c r="GL22" s="87" t="str">
        <f>IFERROR(VLOOKUP($B22,'LOD 300 - SITE'!$B:DW,126,FALSE),"N/A")</f>
        <v>N/A</v>
      </c>
      <c r="GM22" s="110" t="str">
        <f>IFERROR(__xludf.DUMMYFUNCTION("IFERROR(
  MAX(FILTER(FB22:GL22, ISNUMBER(FB22:GL22))),
  GL22
)"),"N/A")</f>
        <v>N/A</v>
      </c>
      <c r="GN22" s="111"/>
      <c r="GO22" s="111"/>
      <c r="GP22" s="111"/>
    </row>
    <row r="23" ht="15.0" customHeight="1" outlineLevel="1">
      <c r="A23" s="60">
        <v>26.0</v>
      </c>
      <c r="B23" s="140" t="s">
        <v>143</v>
      </c>
      <c r="C23" s="70" t="s">
        <v>144</v>
      </c>
      <c r="D23" s="71" t="s">
        <v>145</v>
      </c>
      <c r="E23" s="146" t="s">
        <v>138</v>
      </c>
      <c r="F23" s="13">
        <v>1101.0</v>
      </c>
      <c r="G23" s="139" t="s">
        <v>139</v>
      </c>
      <c r="H23" s="139">
        <v>1126.0</v>
      </c>
      <c r="I23" s="74" t="str">
        <f>IFERROR(VLOOKUP(C20:C162,'R22 RELATÓRIO ACC'!B:F,5,FALSE),"NOT PUBLISHED")</f>
        <v>V24</v>
      </c>
      <c r="J23" s="74" t="str">
        <f>IFERROR(VLOOKUP(C20:C162,'R22 RELATÓRIO ACC'!B:P,15,FALSE),"NOT PUBLISHED")</f>
        <v>07/04/2026</v>
      </c>
      <c r="K23" s="141" t="str">
        <f>IFERROR(VLOOKUP(B20:B212,'RELATÓRIO ACC'!B:F,5,FALSE),"NOT PUBLISHED")</f>
        <v>V2</v>
      </c>
      <c r="L23" s="142" t="str">
        <f>IFERROR(VLOOKUP(B20:B212,'RELATÓRIO ACC'!B:P,15,FALSE),"NOT PUBLISHED")</f>
        <v>27/05/2026</v>
      </c>
      <c r="M23" s="76" t="str">
        <f>IF(OR($D23="UTLS",$D23="GUAR",$D23="STIR",$D23="PUMP",$D23="SITE"),
   VLOOKUP($B23,'LOD 300 - SITE'!B:M,12,FALSE),
   VLOOKUP($B23,'LOD 300 - ADMN'!B:M,12,FALSE)
)</f>
        <v>V13</v>
      </c>
      <c r="N23" s="77" t="str">
        <f>IF(OR($D23="UTLS",$D23="GUAR",$D23="STIR",$D23="PUMP",$D23="SITE"),
   VLOOKUP($B23,'LOD 300 - SITE'!B:N,13,FALSE),
   VLOOKUP($B23,'LOD 300 - ADMN'!B:N,13,FALSE)
)</f>
        <v>14/10/2025</v>
      </c>
      <c r="O23" s="78" t="str">
        <f>IF(OR($D23="UTLS",$D23="GUAR",$D23="STIR",$D23="PUMP",$D23="SITE"),
   VLOOKUP($B23,'LOD 300 - SITE'!B:O,14,FALSE),
   VLOOKUP($B23,'LOD 300 - ADMN'!B:O,14,FALSE)
)</f>
        <v>R22</v>
      </c>
      <c r="P23" s="79" t="str">
        <f>IF(OR($D23="C345",$D23="C12A",$D23="DATA"),
   VLOOKUP($B23,'LOD 300 - COLO3'!B:M,12,FALSE),"N/A")</f>
        <v>N/A</v>
      </c>
      <c r="Q23" s="76" t="str">
        <f>IF(OR($D23="C345",$D23="C12A",$D23="DATA"),
   VLOOKUP($B23,'LOD 300 - COLO3'!B:N,13,FALSE),"N/A")</f>
        <v>N/A</v>
      </c>
      <c r="R23" s="76" t="str">
        <f>IF(OR($D23="C345",$D23="C12A",$D23="DATA"),
   VLOOKUP($B23,'LOD 300 - COLO3'!B:O,14,FALSE),"N/A")</f>
        <v>N/A</v>
      </c>
      <c r="S23" s="79" t="str">
        <f>IF(OR($D23="C345",$D23="C12A",$D23="DATA"),
   VLOOKUP($B23,'LOD 300 - COLO4'!B:M,12,FALSE),"N/A")</f>
        <v>N/A</v>
      </c>
      <c r="T23" s="76" t="str">
        <f>IF(OR($D23="C345",$D23="C12A",$D23="DATA"),
   VLOOKUP($B23,'LOD 300 - COLO4'!B:T,13,FALSE),"N/A")</f>
        <v>N/A</v>
      </c>
      <c r="U23" s="81">
        <f>IF(OR($D23="C345",$D23="C12A",$D23="DATA"),
   VLOOKUP($B23,'LOD 300 - COLO4'!B:U,17,FALSE),"N/A")</f>
        <v>0</v>
      </c>
      <c r="V23" s="126" t="s">
        <v>146</v>
      </c>
      <c r="W23" s="144">
        <f>IFERROR(VLOOKUP($B23,'LOD 300 - ADMN'!$B:S,18,FALSE),"N/A")</f>
        <v>0.43</v>
      </c>
      <c r="X23" s="122">
        <f>IFERROR(VLOOKUP($B23,'LOD 300 - ADMN'!$B:V,21,FALSE),"N/A")</f>
        <v>0.81</v>
      </c>
      <c r="Y23" s="122">
        <f>IFERROR(VLOOKUP($B23,'LOD 300 - ADMN'!$B:Y,24,FALSE),"N/A")</f>
        <v>0.88</v>
      </c>
      <c r="Z23" s="122">
        <f>IFERROR(VLOOKUP($B23,'LOD 300 - ADMN'!$B:AB,27,FALSE),"N/A")</f>
        <v>0.96</v>
      </c>
      <c r="AA23" s="122" t="str">
        <f>IFERROR(VLOOKUP($B23,'LOD 300 - ADMN'!$B:AE,30,FALSE),"N/A")</f>
        <v>OUTDATED MODEL</v>
      </c>
      <c r="AB23" s="145" t="str">
        <f>IFERROR(VLOOKUP($B23,'LOD 300 - ADMN'!$B:AH,33,FALSE),"N/A")</f>
        <v>OUTDATED MODEL</v>
      </c>
      <c r="AC23" s="145">
        <f>IFERROR(VLOOKUP($B23,'LOD 300 - ADMN'!$B:AK,36,FALSE),"N/A")</f>
        <v>1</v>
      </c>
      <c r="AD23" s="122">
        <f>IFERROR(VLOOKUP($B23,'LOD 300 - ADMN'!$B:AN,39,FALSE),"N/A")</f>
        <v>1</v>
      </c>
      <c r="AE23" s="122">
        <f>IFERROR(VLOOKUP($B23,'LOD 300 - ADMN'!$B:AQ,42,FALSE),"N/A")</f>
        <v>1</v>
      </c>
      <c r="AF23" s="122">
        <f>IFERROR(VLOOKUP($B23,'LOD 300 - ADMN'!$B:AT,45,FALSE),"N/A")</f>
        <v>1</v>
      </c>
      <c r="AG23" s="122">
        <f>IFERROR(VLOOKUP($B23,'LOD 300 - ADMN'!$B:AW,48,FALSE),"N/A")</f>
        <v>1</v>
      </c>
      <c r="AH23" s="122">
        <f>IFERROR(VLOOKUP($B23,'LOD 300 - ADMN'!$B:AZ,51,FALSE),"N/A")</f>
        <v>1</v>
      </c>
      <c r="AI23" s="122">
        <f>IFERROR(VLOOKUP($B23,'LOD 300 - ADMN'!$B:BC,54,FALSE),"N/A")</f>
        <v>1</v>
      </c>
      <c r="AJ23" s="87">
        <f>IFERROR(VLOOKUP($B23,'LOD 300 - ADMN'!$B:BF,57,FALSE),"N/A")</f>
        <v>1</v>
      </c>
      <c r="AK23" s="87">
        <f>IFERROR(VLOOKUP($B23,'LOD 300 - ADMN'!$B:EP,60,FALSE),"N/A")</f>
        <v>1</v>
      </c>
      <c r="AL23" s="87">
        <f>IFERROR(VLOOKUP($B23,'LOD 300 - ADMN'!$B:EQ,63,FALSE),"N/A")</f>
        <v>1</v>
      </c>
      <c r="AM23" s="87">
        <f>IFERROR(VLOOKUP($B23,'LOD 300 - ADMN'!$B:BO,66,FALSE),"N/A")</f>
        <v>1</v>
      </c>
      <c r="AN23" s="87">
        <f>IFERROR(VLOOKUP($B23,'LOD 300 - ADMN'!$B:BR,69,FALSE),"N/A")</f>
        <v>1</v>
      </c>
      <c r="AO23" s="87">
        <f>IFERROR(VLOOKUP($B23,'LOD 300 - ADMN'!$B:BU,72,FALSE),"N/A")</f>
        <v>1</v>
      </c>
      <c r="AP23" s="87">
        <f>IFERROR(VLOOKUP($B23,'LOD 300 - ADMN'!$B:BX,75,FALSE),"N/A")</f>
        <v>1</v>
      </c>
      <c r="AQ23" s="87">
        <f>IFERROR(VLOOKUP($B23,'LOD 300 - ADMN'!$B:CA,78,FALSE),"N/A")</f>
        <v>1</v>
      </c>
      <c r="AR23" s="87">
        <f>IFERROR(VLOOKUP($B23,'LOD 300 - ADMN'!$B:CD,81,FALSE),"N/A")</f>
        <v>1</v>
      </c>
      <c r="AS23" s="87">
        <f>IFERROR(VLOOKUP($B23,'LOD 300 - ADMN'!$B:CG,84,FALSE),"N/A")</f>
        <v>1</v>
      </c>
      <c r="AT23" s="87">
        <f>IFERROR(VLOOKUP($B23,'LOD 300 - ADMN'!$B:CJ,87,FALSE),"N/A")</f>
        <v>1</v>
      </c>
      <c r="AU23" s="88">
        <f>IFERROR(VLOOKUP($B23,'LOD 300 - ADMN'!$B:CM,90,FALSE),"N/A")</f>
        <v>1</v>
      </c>
      <c r="AV23" s="88">
        <f>IFERROR(VLOOKUP($B23,'LOD 300 - ADMN'!$B:CP,93,FALSE),"N/A")</f>
        <v>1</v>
      </c>
      <c r="AW23" s="88">
        <f>IFERROR(VLOOKUP($B23,'LOD 300 - ADMN'!$B:CS,96,FALSE),"N/A")</f>
        <v>1</v>
      </c>
      <c r="AX23" s="88">
        <f>IFERROR(VLOOKUP($B23,'LOD 300 - ADMN'!$B:CV,99,FALSE),"N/A")</f>
        <v>1</v>
      </c>
      <c r="AY23" s="88">
        <f>IFERROR(VLOOKUP($B23,'LOD 300 - ADMN'!$B:CY,102,FALSE),"N/A")</f>
        <v>1</v>
      </c>
      <c r="AZ23" s="88">
        <f>IFERROR(VLOOKUP($B23,'LOD 300 - ADMN'!$B:DB,105,FALSE),"N/A")</f>
        <v>1</v>
      </c>
      <c r="BA23" s="87">
        <f>IFERROR(VLOOKUP($B23,'LOD 300 - ADMN'!$B:DE,108,FALSE),"N/A")</f>
        <v>1</v>
      </c>
      <c r="BB23" s="87">
        <f>IFERROR(VLOOKUP($B23,'LOD 300 - ADMN'!$B:DH,111,FALSE),"N/A")</f>
        <v>1</v>
      </c>
      <c r="BC23" s="87">
        <f>IFERROR(VLOOKUP($B23,'LOD 300 - ADMN'!$B:DK,114,FALSE),"N/A")</f>
        <v>1</v>
      </c>
      <c r="BD23" s="87">
        <f>IFERROR(VLOOKUP($B23,'LOD 300 - ADMN'!$B:DN,117,FALSE),"N/A")</f>
        <v>1</v>
      </c>
      <c r="BE23" s="87">
        <f>IFERROR(VLOOKUP($B23,'LOD 300 - ADMN'!$B:DQ,120,FALSE),"N/A")</f>
        <v>1</v>
      </c>
      <c r="BF23" s="87">
        <f>IFERROR(VLOOKUP($B23,'LOD 300 - ADMN'!$B:DT,123,FALSE),"N/A")</f>
        <v>1</v>
      </c>
      <c r="BG23" s="87">
        <f>IFERROR(VLOOKUP($B23,'LOD 300 - ADMN'!$B:DW,126,FALSE),"N/A")</f>
        <v>1</v>
      </c>
      <c r="BH23" s="87">
        <f>IFERROR(VLOOKUP($B23,'LOD 300 - ADMN'!$B:DZ,129,FALSE),"N/A")</f>
        <v>1</v>
      </c>
      <c r="BI23" s="87">
        <f>IFERROR(VLOOKUP($B23,'LOD 300 - ADMN'!$B:EC,132,FALSE),"N/A")</f>
        <v>1</v>
      </c>
      <c r="BJ23" s="90">
        <f>IFERROR(__xludf.DUMMYFUNCTION("IFERROR(
  MAX(FILTER(X23:BI23, ISNUMBER(X23:BI23))),
  BI23
)"),1.0)</f>
        <v>1</v>
      </c>
      <c r="BK23" s="91">
        <f>IFERROR(VLOOKUP($B23,'LOD 300 - COLO1'!$B:S,18,FALSE),"N/A")</f>
        <v>0.43</v>
      </c>
      <c r="BL23" s="92">
        <f>IFERROR(VLOOKUP($B23,'LOD 300 - COLO1'!$B:V,21,FALSE),"N/A")</f>
        <v>0.67</v>
      </c>
      <c r="BM23" s="92">
        <f>IFERROR(VLOOKUP($B23,'LOD 300 - COLO1'!$B:Y,24,FALSE),"N/A")</f>
        <v>0.8</v>
      </c>
      <c r="BN23" s="92">
        <f>IFERROR(VLOOKUP($B23,'LOD 300 - COLO1'!$B:AB,27,FALSE),"N/A")</f>
        <v>0.84</v>
      </c>
      <c r="BO23" s="92" t="str">
        <f>IFERROR(VLOOKUP($B23,'LOD 300 - COLO1'!$B:AE,30,FALSE),"N/A")</f>
        <v>OUTDATED MODEL</v>
      </c>
      <c r="BP23" s="92" t="str">
        <f>IFERROR(VLOOKUP($B23,'LOD 300 - COLO1'!$B:AH,33,FALSE),"N/A")</f>
        <v>OUTDATED MODEL</v>
      </c>
      <c r="BQ23" s="92">
        <f>IFERROR(VLOOKUP($B23,'LOD 300 - COLO1'!$B:AK,36,FALSE),"N/A")</f>
        <v>0.91</v>
      </c>
      <c r="BR23" s="92" t="str">
        <f>IFERROR(VLOOKUP($B23,'LOD 300 - COLO1'!$B:AN,39,FALSE),"N/A")</f>
        <v>OUTDATED MODEL</v>
      </c>
      <c r="BS23" s="92">
        <f>IFERROR(VLOOKUP($B23,'LOD 300 - COLO1'!$B:AQ,42,FALSE),"N/A")</f>
        <v>0.98</v>
      </c>
      <c r="BT23" s="92">
        <f>IFERROR(VLOOKUP($B23,'LOD 300 - COLO1'!$B:AT,45,FALSE),"N/A")</f>
        <v>1</v>
      </c>
      <c r="BU23" s="92">
        <f>IFERROR(VLOOKUP($B23,'LOD 300 - COLO1'!$B:AW,48,FALSE),"N/A")</f>
        <v>1</v>
      </c>
      <c r="BV23" s="92">
        <f>IFERROR(VLOOKUP($B23,'LOD 300 - COLO1'!$B:AZ,51,FALSE),"N/A")</f>
        <v>1</v>
      </c>
      <c r="BW23" s="92">
        <f>IFERROR(VLOOKUP($B23,'LOD 300 - COLO1'!$B:BC,54,FALSE),"N/A")</f>
        <v>1</v>
      </c>
      <c r="BX23" s="94">
        <f>IFERROR(VLOOKUP($B23,'LOD 300 - COLO1'!$B:BF,57,FALSE),"N/A")</f>
        <v>1</v>
      </c>
      <c r="BY23" s="94">
        <f>IFERROR(VLOOKUP($B23,'LOD 300 - COLO1'!$B:BI,60,FALSE),"N/A")</f>
        <v>1</v>
      </c>
      <c r="BZ23" s="95">
        <f>IFERROR(VLOOKUP($B23,'LOD 300 - COLO1'!$B:BL,63,FALSE),"N/A")</f>
        <v>1</v>
      </c>
      <c r="CA23" s="86">
        <f>IFERROR(VLOOKUP($B23,'LOD 300 - COLO1'!$B:BO,66,FALSE),"N/A")</f>
        <v>1</v>
      </c>
      <c r="CB23" s="86">
        <f>IFERROR(VLOOKUP($B23,'LOD 300 - COLO1'!$B:BR,69,FALSE),"N/A")</f>
        <v>1</v>
      </c>
      <c r="CC23" s="86">
        <f>IFERROR(VLOOKUP($B23,'LOD 300 - COLO1'!$B:BU,72,FALSE),"N/A")</f>
        <v>1</v>
      </c>
      <c r="CD23" s="86">
        <f>IFERROR(VLOOKUP($B23,'LOD 300 - COLO1'!$B:BX,75,FALSE),"N/A")</f>
        <v>1</v>
      </c>
      <c r="CE23" s="86">
        <f>IFERROR(VLOOKUP($B23,'LOD 300 - COLO1'!$B:CA,78,FALSE),"N/A")</f>
        <v>1</v>
      </c>
      <c r="CF23" s="87">
        <f>IFERROR(VLOOKUP($B23,'LOD 300 - COLO1'!$B:CD,81,FALSE),"N/A")</f>
        <v>1</v>
      </c>
      <c r="CG23" s="86">
        <f>IFERROR(VLOOKUP($B23,'LOD 300 - COLO1'!$B:CG,84,FALSE),"N/A")</f>
        <v>1</v>
      </c>
      <c r="CH23" s="87">
        <f>IFERROR(VLOOKUP($B23,'LOD 300 - COLO1'!$B:CJ,87,FALSE),"N/A")</f>
        <v>1</v>
      </c>
      <c r="CI23" s="88">
        <f>IFERROR(VLOOKUP($B23,'LOD 300 - COLO1'!$B:CM,90,FALSE),"N/A")</f>
        <v>1</v>
      </c>
      <c r="CJ23" s="88">
        <f>IFERROR(VLOOKUP($B23,'LOD 300 - COLO1'!$B:CP,93,FALSE),"N/A")</f>
        <v>1</v>
      </c>
      <c r="CK23" s="88">
        <f>IFERROR(VLOOKUP($B23,'LOD 300 - COLO1'!$B:CS,96,FALSE),"N/A")</f>
        <v>1</v>
      </c>
      <c r="CL23" s="88">
        <f>IFERROR(VLOOKUP($B23,'LOD 300 - COLO1'!$B:CV,99,FALSE),"N/A")</f>
        <v>1</v>
      </c>
      <c r="CM23" s="88">
        <f>IFERROR(VLOOKUP($B23,'LOD 300 - COLO1'!$B:CY,102,FALSE),"N/A")</f>
        <v>1</v>
      </c>
      <c r="CN23" s="89">
        <f>IFERROR(VLOOKUP($B23,'LOD 300 - COLO1'!$B:DB,105,FALSE),"N/A")</f>
        <v>1</v>
      </c>
      <c r="CO23" s="87">
        <f>IFERROR(VLOOKUP($B23,'LOD 300 - COLO1'!$B:EE,108,FALSE),"N/A")</f>
        <v>1</v>
      </c>
      <c r="CP23" s="87">
        <f>IFERROR(VLOOKUP($B23,'LOD 300 - COLO1'!$B:EH,111,FALSE),"N/A")</f>
        <v>1</v>
      </c>
      <c r="CQ23" s="87">
        <f>IFERROR(VLOOKUP($B23,'LOD 300 - COLO1'!$B:EK,114,FALSE),"N/A")</f>
        <v>1</v>
      </c>
      <c r="CR23" s="87">
        <f>IFERROR(VLOOKUP($B23,'LOD 300 - COLO1'!$B:EN,117,FALSE),"N/A")</f>
        <v>1</v>
      </c>
      <c r="CS23" s="87">
        <f>IFERROR(VLOOKUP($B23,'LOD 300 - COLO1'!$B:EQ,120,FALSE),"N/A")</f>
        <v>1</v>
      </c>
      <c r="CT23" s="87">
        <f>IFERROR(VLOOKUP($B23,'LOD 300 - COLO1'!$B:ET,123,FALSE),"N/A")</f>
        <v>1</v>
      </c>
      <c r="CU23" s="87">
        <f>IFERROR(VLOOKUP($B23,'LOD 300 - COLO1'!$B:EW,126,FALSE),"N/A")</f>
        <v>1</v>
      </c>
      <c r="CV23" s="87">
        <f>IFERROR(VLOOKUP($B23,'LOD 300 - COLO1'!$B:EZ,129,FALSE),"N/A")</f>
        <v>1</v>
      </c>
      <c r="CW23" s="87">
        <f>IFERROR(VLOOKUP($B23,'LOD 300 - COLO1'!$B:FC,132,FALSE),"N/A")</f>
        <v>1</v>
      </c>
      <c r="CX23" s="96">
        <f>IFERROR(__xludf.DUMMYFUNCTION("IFERROR(
  MAX(FILTER(BK23:CW23, ISNUMBER(BK23:CW23))),
  CW23
)"),1.0)</f>
        <v>1</v>
      </c>
      <c r="CY23" s="104">
        <f>IFERROR(VLOOKUP($B23,'LOD 300 - COLO2'!$B:S,18,FALSE),"N/A")</f>
        <v>0.6</v>
      </c>
      <c r="CZ23" s="117" t="str">
        <f>IFERROR(VLOOKUP($B23,'LOD 300 - COLO2'!$B:V,21,FALSE),"N/A")</f>
        <v>OUTDATED MODEL</v>
      </c>
      <c r="DA23" s="117">
        <f>IFERROR(VLOOKUP($B23,'LOD 300 - COLO2'!$B:Y,24,FALSE),"N/A")</f>
        <v>0.84</v>
      </c>
      <c r="DB23" s="117" t="str">
        <f>IFERROR(VLOOKUP($B23,'LOD 300 - COLO2'!$B:AB,27,FALSE),"N/A")</f>
        <v>OUTDATED MODEL</v>
      </c>
      <c r="DC23" s="92">
        <f>IFERROR(VLOOKUP($B23,'LOD 300 - COLO2'!$B:AE,30,FALSE),"N/A")</f>
        <v>0.92</v>
      </c>
      <c r="DD23" s="120">
        <f>IFERROR(VLOOKUP($B23,'LOD 300 - COLO2'!$B:AH,33,FALSE),"N/A")</f>
        <v>1</v>
      </c>
      <c r="DE23" s="117">
        <f>IFERROR(VLOOKUP($B23,'LOD 300 - COLO2'!$B:AK,36,FALSE),"N/A")</f>
        <v>1</v>
      </c>
      <c r="DF23" s="117">
        <f>IFERROR(VLOOKUP($B23,'LOD 300 - COLO2'!$B:AN,39,FALSE),"N/A")</f>
        <v>1</v>
      </c>
      <c r="DG23" s="119">
        <f>IFERROR(VLOOKUP($B23,'LOD 300 - COLO2'!$B:AQ,42,FALSE),"N/A")</f>
        <v>1</v>
      </c>
      <c r="DH23" s="87">
        <f>IFERROR(VLOOKUP($B23,'LOD 300 - COLO2'!$B:AT,45,FALSE),"N/A")</f>
        <v>1</v>
      </c>
      <c r="DI23" s="94">
        <f>IFERROR(VLOOKUP($B23,'LOD 300 - COLO2'!$B:AW,48,FALSE),"N/A")</f>
        <v>1</v>
      </c>
      <c r="DJ23" s="95">
        <f>IFERROR(VLOOKUP($B23,'LOD 300 - COLO2'!$B:AZ,51,FALSE),"N/A")</f>
        <v>1</v>
      </c>
      <c r="DK23" s="86">
        <f>IFERROR(VLOOKUP($B23,'LOD 300 - COLO2'!$B:BC,54,FALSE),"N/A")</f>
        <v>1</v>
      </c>
      <c r="DL23" s="86">
        <f>IFERROR(VLOOKUP($B23,'LOD 300 - COLO2'!$B:BF,57,FALSE),"N/A")</f>
        <v>1</v>
      </c>
      <c r="DM23" s="86">
        <f>IFERROR(VLOOKUP($B23,'LOD 300 - COLO2'!$B:BI,60,FALSE),"N/A")</f>
        <v>1</v>
      </c>
      <c r="DN23" s="86">
        <f>IFERROR(VLOOKUP($B23,'LOD 300 - COLO2'!$B:BL,63,FALSE),"N/A")</f>
        <v>1</v>
      </c>
      <c r="DO23" s="86">
        <f>IFERROR(VLOOKUP($B23,'LOD 300 - COLO2'!$B:BO,66,FALSE),"N/A")</f>
        <v>1</v>
      </c>
      <c r="DP23" s="87">
        <f>IFERROR(VLOOKUP($B23,'LOD 300 - COLO2'!$B:BR,69,FALSE),"N/A")</f>
        <v>1</v>
      </c>
      <c r="DQ23" s="87">
        <f>IFERROR(VLOOKUP($B23,'LOD 300 - COLO2'!$B:BU,72,FALSE),"N/A")</f>
        <v>1</v>
      </c>
      <c r="DR23" s="87">
        <f>IFERROR(VLOOKUP($B23,'LOD 300 - COLO2'!$B:BX,75,FALSE),"N/A")</f>
        <v>1</v>
      </c>
      <c r="DS23" s="98">
        <f>IFERROR(VLOOKUP($B23,'LOD 300 - COLO2'!$B:CA,78,FALSE),"N/A")</f>
        <v>1</v>
      </c>
      <c r="DT23" s="98">
        <f>IFERROR(VLOOKUP($B23,'LOD 300 - COLO2'!$B:CD,81,FALSE),"N/A")</f>
        <v>1</v>
      </c>
      <c r="DU23" s="98">
        <f>IFERROR(VLOOKUP($B23,'LOD 300 - COLO2'!$B:CG,84,FALSE),"N/A")</f>
        <v>1</v>
      </c>
      <c r="DV23" s="98">
        <f>IFERROR(VLOOKUP($B23,'LOD 300 - COLO2'!$B:CJ,87,FALSE),"N/A")</f>
        <v>1</v>
      </c>
      <c r="DW23" s="98">
        <f>IFERROR(VLOOKUP($B23,'LOD 300 - COLO2'!$B:CM,90,FALSE),"N/A")</f>
        <v>1</v>
      </c>
      <c r="DX23" s="98">
        <f>IFERROR(VLOOKUP($B23,'LOD 300 - COLO2'!$B:CP,93,FALSE),"N/A")</f>
        <v>1</v>
      </c>
      <c r="DY23" s="87">
        <f>IFERROR(VLOOKUP($B23,'LOD 300 - COLO2'!$B:CS,96,FALSE),"N/A")</f>
        <v>1</v>
      </c>
      <c r="DZ23" s="87">
        <f>IFERROR(VLOOKUP($B23,'LOD 300 - COLO2'!$B:CV,99,FALSE),"N/A")</f>
        <v>1</v>
      </c>
      <c r="EA23" s="87">
        <f>IFERROR(VLOOKUP($B23,'LOD 300 - COLO2'!$B:DB,105,FALSE),"N/A")</f>
        <v>1</v>
      </c>
      <c r="EB23" s="87">
        <f>IFERROR(VLOOKUP($B23,'LOD 300 - COLO2'!$B:DB,105,FALSE),"N/A")</f>
        <v>1</v>
      </c>
      <c r="EC23" s="87">
        <f>IFERROR(VLOOKUP($B23,'LOD 300 - COLO2'!$B:DE,108,FALSE),"N/A")</f>
        <v>1</v>
      </c>
      <c r="ED23" s="87">
        <f>IFERROR(VLOOKUP($B23,'LOD 300 - COLO2'!$B:DH,111,FALSE),"N/A")</f>
        <v>1</v>
      </c>
      <c r="EE23" s="87">
        <f>IFERROR(VLOOKUP($B23,'LOD 300 - COLO2'!$B:DK,114,FALSE),"N/A")</f>
        <v>1</v>
      </c>
      <c r="EF23" s="87">
        <f>IFERROR(VLOOKUP($B23,'LOD 300 - COLO2'!$B:DN,117,FALSE),"N/A")</f>
        <v>1</v>
      </c>
      <c r="EG23" s="87">
        <f>IFERROR(VLOOKUP($B23,'LOD 300 - COLO2'!$B:DQ,120,FALSE),"N/A")</f>
        <v>1</v>
      </c>
      <c r="EH23" s="99">
        <f>IFERROR(__xludf.DUMMYFUNCTION("IFERROR(
  MAX(FILTER(CZ23:EG23, ISNUMBER(CZ23:EG23))),
  EG23
)"),1.0)</f>
        <v>1</v>
      </c>
      <c r="EI23" s="100" t="str">
        <f>IFERROR(VLOOKUP($B23,'LOD 300 - COLO3'!$B:R,17,FALSE),"N/A")</f>
        <v>N/A</v>
      </c>
      <c r="EJ23" s="127" t="str">
        <f>IFERROR(VLOOKUP($B23,'LOD 300 - COLO3'!$B:U,20,FALSE),"N/A")</f>
        <v>N/A</v>
      </c>
      <c r="EK23" s="127" t="str">
        <f>IFERROR(VLOOKUP($B23,'LOD 300 - COLO3'!$B:X,23,FALSE),"N/A")</f>
        <v>N/A</v>
      </c>
      <c r="EL23" s="127" t="str">
        <f>IFERROR(VLOOKUP($B23,'LOD 300 - COLO3'!$B:AA,26,FALSE),"N/A")</f>
        <v>N/A</v>
      </c>
      <c r="EM23" s="127" t="str">
        <f>IFERROR(VLOOKUP($B23,'LOD 300 - COLO3'!$B:AD,29,FALSE),"N/A")</f>
        <v>N/A</v>
      </c>
      <c r="EN23" s="127" t="str">
        <f>IFERROR(VLOOKUP($B23,'LOD 300 - COLO3'!$B:AG,32,FALSE),"N/A")</f>
        <v>N/A</v>
      </c>
      <c r="EO23" s="127" t="str">
        <f>IFERROR(VLOOKUP($B23,'LOD 300 - COLO3'!$B:AJ,35,FALSE),"N/A")</f>
        <v>N/A</v>
      </c>
      <c r="EP23" s="100" t="str">
        <f>IFERROR(VLOOKUP($B23,'LOD 300 - COLO3'!$B:AM,38,FALSE),"N/A")</f>
        <v>N/A</v>
      </c>
      <c r="EQ23" s="100" t="str">
        <f>IFERROR(VLOOKUP($B23,'LOD 300 - COLO3'!$B:AP,41,FALSE),"N/A")</f>
        <v>N/A</v>
      </c>
      <c r="ER23" s="100" t="str">
        <f>IFERROR(VLOOKUP($B23,'LOD 300 - COLO3'!$B:AS,44,FALSE),"N/A")</f>
        <v>N/A</v>
      </c>
      <c r="ES23" s="100" t="str">
        <f>IFERROR(VLOOKUP($B23,'LOD 300 - COLO3'!$B:AV,47,FALSE),"N/A")</f>
        <v>N/A</v>
      </c>
      <c r="ET23" s="100" t="str">
        <f>IFERROR(VLOOKUP($B23,'LOD 300 - COLO3'!$B:AY,50,FALSE),"N/A")</f>
        <v>N/A</v>
      </c>
      <c r="EU23" s="100" t="str">
        <f>IFERROR(VLOOKUP($B23,'LOD 300 - COLO3'!$B:BB,53,FALSE),"N/A")</f>
        <v>N/A</v>
      </c>
      <c r="EV23" s="100" t="str">
        <f>IFERROR(VLOOKUP($B23,'LOD 300 - COLO3'!$B:BE,56,FALSE),"N/A")</f>
        <v>N/A</v>
      </c>
      <c r="EW23" s="100" t="str">
        <f>IFERROR(VLOOKUP($B23,'LOD 300 - COLO3'!$B:BL,59,FALSE),"N/A")</f>
        <v>N/A</v>
      </c>
      <c r="EX23" s="100" t="str">
        <f>IFERROR(VLOOKUP($B23,'LOD 300 - COLO3'!$B:BO,62,FALSE),"N/A")</f>
        <v>N/A</v>
      </c>
      <c r="EY23" s="103" t="str">
        <f>IFERROR(__xludf.DUMMYFUNCTION("IFERROR(
  MAX(FILTER(EI23:EX23, ISNUMBER(EI23:EX23))),
  EX23
)"),"N/A")</f>
        <v>N/A</v>
      </c>
      <c r="EZ23" s="104">
        <f>IFERROR(VLOOKUP($B23,'LOD 300 - COLO4'!$B:BT,17,FALSE),"N/A")</f>
        <v>0</v>
      </c>
      <c r="FA23" s="103">
        <f>IFERROR(__xludf.DUMMYFUNCTION("IFERROR(
  MAX(FILTER(EZ23, ISNUMBER(EZ23))),
  EZ23
)"),0.0)</f>
        <v>0</v>
      </c>
      <c r="FB23" s="121" t="str">
        <f>IFERROR(VLOOKUP($B23,'LOD 300 - SITE'!$B:S,18,FALSE),"N/A")</f>
        <v>N/A</v>
      </c>
      <c r="FC23" s="122" t="str">
        <f>IFERROR(VLOOKUP($B23,'LOD 300 - SITE'!$B:V,21,FALSE),"N/A")</f>
        <v>N/A</v>
      </c>
      <c r="FD23" s="122" t="str">
        <f>IFERROR(VLOOKUP($B23,'LOD 300 - SITE'!$B:Y,24,FALSE),"N/A")</f>
        <v>N/A</v>
      </c>
      <c r="FE23" s="122" t="str">
        <f>IFERROR(VLOOKUP($B23,'LOD 300 - SITE'!$B:AB,27,FALSE),"N/A")</f>
        <v>N/A</v>
      </c>
      <c r="FF23" s="122" t="str">
        <f>IFERROR(VLOOKUP($B23,'LOD 300 - SITE'!$B:AE,30,FALSE),"N/A")</f>
        <v>N/A</v>
      </c>
      <c r="FG23" s="122" t="str">
        <f>IFERROR(VLOOKUP($B23,'LOD 300 - SITE'!$B:AH,33,FALSE),"N/A")</f>
        <v>N/A</v>
      </c>
      <c r="FH23" s="122" t="str">
        <f>IFERROR(VLOOKUP($B23,'LOD 300 - SITE'!$B:AK,36,FALSE),"N/A")</f>
        <v>N/A</v>
      </c>
      <c r="FI23" s="122" t="str">
        <f>IFERROR(VLOOKUP($B23,'LOD 300 - SITE'!$B:AN,39,FALSE),"N/A")</f>
        <v>N/A</v>
      </c>
      <c r="FJ23" s="122" t="str">
        <f>IFERROR(VLOOKUP($B23,'LOD 300 - SITE'!$B:AQ,42,FALSE),"N/A")</f>
        <v>N/A</v>
      </c>
      <c r="FK23" s="122" t="str">
        <f>IFERROR(VLOOKUP($B23,'LOD 300 - SITE'!$B:AT,45,FALSE),"N/A")</f>
        <v>N/A</v>
      </c>
      <c r="FL23" s="123" t="str">
        <f>IFERROR(VLOOKUP($B23,'LOD 300 - SITE'!$B:AW,48,FALSE),"N/A")</f>
        <v>N/A</v>
      </c>
      <c r="FM23" s="87" t="str">
        <f>IFERROR(VLOOKUP($B23,'LOD 300 - SITE'!$B:AZ,51,FALSE),"N/A")</f>
        <v>N/A</v>
      </c>
      <c r="FN23" s="94" t="str">
        <f>IFERROR(VLOOKUP($B23,'LOD 300 - SITE'!$B:BC,54,FALSE),"N/A")</f>
        <v>N/A</v>
      </c>
      <c r="FO23" s="95" t="str">
        <f>IFERROR(VLOOKUP($B23,'LOD 300 - SITE'!$B:BF,57,FALSE),"N/A")</f>
        <v>N/A</v>
      </c>
      <c r="FP23" s="86" t="str">
        <f>IFERROR(VLOOKUP($B23,'LOD 300 - SITE'!$B:BI,60,FALSE),"N/A")</f>
        <v>N/A</v>
      </c>
      <c r="FQ23" s="86" t="str">
        <f>IFERROR(VLOOKUP($B23,'LOD 300 - SITE'!$B:BL,63,FALSE),"N/A")</f>
        <v>N/A</v>
      </c>
      <c r="FR23" s="86" t="str">
        <f>IFERROR(VLOOKUP($B23,'LOD 300 - SITE'!$B:BO,66,FALSE),"N/A")</f>
        <v>N/A</v>
      </c>
      <c r="FS23" s="86" t="str">
        <f>IFERROR(VLOOKUP($B23,'LOD 300 - SITE'!$B:BR,69,FALSE),"N/A")</f>
        <v>N/A</v>
      </c>
      <c r="FT23" s="86" t="str">
        <f>IFERROR(VLOOKUP($B23,'LOD 300 - SITE'!$B:BU,72,FALSE),"N/A")</f>
        <v>N/A</v>
      </c>
      <c r="FU23" s="86" t="str">
        <f>IFERROR(VLOOKUP($B23,'LOD 300 - SITE'!$B:BX,75,FALSE),"N/A")</f>
        <v>N/A</v>
      </c>
      <c r="FV23" s="86" t="str">
        <f>IFERROR(VLOOKUP($B23,'LOD 300 - SITE'!$B:CA,78,FALSE),"N/A")</f>
        <v>N/A</v>
      </c>
      <c r="FW23" s="87" t="str">
        <f>IFERROR(VLOOKUP($B23,'LOD 300 - SITE'!$B:CD,81,FALSE),"N/A")</f>
        <v>N/A</v>
      </c>
      <c r="FX23" s="108" t="str">
        <f>IFERROR(VLOOKUP($B23,'LOD 300 - SITE'!$B:CG,84,FALSE),"N/A")</f>
        <v>N/A</v>
      </c>
      <c r="FY23" s="108" t="str">
        <f>IFERROR(VLOOKUP($B23,'LOD 300 - SITE'!$B:CJ,87,FALSE),"N/A")</f>
        <v>N/A</v>
      </c>
      <c r="FZ23" s="108" t="str">
        <f>IFERROR(VLOOKUP($B23,'LOD 300 - SITE'!$B:CM,90,FALSE),"N/A")</f>
        <v>N/A</v>
      </c>
      <c r="GA23" s="108" t="str">
        <f>IFERROR(VLOOKUP($B23,'LOD 300 - SITE'!$B:CP,93,FALSE),"N/A")</f>
        <v>N/A</v>
      </c>
      <c r="GB23" s="108" t="str">
        <f>IFERROR(VLOOKUP($B23,'LOD 300 - SITE'!$B:CS,96,FALSE),"N/A")</f>
        <v>N/A</v>
      </c>
      <c r="GC23" s="109" t="str">
        <f>IFERROR(VLOOKUP($B23,'LOD 300 - SITE'!$B:CV,99,FALSE),"N/A")</f>
        <v>N/A</v>
      </c>
      <c r="GD23" s="87" t="str">
        <f>IFERROR(VLOOKUP($B23,'LOD 300 - SITE'!$B:CY,102,FALSE),"N/A")</f>
        <v>N/A</v>
      </c>
      <c r="GE23" s="87" t="str">
        <f>IFERROR(VLOOKUP($B23,'LOD 300 - SITE'!$B:DB,105,FALSE),"N/A")</f>
        <v>N/A</v>
      </c>
      <c r="GF23" s="87" t="str">
        <f>IFERROR(VLOOKUP($B23,'LOD 300 - SITE'!$B:DE,108,FALSE),"N/A")</f>
        <v>N/A</v>
      </c>
      <c r="GG23" s="87" t="str">
        <f>IFERROR(VLOOKUP($B23,'LOD 300 - SITE'!$B:DH,111,FALSE),"N/A")</f>
        <v>N/A</v>
      </c>
      <c r="GH23" s="87" t="str">
        <f>IFERROR(VLOOKUP($B23,'LOD 300 - SITE'!$B:DK,114,FALSE),"N/A")</f>
        <v>N/A</v>
      </c>
      <c r="GI23" s="87" t="str">
        <f>IFERROR(VLOOKUP($B23,'LOD 300 - SITE'!$B:DN,117,FALSE),"N/A")</f>
        <v>N/A</v>
      </c>
      <c r="GJ23" s="87" t="str">
        <f>IFERROR(VLOOKUP($B23,'LOD 300 - SITE'!$B:DQ,120,FALSE),"N/A")</f>
        <v>N/A</v>
      </c>
      <c r="GK23" s="87" t="str">
        <f>IFERROR(VLOOKUP($B23,'LOD 300 - SITE'!$B:DT,123,FALSE),"N/A")</f>
        <v>N/A</v>
      </c>
      <c r="GL23" s="87" t="str">
        <f>IFERROR(VLOOKUP($B23,'LOD 300 - SITE'!$B:DW,126,FALSE),"N/A")</f>
        <v>N/A</v>
      </c>
      <c r="GM23" s="110" t="str">
        <f>IFERROR(__xludf.DUMMYFUNCTION("IFERROR(
  MAX(FILTER(FB23:GL23, ISNUMBER(FB23:GL23))),
  GL23
)"),"N/A")</f>
        <v>N/A</v>
      </c>
      <c r="GN23" s="111"/>
      <c r="GO23" s="111"/>
      <c r="GP23" s="111"/>
    </row>
    <row r="24" ht="15.0" customHeight="1" outlineLevel="1">
      <c r="A24" s="60">
        <v>27.0</v>
      </c>
      <c r="B24" s="140" t="s">
        <v>147</v>
      </c>
      <c r="C24" s="70" t="s">
        <v>148</v>
      </c>
      <c r="D24" s="71" t="s">
        <v>85</v>
      </c>
      <c r="E24" s="146" t="s">
        <v>115</v>
      </c>
      <c r="F24" s="149">
        <v>0.0</v>
      </c>
      <c r="G24" s="150" t="s">
        <v>115</v>
      </c>
      <c r="H24" s="150">
        <v>0.0</v>
      </c>
      <c r="I24" s="74" t="str">
        <f>IFERROR(VLOOKUP(C21:C163,'R22 RELATÓRIO ACC'!B:F,5,FALSE),"NOT PUBLISHED")</f>
        <v>NOT PUBLISHED</v>
      </c>
      <c r="J24" s="74" t="str">
        <f>IFERROR(VLOOKUP(C21:C163,'R22 RELATÓRIO ACC'!B:P,15,FALSE),"NOT PUBLISHED")</f>
        <v>NOT PUBLISHED</v>
      </c>
      <c r="K24" s="141" t="str">
        <f>IFERROR(VLOOKUP(B21:B213,'RELATÓRIO ACC'!B:F,5,FALSE),"NOT PUBLISHED")</f>
        <v>NOT PUBLISHED</v>
      </c>
      <c r="L24" s="142" t="str">
        <f>IFERROR(VLOOKUP(B21:B213,'RELATÓRIO ACC'!B:P,15,FALSE),"NOT PUBLISHED")</f>
        <v>NOT PUBLISHED</v>
      </c>
      <c r="M24" s="76" t="str">
        <f>IF(OR($D24="UTLS",$D24="GUAR",$D24="STIR",$D24="PUMP",$D24="SITE"),
   VLOOKUP($B24,'LOD 300 - SITE'!B:M,12,FALSE),
   VLOOKUP($B24,'LOD 300 - ADMN'!B:M,12,FALSE)
)</f>
        <v>NOT PUBLISHED</v>
      </c>
      <c r="N24" s="76" t="str">
        <f>IF(OR($D24="UTLS",$D24="GUAR",$D24="STIR",$D24="PUMP",$D24="SITE"),
   VLOOKUP($B24,'LOD 300 - SITE'!B:N,13,FALSE),
   VLOOKUP($B24,'LOD 300 - ADMN'!B:N,13,FALSE)
)</f>
        <v>NOT PUBLISHED</v>
      </c>
      <c r="O24" s="78" t="str">
        <f>IF(OR($D24="UTLS",$D24="GUAR",$D24="STIR",$D24="PUMP",$D24="SITE"),
   VLOOKUP($B24,'LOD 300 - SITE'!B:O,14,FALSE),
   VLOOKUP($B24,'LOD 300 - ADMN'!B:O,14,FALSE)
)</f>
        <v>NOT PUBLISHED</v>
      </c>
      <c r="P24" s="79" t="str">
        <f>IF(OR($D24="C345",$D24="C12A",$D24="DATA"),
   VLOOKUP($B24,'LOD 300 - COLO3'!B:M,12,FALSE),"N/A")</f>
        <v>NOT PUBLISHED</v>
      </c>
      <c r="Q24" s="76" t="str">
        <f>IF(OR($D24="C345",$D24="C12A",$D24="DATA"),
   VLOOKUP($B24,'LOD 300 - COLO3'!B:N,13,FALSE),"N/A")</f>
        <v>NOT PUBLISHED</v>
      </c>
      <c r="R24" s="76" t="str">
        <f>IF(OR($D24="C345",$D24="C12A",$D24="DATA"),
   VLOOKUP($B24,'LOD 300 - COLO3'!B:O,14,FALSE),"N/A")</f>
        <v>NOT PUBLISHED</v>
      </c>
      <c r="S24" s="79" t="str">
        <f>IF(OR($D24="C345",$D24="C12A",$D24="DATA"),
   VLOOKUP($B24,'LOD 300 - COLO4'!B:M,12,FALSE),"N/A")</f>
        <v>N/A</v>
      </c>
      <c r="T24" s="76" t="str">
        <f>IF(OR($D24="C345",$D24="C12A",$D24="DATA"),
   VLOOKUP($B24,'LOD 300 - COLO4'!B:T,13,FALSE),"N/A")</f>
        <v>N/A</v>
      </c>
      <c r="U24" s="76" t="str">
        <f>IF(OR($D24="C345",$D24="C12A",$D24="DATA"),
   VLOOKUP($B24,'LOD 300 - COLO4'!B:U,17,FALSE),"N/A")</f>
        <v>NOT PUBLISHED</v>
      </c>
      <c r="V24" s="126"/>
      <c r="W24" s="144" t="str">
        <f>IFERROR(VLOOKUP($B24,'LOD 300 - ADMN'!$B:S,18,FALSE),"N/A")</f>
        <v>NOT PUBLISHED</v>
      </c>
      <c r="X24" s="122" t="str">
        <f>IFERROR(VLOOKUP($B24,'LOD 300 - ADMN'!$B:V,21,FALSE),"N/A")</f>
        <v>NOT PUBLISHED</v>
      </c>
      <c r="Y24" s="122" t="str">
        <f>IFERROR(VLOOKUP($B24,'LOD 300 - ADMN'!$B:Y,24,FALSE),"N/A")</f>
        <v>NOT PUBLISHED</v>
      </c>
      <c r="Z24" s="122" t="str">
        <f>IFERROR(VLOOKUP($B24,'LOD 300 - ADMN'!$B:AB,27,FALSE),"N/A")</f>
        <v>NOT PUBLISHED</v>
      </c>
      <c r="AA24" s="122" t="str">
        <f>IFERROR(VLOOKUP($B24,'LOD 300 - ADMN'!$B:AE,30,FALSE),"N/A")</f>
        <v>NOT PUBLISHED</v>
      </c>
      <c r="AB24" s="145" t="str">
        <f>IFERROR(VLOOKUP($B24,'LOD 300 - ADMN'!$B:AH,33,FALSE),"N/A")</f>
        <v>NOT PUBLISHED</v>
      </c>
      <c r="AC24" s="145" t="str">
        <f>IFERROR(VLOOKUP($B24,'LOD 300 - ADMN'!$B:AK,36,FALSE),"N/A")</f>
        <v>NOT PUBLISHED</v>
      </c>
      <c r="AD24" s="122" t="str">
        <f>IFERROR(VLOOKUP($B24,'LOD 300 - ADMN'!$B:AN,39,FALSE),"N/A")</f>
        <v>NOT PUBLISHED</v>
      </c>
      <c r="AE24" s="122" t="str">
        <f>IFERROR(VLOOKUP($B24,'LOD 300 - ADMN'!$B:AQ,42,FALSE),"N/A")</f>
        <v>NOT PUBLISHED</v>
      </c>
      <c r="AF24" s="122" t="str">
        <f>IFERROR(VLOOKUP($B24,'LOD 300 - ADMN'!$B:AT,45,FALSE),"N/A")</f>
        <v>NOT PUBLISHED</v>
      </c>
      <c r="AG24" s="122" t="str">
        <f>IFERROR(VLOOKUP($B24,'LOD 300 - ADMN'!$B:AW,48,FALSE),"N/A")</f>
        <v>NOT PUBLISHED</v>
      </c>
      <c r="AH24" s="122" t="str">
        <f>IFERROR(VLOOKUP($B24,'LOD 300 - ADMN'!$B:AZ,51,FALSE),"N/A")</f>
        <v>NOT PUBLISHED</v>
      </c>
      <c r="AI24" s="122" t="str">
        <f>IFERROR(VLOOKUP($B24,'LOD 300 - ADMN'!$B:BC,54,FALSE),"N/A")</f>
        <v>NOT PUBLISHED</v>
      </c>
      <c r="AJ24" s="87" t="str">
        <f>IFERROR(VLOOKUP($B24,'LOD 300 - ADMN'!$B:BF,57,FALSE),"N/A")</f>
        <v>NOT PUBLISHED</v>
      </c>
      <c r="AK24" s="87" t="str">
        <f>IFERROR(VLOOKUP($B24,'LOD 300 - ADMN'!$B:EP,60,FALSE),"N/A")</f>
        <v>NOT PUBLISHED</v>
      </c>
      <c r="AL24" s="87" t="str">
        <f>IFERROR(VLOOKUP($B24,'LOD 300 - ADMN'!$B:EQ,63,FALSE),"N/A")</f>
        <v>NOT PUBLISHED</v>
      </c>
      <c r="AM24" s="87" t="str">
        <f>IFERROR(VLOOKUP($B24,'LOD 300 - ADMN'!$B:BO,66,FALSE),"N/A")</f>
        <v>NOT PUBLISHED</v>
      </c>
      <c r="AN24" s="87" t="str">
        <f>IFERROR(VLOOKUP($B24,'LOD 300 - ADMN'!$B:BR,69,FALSE),"N/A")</f>
        <v>NOT PUBLISHED</v>
      </c>
      <c r="AO24" s="87" t="str">
        <f>IFERROR(VLOOKUP($B24,'LOD 300 - ADMN'!$B:BU,72,FALSE),"N/A")</f>
        <v>NOT PUBLISHED</v>
      </c>
      <c r="AP24" s="87" t="str">
        <f>IFERROR(VLOOKUP($B24,'LOD 300 - ADMN'!$B:BX,75,FALSE),"N/A")</f>
        <v>NOT PUBLISHED</v>
      </c>
      <c r="AQ24" s="87" t="str">
        <f>IFERROR(VLOOKUP($B24,'LOD 300 - ADMN'!$B:CA,78,FALSE),"N/A")</f>
        <v>NOT PUBLISHED</v>
      </c>
      <c r="AR24" s="87" t="str">
        <f>IFERROR(VLOOKUP($B24,'LOD 300 - ADMN'!$B:CD,81,FALSE),"N/A")</f>
        <v>NOT PUBLISHED</v>
      </c>
      <c r="AS24" s="87" t="str">
        <f>IFERROR(VLOOKUP($B24,'LOD 300 - ADMN'!$B:CG,84,FALSE),"N/A")</f>
        <v>NOT PUBLISHED</v>
      </c>
      <c r="AT24" s="87" t="str">
        <f>IFERROR(VLOOKUP($B24,'LOD 300 - ADMN'!$B:CJ,87,FALSE),"N/A")</f>
        <v>NOT PUBLISHED</v>
      </c>
      <c r="AU24" s="88" t="str">
        <f>IFERROR(VLOOKUP($B24,'LOD 300 - ADMN'!$B:CM,90,FALSE),"N/A")</f>
        <v>NOT PUBLISHED</v>
      </c>
      <c r="AV24" s="88" t="str">
        <f>IFERROR(VLOOKUP($B24,'LOD 300 - ADMN'!$B:CP,93,FALSE),"N/A")</f>
        <v>NOT PUBLISHED</v>
      </c>
      <c r="AW24" s="88" t="str">
        <f>IFERROR(VLOOKUP($B24,'LOD 300 - ADMN'!$B:CS,96,FALSE),"N/A")</f>
        <v>NOT PUBLISHED</v>
      </c>
      <c r="AX24" s="88" t="str">
        <f>IFERROR(VLOOKUP($B24,'LOD 300 - ADMN'!$B:CV,99,FALSE),"N/A")</f>
        <v>NOT PUBLISHED</v>
      </c>
      <c r="AY24" s="88" t="str">
        <f>IFERROR(VLOOKUP($B24,'LOD 300 - ADMN'!$B:CY,102,FALSE),"N/A")</f>
        <v>NOT PUBLISHED</v>
      </c>
      <c r="AZ24" s="88" t="str">
        <f>IFERROR(VLOOKUP($B24,'LOD 300 - ADMN'!$B:DB,105,FALSE),"N/A")</f>
        <v>NOT PUBLISHED</v>
      </c>
      <c r="BA24" s="87" t="str">
        <f>IFERROR(VLOOKUP($B24,'LOD 300 - ADMN'!$B:DE,108,FALSE),"N/A")</f>
        <v>NOT PUBLISHED</v>
      </c>
      <c r="BB24" s="87" t="str">
        <f>IFERROR(VLOOKUP($B24,'LOD 300 - ADMN'!$B:DH,111,FALSE),"N/A")</f>
        <v>NOT PUBLISHED</v>
      </c>
      <c r="BC24" s="87" t="str">
        <f>IFERROR(VLOOKUP($B24,'LOD 300 - ADMN'!$B:DK,114,FALSE),"N/A")</f>
        <v>NOT PUBLISHED</v>
      </c>
      <c r="BD24" s="87" t="str">
        <f>IFERROR(VLOOKUP($B24,'LOD 300 - ADMN'!$B:DN,117,FALSE),"N/A")</f>
        <v>NOT PUBLISHED</v>
      </c>
      <c r="BE24" s="87" t="str">
        <f>IFERROR(VLOOKUP($B24,'LOD 300 - ADMN'!$B:DQ,120,FALSE),"N/A")</f>
        <v>NOT PUBLISHED</v>
      </c>
      <c r="BF24" s="87" t="str">
        <f>IFERROR(VLOOKUP($B24,'LOD 300 - ADMN'!$B:DT,123,FALSE),"N/A")</f>
        <v>NOT PUBLISHED</v>
      </c>
      <c r="BG24" s="87" t="str">
        <f>IFERROR(VLOOKUP($B24,'LOD 300 - ADMN'!$B:DW,126,FALSE),"N/A")</f>
        <v>NOT PUBLISHED</v>
      </c>
      <c r="BH24" s="87" t="str">
        <f>IFERROR(VLOOKUP($B24,'LOD 300 - ADMN'!$B:DZ,129,FALSE),"N/A")</f>
        <v>NOT PUBLISHED</v>
      </c>
      <c r="BI24" s="134"/>
      <c r="BJ24" s="90" t="str">
        <f>IFERROR(__xludf.DUMMYFUNCTION("IFERROR(
  MAX(FILTER(X24:BH24, ISNUMBER(X24:BH24))),
  BH24
)"),"NOT PUBLISHED")</f>
        <v>NOT PUBLISHED</v>
      </c>
      <c r="BK24" s="91" t="str">
        <f>IFERROR(VLOOKUP($B24,'LOD 300 - COLO1'!$B:S,18,FALSE),"N/A")</f>
        <v>NOT PUBLISHED</v>
      </c>
      <c r="BL24" s="92" t="str">
        <f>IFERROR(VLOOKUP($B24,'LOD 300 - COLO1'!$B:V,21,FALSE),"N/A")</f>
        <v>NOT PUBLISHED</v>
      </c>
      <c r="BM24" s="92" t="str">
        <f>IFERROR(VLOOKUP($B24,'LOD 300 - COLO1'!$B:Y,24,FALSE),"N/A")</f>
        <v>NOT PUBLISHED</v>
      </c>
      <c r="BN24" s="92" t="str">
        <f>IFERROR(VLOOKUP($B24,'LOD 300 - COLO1'!$B:AB,27,FALSE),"N/A")</f>
        <v>NOT PUBLISHED</v>
      </c>
      <c r="BO24" s="92" t="str">
        <f>IFERROR(VLOOKUP($B24,'LOD 300 - COLO1'!$B:AE,30,FALSE),"N/A")</f>
        <v>NOT PUBLISHED</v>
      </c>
      <c r="BP24" s="92" t="str">
        <f>IFERROR(VLOOKUP($B24,'LOD 300 - COLO1'!$B:AH,33,FALSE),"N/A")</f>
        <v>NOT PUBLISHED</v>
      </c>
      <c r="BQ24" s="92" t="str">
        <f>IFERROR(VLOOKUP($B24,'LOD 300 - COLO1'!$B:AK,36,FALSE),"N/A")</f>
        <v>NOT PUBLISHED</v>
      </c>
      <c r="BR24" s="92" t="str">
        <f>IFERROR(VLOOKUP($B24,'LOD 300 - COLO1'!$B:AN,39,FALSE),"N/A")</f>
        <v>NOT PUBLISHED</v>
      </c>
      <c r="BS24" s="92" t="str">
        <f>IFERROR(VLOOKUP($B24,'LOD 300 - COLO1'!$B:AQ,42,FALSE),"N/A")</f>
        <v>NOT PUBLISHED</v>
      </c>
      <c r="BT24" s="92" t="str">
        <f>IFERROR(VLOOKUP($B24,'LOD 300 - COLO1'!$B:AT,45,FALSE),"N/A")</f>
        <v>NOT PUBLISHED</v>
      </c>
      <c r="BU24" s="92" t="str">
        <f>IFERROR(VLOOKUP($B24,'LOD 300 - COLO1'!$B:AW,48,FALSE),"N/A")</f>
        <v>NOT PUBLISHED</v>
      </c>
      <c r="BV24" s="92" t="str">
        <f>IFERROR(VLOOKUP($B24,'LOD 300 - COLO1'!$B:AZ,51,FALSE),"N/A")</f>
        <v>NOT PUBLISHED</v>
      </c>
      <c r="BW24" s="92" t="str">
        <f>IFERROR(VLOOKUP($B24,'LOD 300 - COLO1'!$B:BC,54,FALSE),"N/A")</f>
        <v>NOT PUBLISHED</v>
      </c>
      <c r="BX24" s="94" t="str">
        <f>IFERROR(VLOOKUP($B24,'LOD 300 - COLO1'!$B:BF,57,FALSE),"N/A")</f>
        <v>NOT PUBLISHED</v>
      </c>
      <c r="BY24" s="94" t="str">
        <f>IFERROR(VLOOKUP($B24,'LOD 300 - COLO1'!$B:BI,60,FALSE),"N/A")</f>
        <v>NOT PUBLISHED</v>
      </c>
      <c r="BZ24" s="95" t="str">
        <f>IFERROR(VLOOKUP($B24,'LOD 300 - COLO1'!$B:BL,63,FALSE),"N/A")</f>
        <v>NOT PUBLISHED</v>
      </c>
      <c r="CA24" s="86" t="str">
        <f>IFERROR(VLOOKUP($B24,'LOD 300 - COLO1'!$B:BO,66,FALSE),"N/A")</f>
        <v>NOT PUBLISHED</v>
      </c>
      <c r="CB24" s="86" t="str">
        <f>IFERROR(VLOOKUP($B24,'LOD 300 - COLO1'!$B:BR,69,FALSE),"N/A")</f>
        <v>NOT PUBLISHED</v>
      </c>
      <c r="CC24" s="86" t="str">
        <f>IFERROR(VLOOKUP($B24,'LOD 300 - COLO1'!$B:BU,72,FALSE),"N/A")</f>
        <v>NOT PUBLISHED</v>
      </c>
      <c r="CD24" s="86" t="str">
        <f>IFERROR(VLOOKUP($B24,'LOD 300 - COLO1'!$B:BX,75,FALSE),"N/A")</f>
        <v>NOT PUBLISHED</v>
      </c>
      <c r="CE24" s="86" t="str">
        <f>IFERROR(VLOOKUP($B24,'LOD 300 - COLO1'!$B:CA,78,FALSE),"N/A")</f>
        <v>NOT PUBLISHED</v>
      </c>
      <c r="CF24" s="87" t="str">
        <f>IFERROR(VLOOKUP($B24,'LOD 300 - COLO1'!$B:CD,81,FALSE),"N/A")</f>
        <v>NOT PUBLISHED</v>
      </c>
      <c r="CG24" s="86" t="str">
        <f>IFERROR(VLOOKUP($B24,'LOD 300 - COLO1'!$B:CG,84,FALSE),"N/A")</f>
        <v>NOT PUBLISHED</v>
      </c>
      <c r="CH24" s="87" t="str">
        <f>IFERROR(VLOOKUP($B24,'LOD 300 - COLO1'!$B:CJ,87,FALSE),"N/A")</f>
        <v>NOT PUBLISHED</v>
      </c>
      <c r="CI24" s="88" t="str">
        <f>IFERROR(VLOOKUP($B24,'LOD 300 - COLO1'!$B:CM,90,FALSE),"N/A")</f>
        <v>NOT PUBLISHED</v>
      </c>
      <c r="CJ24" s="88" t="str">
        <f>IFERROR(VLOOKUP($B24,'LOD 300 - COLO1'!$B:CP,93,FALSE),"N/A")</f>
        <v>NOT PUBLISHED</v>
      </c>
      <c r="CK24" s="88" t="str">
        <f>IFERROR(VLOOKUP($B24,'LOD 300 - COLO1'!$B:CS,96,FALSE),"N/A")</f>
        <v>NOT PUBLISHED</v>
      </c>
      <c r="CL24" s="88" t="str">
        <f>IFERROR(VLOOKUP($B24,'LOD 300 - COLO1'!$B:CV,99,FALSE),"N/A")</f>
        <v>NOT PUBLISHED</v>
      </c>
      <c r="CM24" s="88" t="str">
        <f>IFERROR(VLOOKUP($B24,'LOD 300 - COLO1'!$B:CY,102,FALSE),"N/A")</f>
        <v>NOT PUBLISHED</v>
      </c>
      <c r="CN24" s="89" t="str">
        <f>IFERROR(VLOOKUP($B24,'LOD 300 - COLO1'!$B:DB,105,FALSE),"N/A")</f>
        <v>NOT PUBLISHED</v>
      </c>
      <c r="CO24" s="87" t="str">
        <f>IFERROR(VLOOKUP($B24,'LOD 300 - COLO1'!$B:EE,108,FALSE),"N/A")</f>
        <v>NOT PUBLISHED</v>
      </c>
      <c r="CP24" s="87" t="str">
        <f>IFERROR(VLOOKUP($B24,'LOD 300 - COLO1'!$B:EH,111,FALSE),"N/A")</f>
        <v>NOT PUBLISHED</v>
      </c>
      <c r="CQ24" s="87" t="str">
        <f>IFERROR(VLOOKUP($B24,'LOD 300 - COLO1'!$B:EK,114,FALSE),"N/A")</f>
        <v>NOT PUBLISHED</v>
      </c>
      <c r="CR24" s="87" t="str">
        <f>IFERROR(VLOOKUP($B24,'LOD 300 - COLO1'!$B:EN,117,FALSE),"N/A")</f>
        <v>NOT PUBLISHED</v>
      </c>
      <c r="CS24" s="87" t="str">
        <f>IFERROR(VLOOKUP($B24,'LOD 300 - COLO1'!$B:EQ,120,FALSE),"N/A")</f>
        <v>NOT PUBLISHED</v>
      </c>
      <c r="CT24" s="87" t="str">
        <f>IFERROR(VLOOKUP($B24,'LOD 300 - COLO1'!$B:ET,123,FALSE),"N/A")</f>
        <v>NOT PUBLISHED</v>
      </c>
      <c r="CU24" s="87" t="str">
        <f>IFERROR(VLOOKUP($B24,'LOD 300 - COLO1'!$B:EW,126,FALSE),"N/A")</f>
        <v>NOT PUBLISHED</v>
      </c>
      <c r="CV24" s="87" t="str">
        <f>IFERROR(VLOOKUP($B24,'LOD 300 - COLO1'!$B:EZ,129,FALSE),"N/A")</f>
        <v>NOT PUBLISHED</v>
      </c>
      <c r="CW24" s="135"/>
      <c r="CX24" s="96" t="str">
        <f>IFERROR(__xludf.DUMMYFUNCTION("IFERROR(
  MAX(FILTER(BK24:CV24, ISNUMBER(BK24:CV24))),
  CV24
)"),"NOT PUBLISHED")</f>
        <v>NOT PUBLISHED</v>
      </c>
      <c r="CY24" s="104" t="str">
        <f>IFERROR(VLOOKUP($B24,'LOD 300 - COLO2'!$B:S,18,FALSE),"N/A")</f>
        <v>NOT PUBLISHED</v>
      </c>
      <c r="CZ24" s="117" t="str">
        <f>IFERROR(VLOOKUP($B24,'LOD 300 - COLO2'!$B:V,21,FALSE),"N/A")</f>
        <v>NOT PUBLISHED</v>
      </c>
      <c r="DA24" s="117" t="str">
        <f>IFERROR(VLOOKUP($B24,'LOD 300 - COLO2'!$B:Y,24,FALSE),"N/A")</f>
        <v>NOT PUBLISHED</v>
      </c>
      <c r="DB24" s="117" t="str">
        <f>IFERROR(VLOOKUP($B24,'LOD 300 - COLO2'!$B:AB,27,FALSE),"N/A")</f>
        <v>NOT PUBLISHED</v>
      </c>
      <c r="DC24" s="92" t="str">
        <f>IFERROR(VLOOKUP($B24,'LOD 300 - COLO2'!$B:AE,30,FALSE),"N/A")</f>
        <v>NOT PUBLISHED</v>
      </c>
      <c r="DD24" s="120" t="str">
        <f>IFERROR(VLOOKUP($B24,'LOD 300 - COLO2'!$B:AH,33,FALSE),"N/A")</f>
        <v>NOT PUBLISHED</v>
      </c>
      <c r="DE24" s="117" t="str">
        <f>IFERROR(VLOOKUP($B24,'LOD 300 - COLO2'!$B:AK,36,FALSE),"N/A")</f>
        <v>NOT PUBLISHED</v>
      </c>
      <c r="DF24" s="117" t="str">
        <f>IFERROR(VLOOKUP($B24,'LOD 300 - COLO2'!$B:AN,39,FALSE),"N/A")</f>
        <v>NOT PUBLISHED</v>
      </c>
      <c r="DG24" s="119" t="str">
        <f>IFERROR(VLOOKUP($B24,'LOD 300 - COLO2'!$B:AQ,42,FALSE),"N/A")</f>
        <v>NOT PUBLISHED</v>
      </c>
      <c r="DH24" s="87" t="str">
        <f>IFERROR(VLOOKUP($B24,'LOD 300 - COLO2'!$B:AT,45,FALSE),"N/A")</f>
        <v>NOT PUBLISHED</v>
      </c>
      <c r="DI24" s="94" t="str">
        <f>IFERROR(VLOOKUP($B24,'LOD 300 - COLO2'!$B:AW,48,FALSE),"N/A")</f>
        <v>NOT PUBLISHED</v>
      </c>
      <c r="DJ24" s="95" t="str">
        <f>IFERROR(VLOOKUP($B24,'LOD 300 - COLO2'!$B:AZ,51,FALSE),"N/A")</f>
        <v>NOT PUBLISHED</v>
      </c>
      <c r="DK24" s="86" t="str">
        <f>IFERROR(VLOOKUP($B24,'LOD 300 - COLO2'!$B:BC,54,FALSE),"N/A")</f>
        <v>NOT PUBLISHED</v>
      </c>
      <c r="DL24" s="86" t="str">
        <f>IFERROR(VLOOKUP($B24,'LOD 300 - COLO2'!$B:BF,57,FALSE),"N/A")</f>
        <v>NOT PUBLISHED</v>
      </c>
      <c r="DM24" s="86" t="str">
        <f>IFERROR(VLOOKUP($B24,'LOD 300 - COLO2'!$B:BI,60,FALSE),"N/A")</f>
        <v>NOT PUBLISHED</v>
      </c>
      <c r="DN24" s="86" t="str">
        <f>IFERROR(VLOOKUP($B24,'LOD 300 - COLO2'!$B:BL,63,FALSE),"N/A")</f>
        <v>NOT PUBLISHED</v>
      </c>
      <c r="DO24" s="86" t="str">
        <f>IFERROR(VLOOKUP($B24,'LOD 300 - COLO2'!$B:BO,66,FALSE),"N/A")</f>
        <v>NOT PUBLISHED</v>
      </c>
      <c r="DP24" s="87" t="str">
        <f>IFERROR(VLOOKUP($B24,'LOD 300 - COLO2'!$B:BR,69,FALSE),"N/A")</f>
        <v>NOT PUBLISHED</v>
      </c>
      <c r="DQ24" s="87" t="str">
        <f>IFERROR(VLOOKUP($B24,'LOD 300 - COLO2'!$B:BU,72,FALSE),"N/A")</f>
        <v>NOT PUBLISHED</v>
      </c>
      <c r="DR24" s="87" t="str">
        <f>IFERROR(VLOOKUP($B24,'LOD 300 - COLO2'!$B:BX,75,FALSE),"N/A")</f>
        <v>NOT PUBLISHED</v>
      </c>
      <c r="DS24" s="98" t="str">
        <f>IFERROR(VLOOKUP($B24,'LOD 300 - COLO2'!$B:CA,78,FALSE),"N/A")</f>
        <v>NOT PUBLISHED</v>
      </c>
      <c r="DT24" s="98" t="str">
        <f>IFERROR(VLOOKUP($B24,'LOD 300 - COLO2'!$B:CD,81,FALSE),"N/A")</f>
        <v>NOT PUBLISHED</v>
      </c>
      <c r="DU24" s="98" t="str">
        <f>IFERROR(VLOOKUP($B24,'LOD 300 - COLO2'!$B:CG,84,FALSE),"N/A")</f>
        <v>NOT PUBLISHED</v>
      </c>
      <c r="DV24" s="98" t="str">
        <f>IFERROR(VLOOKUP($B24,'LOD 300 - COLO2'!$B:CJ,87,FALSE),"N/A")</f>
        <v>NOT PUBLISHED</v>
      </c>
      <c r="DW24" s="98" t="str">
        <f>IFERROR(VLOOKUP($B24,'LOD 300 - COLO2'!$B:CM,90,FALSE),"N/A")</f>
        <v>NOT PUBLISHED</v>
      </c>
      <c r="DX24" s="98" t="str">
        <f>IFERROR(VLOOKUP($B24,'LOD 300 - COLO2'!$B:CP,93,FALSE),"N/A")</f>
        <v>NOT PUBLISHED</v>
      </c>
      <c r="DY24" s="87" t="str">
        <f>IFERROR(VLOOKUP($B24,'LOD 300 - COLO2'!$B:CS,96,FALSE),"N/A")</f>
        <v>NOT PUBLISHED</v>
      </c>
      <c r="DZ24" s="87" t="str">
        <f>IFERROR(VLOOKUP($B24,'LOD 300 - COLO2'!$B:CV,99,FALSE),"N/A")</f>
        <v>NOT PUBLISHED</v>
      </c>
      <c r="EA24" s="87" t="str">
        <f>IFERROR(VLOOKUP($B24,'LOD 300 - COLO2'!$B:DB,105,FALSE),"N/A")</f>
        <v>NOT PUBLISHED</v>
      </c>
      <c r="EB24" s="87" t="str">
        <f>IFERROR(VLOOKUP($B24,'LOD 300 - COLO2'!$B:DB,105,FALSE),"N/A")</f>
        <v>NOT PUBLISHED</v>
      </c>
      <c r="EC24" s="87" t="str">
        <f>IFERROR(VLOOKUP($B24,'LOD 300 - COLO2'!$B:DE,108,FALSE),"N/A")</f>
        <v>NOT PUBLISHED</v>
      </c>
      <c r="ED24" s="87" t="str">
        <f>IFERROR(VLOOKUP($B24,'LOD 300 - COLO2'!$B:DH,111,FALSE),"N/A")</f>
        <v>NOT PUBLISHED</v>
      </c>
      <c r="EE24" s="87" t="str">
        <f>IFERROR(VLOOKUP($B24,'LOD 300 - COLO2'!$B:DK,114,FALSE),"N/A")</f>
        <v>NOT PUBLISHED</v>
      </c>
      <c r="EF24" s="87" t="str">
        <f>IFERROR(VLOOKUP($B24,'LOD 300 - COLO2'!$B:DN,117,FALSE),"N/A")</f>
        <v>NOT PUBLISHED</v>
      </c>
      <c r="EG24" s="135"/>
      <c r="EH24" s="99" t="str">
        <f>IFERROR(__xludf.DUMMYFUNCTION("IFERROR(
  MAX(FILTER(CZ24:EF24, ISNUMBER(CZ24:EF24))),
  EF24
)"),"NOT PUBLISHED")</f>
        <v>NOT PUBLISHED</v>
      </c>
      <c r="EI24" s="100" t="str">
        <f>IFERROR(VLOOKUP($B24,'LOD 300 - COLO3'!$B:R,17,FALSE),"N/A")</f>
        <v>NOT PUBLISHED</v>
      </c>
      <c r="EJ24" s="127" t="str">
        <f>IFERROR(VLOOKUP($B24,'LOD 300 - COLO3'!$B:U,20,FALSE),"N/A")</f>
        <v>NOT PUBLISHED</v>
      </c>
      <c r="EK24" s="127" t="str">
        <f>IFERROR(VLOOKUP($B24,'LOD 300 - COLO3'!$B:X,23,FALSE),"N/A")</f>
        <v>NOT PUBLISHED</v>
      </c>
      <c r="EL24" s="127" t="str">
        <f>IFERROR(VLOOKUP($B24,'LOD 300 - COLO3'!$B:AA,26,FALSE),"N/A")</f>
        <v>NOT PUBLISHED</v>
      </c>
      <c r="EM24" s="127" t="str">
        <f>IFERROR(VLOOKUP($B24,'LOD 300 - COLO3'!$B:AD,29,FALSE),"N/A")</f>
        <v>NOT PUBLISHED</v>
      </c>
      <c r="EN24" s="127" t="str">
        <f>IFERROR(VLOOKUP($B24,'LOD 300 - COLO3'!$B:AG,32,FALSE),"N/A")</f>
        <v>NOT PUBLISHED</v>
      </c>
      <c r="EO24" s="127" t="str">
        <f>IFERROR(VLOOKUP($B24,'LOD 300 - COLO3'!$B:AJ,35,FALSE),"N/A")</f>
        <v>NOT PUBLISHED</v>
      </c>
      <c r="EP24" s="100" t="str">
        <f>IFERROR(VLOOKUP($B24,'LOD 300 - COLO3'!$B:AM,38,FALSE),"N/A")</f>
        <v>NOT PUBLISHED</v>
      </c>
      <c r="EQ24" s="100" t="str">
        <f>IFERROR(VLOOKUP($B24,'LOD 300 - COLO3'!$B:AP,41,FALSE),"N/A")</f>
        <v>NOT PUBLISHED</v>
      </c>
      <c r="ER24" s="100" t="str">
        <f>IFERROR(VLOOKUP($B24,'LOD 300 - COLO3'!$B:AS,44,FALSE),"N/A")</f>
        <v>NOT PUBLISHED</v>
      </c>
      <c r="ES24" s="100" t="str">
        <f>IFERROR(VLOOKUP($B24,'LOD 300 - COLO3'!$B:AV,47,FALSE),"N/A")</f>
        <v>NOT PUBLISHED</v>
      </c>
      <c r="ET24" s="100" t="str">
        <f>IFERROR(VLOOKUP($B24,'LOD 300 - COLO3'!$B:AY,50,FALSE),"N/A")</f>
        <v>NOT PUBLISHED</v>
      </c>
      <c r="EU24" s="100" t="str">
        <f>IFERROR(VLOOKUP($B24,'LOD 300 - COLO3'!$B:BB,53,FALSE),"N/A")</f>
        <v>NOT PUBLISHED</v>
      </c>
      <c r="EV24" s="100" t="str">
        <f>IFERROR(VLOOKUP($B24,'LOD 300 - COLO3'!$B:BE,56,FALSE),"N/A")</f>
        <v>NOT PUBLISHED</v>
      </c>
      <c r="EW24" s="100" t="str">
        <f>IFERROR(VLOOKUP($B24,'LOD 300 - COLO3'!$B:BL,59,FALSE),"N/A")</f>
        <v>NOT PUBLISHED</v>
      </c>
      <c r="EX24" s="136"/>
      <c r="EY24" s="103" t="str">
        <f>IFERROR(__xludf.DUMMYFUNCTION("IFERROR(
  MAX(FILTER(EI24:EW24, ISNUMBER(EI24:EW24))),
  EW24
)"),"NOT PUBLISHED")</f>
        <v>NOT PUBLISHED</v>
      </c>
      <c r="EZ24" s="104" t="str">
        <f>IFERROR(VLOOKUP($B24,'LOD 300 - COLO4'!$B:BT,17,FALSE),"N/A")</f>
        <v>NOT PUBLISHED</v>
      </c>
      <c r="FA24" s="103" t="str">
        <f>IFERROR(__xludf.DUMMYFUNCTION("IFERROR(
  MAX(FILTER(EZ24, ISNUMBER(EZ24))),
  EZ24
)"),"NOT PUBLISHED")</f>
        <v>NOT PUBLISHED</v>
      </c>
      <c r="FB24" s="121" t="str">
        <f>IFERROR(VLOOKUP($B24,'LOD 300 - SITE'!$B:S,18,FALSE),"N/A")</f>
        <v>N/A</v>
      </c>
      <c r="FC24" s="122" t="str">
        <f>IFERROR(VLOOKUP($B24,'LOD 300 - SITE'!$B:V,21,FALSE),"N/A")</f>
        <v>N/A</v>
      </c>
      <c r="FD24" s="122" t="str">
        <f>IFERROR(VLOOKUP($B24,'LOD 300 - SITE'!$B:Y,24,FALSE),"N/A")</f>
        <v>N/A</v>
      </c>
      <c r="FE24" s="122" t="str">
        <f>IFERROR(VLOOKUP($B24,'LOD 300 - SITE'!$B:AB,27,FALSE),"N/A")</f>
        <v>N/A</v>
      </c>
      <c r="FF24" s="122" t="str">
        <f>IFERROR(VLOOKUP($B24,'LOD 300 - SITE'!$B:AE,30,FALSE),"N/A")</f>
        <v>N/A</v>
      </c>
      <c r="FG24" s="122" t="str">
        <f>IFERROR(VLOOKUP($B24,'LOD 300 - SITE'!$B:AH,33,FALSE),"N/A")</f>
        <v>N/A</v>
      </c>
      <c r="FH24" s="122" t="str">
        <f>IFERROR(VLOOKUP($B24,'LOD 300 - SITE'!$B:AK,36,FALSE),"N/A")</f>
        <v>N/A</v>
      </c>
      <c r="FI24" s="122" t="str">
        <f>IFERROR(VLOOKUP($B24,'LOD 300 - SITE'!$B:AN,39,FALSE),"N/A")</f>
        <v>N/A</v>
      </c>
      <c r="FJ24" s="122" t="str">
        <f>IFERROR(VLOOKUP($B24,'LOD 300 - SITE'!$B:AQ,42,FALSE),"N/A")</f>
        <v>N/A</v>
      </c>
      <c r="FK24" s="122" t="str">
        <f>IFERROR(VLOOKUP($B24,'LOD 300 - SITE'!$B:AT,45,FALSE),"N/A")</f>
        <v>N/A</v>
      </c>
      <c r="FL24" s="123" t="str">
        <f>IFERROR(VLOOKUP($B24,'LOD 300 - SITE'!$B:AW,48,FALSE),"N/A")</f>
        <v>N/A</v>
      </c>
      <c r="FM24" s="87" t="str">
        <f>IFERROR(VLOOKUP($B24,'LOD 300 - SITE'!$B:AZ,51,FALSE),"N/A")</f>
        <v>N/A</v>
      </c>
      <c r="FN24" s="94" t="str">
        <f>IFERROR(VLOOKUP($B24,'LOD 300 - SITE'!$B:BC,54,FALSE),"N/A")</f>
        <v>N/A</v>
      </c>
      <c r="FO24" s="95" t="str">
        <f>IFERROR(VLOOKUP($B24,'LOD 300 - SITE'!$B:BF,57,FALSE),"N/A")</f>
        <v>N/A</v>
      </c>
      <c r="FP24" s="86" t="str">
        <f>IFERROR(VLOOKUP($B24,'LOD 300 - SITE'!$B:BI,60,FALSE),"N/A")</f>
        <v>N/A</v>
      </c>
      <c r="FQ24" s="86" t="str">
        <f>IFERROR(VLOOKUP($B24,'LOD 300 - SITE'!$B:BL,63,FALSE),"N/A")</f>
        <v>N/A</v>
      </c>
      <c r="FR24" s="86" t="str">
        <f>IFERROR(VLOOKUP($B24,'LOD 300 - SITE'!$B:BO,66,FALSE),"N/A")</f>
        <v>N/A</v>
      </c>
      <c r="FS24" s="86" t="str">
        <f>IFERROR(VLOOKUP($B24,'LOD 300 - SITE'!$B:BR,69,FALSE),"N/A")</f>
        <v>N/A</v>
      </c>
      <c r="FT24" s="86" t="str">
        <f>IFERROR(VLOOKUP($B24,'LOD 300 - SITE'!$B:BU,72,FALSE),"N/A")</f>
        <v>N/A</v>
      </c>
      <c r="FU24" s="86" t="str">
        <f>IFERROR(VLOOKUP($B24,'LOD 300 - SITE'!$B:BX,75,FALSE),"N/A")</f>
        <v>N/A</v>
      </c>
      <c r="FV24" s="86" t="str">
        <f>IFERROR(VLOOKUP($B24,'LOD 300 - SITE'!$B:CA,78,FALSE),"N/A")</f>
        <v>N/A</v>
      </c>
      <c r="FW24" s="87" t="str">
        <f>IFERROR(VLOOKUP($B24,'LOD 300 - SITE'!$B:CD,81,FALSE),"N/A")</f>
        <v>N/A</v>
      </c>
      <c r="FX24" s="108" t="str">
        <f>IFERROR(VLOOKUP($B24,'LOD 300 - SITE'!$B:CG,84,FALSE),"N/A")</f>
        <v>N/A</v>
      </c>
      <c r="FY24" s="108" t="str">
        <f>IFERROR(VLOOKUP($B24,'LOD 300 - SITE'!$B:CJ,87,FALSE),"N/A")</f>
        <v>N/A</v>
      </c>
      <c r="FZ24" s="108" t="str">
        <f>IFERROR(VLOOKUP($B24,'LOD 300 - SITE'!$B:CM,90,FALSE),"N/A")</f>
        <v>N/A</v>
      </c>
      <c r="GA24" s="108" t="str">
        <f>IFERROR(VLOOKUP($B24,'LOD 300 - SITE'!$B:CP,93,FALSE),"N/A")</f>
        <v>N/A</v>
      </c>
      <c r="GB24" s="108" t="str">
        <f>IFERROR(VLOOKUP($B24,'LOD 300 - SITE'!$B:CS,96,FALSE),"N/A")</f>
        <v>N/A</v>
      </c>
      <c r="GC24" s="109" t="str">
        <f>IFERROR(VLOOKUP($B24,'LOD 300 - SITE'!$B:CV,99,FALSE),"N/A")</f>
        <v>N/A</v>
      </c>
      <c r="GD24" s="87" t="str">
        <f>IFERROR(VLOOKUP($B24,'LOD 300 - SITE'!$B:CY,102,FALSE),"N/A")</f>
        <v>N/A</v>
      </c>
      <c r="GE24" s="87" t="str">
        <f>IFERROR(VLOOKUP($B24,'LOD 300 - SITE'!$B:DB,105,FALSE),"N/A")</f>
        <v>N/A</v>
      </c>
      <c r="GF24" s="87" t="str">
        <f>IFERROR(VLOOKUP($B24,'LOD 300 - SITE'!$B:DE,108,FALSE),"N/A")</f>
        <v>N/A</v>
      </c>
      <c r="GG24" s="87" t="str">
        <f>IFERROR(VLOOKUP($B24,'LOD 300 - SITE'!$B:DH,111,FALSE),"N/A")</f>
        <v>N/A</v>
      </c>
      <c r="GH24" s="87" t="str">
        <f>IFERROR(VLOOKUP($B24,'LOD 300 - SITE'!$B:DK,114,FALSE),"N/A")</f>
        <v>N/A</v>
      </c>
      <c r="GI24" s="87" t="str">
        <f>IFERROR(VLOOKUP($B24,'LOD 300 - SITE'!$B:DN,117,FALSE),"N/A")</f>
        <v>N/A</v>
      </c>
      <c r="GJ24" s="87" t="str">
        <f>IFERROR(VLOOKUP($B24,'LOD 300 - SITE'!$B:DQ,120,FALSE),"N/A")</f>
        <v>N/A</v>
      </c>
      <c r="GK24" s="87" t="str">
        <f>IFERROR(VLOOKUP($B24,'LOD 300 - SITE'!$B:DT,123,FALSE),"N/A")</f>
        <v>N/A</v>
      </c>
      <c r="GL24" s="135"/>
      <c r="GM24" s="110" t="str">
        <f>IFERROR(__xludf.DUMMYFUNCTION("IFERROR(
  MAX(FILTER(FB24:GK24, ISNUMBER(FB24:GK24))),
  GK24
)"),"N/A")</f>
        <v>N/A</v>
      </c>
      <c r="GN24" s="68"/>
      <c r="GO24" s="68"/>
      <c r="GP24" s="68"/>
    </row>
    <row r="25" ht="15.0" customHeight="1" outlineLevel="1">
      <c r="A25" s="60">
        <v>28.0</v>
      </c>
      <c r="B25" s="140" t="s">
        <v>149</v>
      </c>
      <c r="C25" s="70" t="s">
        <v>150</v>
      </c>
      <c r="D25" s="71" t="s">
        <v>90</v>
      </c>
      <c r="E25" s="138" t="s">
        <v>151</v>
      </c>
      <c r="F25" s="149">
        <v>0.0</v>
      </c>
      <c r="G25" s="150" t="s">
        <v>115</v>
      </c>
      <c r="H25" s="150"/>
      <c r="I25" s="74" t="str">
        <f>IFERROR(VLOOKUP(C22:C164,'R22 RELATÓRIO ACC'!B:F,5,FALSE),"NOT PUBLISHED")</f>
        <v>NOT PUBLISHED</v>
      </c>
      <c r="J25" s="74" t="str">
        <f>IFERROR(VLOOKUP(C22:C164,'R22 RELATÓRIO ACC'!B:P,15,FALSE),"NOT PUBLISHED")</f>
        <v>NOT PUBLISHED</v>
      </c>
      <c r="K25" s="141" t="str">
        <f>IFERROR(VLOOKUP(B22:B214,'RELATÓRIO ACC'!B:F,5,FALSE),"NOT PUBLISHED")</f>
        <v>NOT PUBLISHED</v>
      </c>
      <c r="L25" s="142" t="str">
        <f>IFERROR(VLOOKUP(B22:B214,'RELATÓRIO ACC'!B:P,15,FALSE),"NOT PUBLISHED")</f>
        <v>NOT PUBLISHED</v>
      </c>
      <c r="M25" s="76" t="str">
        <f>IF(OR($D25="UTLS",$D25="GUAR",$D25="STIR",$D25="PUMP",$D25="SITE"),
   VLOOKUP($B25,'LOD 300 - SITE'!B:M,12,FALSE),
   VLOOKUP($B25,'LOD 300 - ADMN'!B:M,12,FALSE)
)</f>
        <v>NOT PUBLISHED</v>
      </c>
      <c r="N25" s="76" t="str">
        <f>IF(OR($D25="UTLS",$D25="GUAR",$D25="STIR",$D25="PUMP",$D25="SITE"),
   VLOOKUP($B25,'LOD 300 - SITE'!B:N,13,FALSE),
   VLOOKUP($B25,'LOD 300 - ADMN'!B:N,13,FALSE)
)</f>
        <v>NOT PUBLISHED</v>
      </c>
      <c r="O25" s="78" t="str">
        <f>IF(OR($D25="UTLS",$D25="GUAR",$D25="STIR",$D25="PUMP",$D25="SITE"),
   VLOOKUP($B25,'LOD 300 - SITE'!B:O,14,FALSE),
   VLOOKUP($B25,'LOD 300 - ADMN'!B:O,14,FALSE)
)</f>
        <v/>
      </c>
      <c r="P25" s="79" t="str">
        <f>IF(OR($D25="C345",$D25="C12A",$D25="DATA"),
   VLOOKUP($B25,'LOD 300 - COLO3'!B:M,12,FALSE),"N/A")</f>
        <v>N/A</v>
      </c>
      <c r="Q25" s="76" t="str">
        <f>IF(OR($D25="C345",$D25="C12A",$D25="DATA"),
   VLOOKUP($B25,'LOD 300 - COLO3'!B:N,13,FALSE),"N/A")</f>
        <v>N/A</v>
      </c>
      <c r="R25" s="76" t="str">
        <f>IF(OR($D25="C345",$D25="C12A",$D25="DATA"),
   VLOOKUP($B25,'LOD 300 - COLO3'!B:O,14,FALSE),"N/A")</f>
        <v>N/A</v>
      </c>
      <c r="S25" s="79" t="str">
        <f>IF(OR($D25="C345",$D25="C12A",$D25="DATA"),
   VLOOKUP($B25,'LOD 300 - COLO4'!B:M,12,FALSE),"N/A")</f>
        <v>N/A</v>
      </c>
      <c r="T25" s="76" t="str">
        <f>IF(OR($D25="C345",$D25="C12A",$D25="DATA"),
   VLOOKUP($B25,'LOD 300 - COLO4'!B:T,13,FALSE),"N/A")</f>
        <v>N/A</v>
      </c>
      <c r="U25" s="76" t="str">
        <f>IF(OR($D25="C345",$D25="C12A",$D25="DATA"),
   VLOOKUP($B25,'LOD 300 - COLO4'!B:U,17,FALSE),"N/A")</f>
        <v>N/A</v>
      </c>
      <c r="V25" s="126"/>
      <c r="W25" s="144" t="str">
        <f>IFERROR(VLOOKUP($B25,'LOD 300 - ADMN'!$B:S,18,FALSE),"N/A")</f>
        <v>N/A</v>
      </c>
      <c r="X25" s="122" t="str">
        <f>IFERROR(VLOOKUP($B25,'LOD 300 - ADMN'!$B:V,21,FALSE),"N/A")</f>
        <v>N/A</v>
      </c>
      <c r="Y25" s="122" t="str">
        <f>IFERROR(VLOOKUP($B25,'LOD 300 - ADMN'!$B:Y,24,FALSE),"N/A")</f>
        <v>N/A</v>
      </c>
      <c r="Z25" s="122" t="str">
        <f>IFERROR(VLOOKUP($B25,'LOD 300 - ADMN'!$B:AB,27,FALSE),"N/A")</f>
        <v>N/A</v>
      </c>
      <c r="AA25" s="122" t="str">
        <f>IFERROR(VLOOKUP($B25,'LOD 300 - ADMN'!$B:AE,30,FALSE),"N/A")</f>
        <v>N/A</v>
      </c>
      <c r="AB25" s="145" t="str">
        <f>IFERROR(VLOOKUP($B25,'LOD 300 - ADMN'!$B:AH,33,FALSE),"N/A")</f>
        <v>N/A</v>
      </c>
      <c r="AC25" s="145" t="str">
        <f>IFERROR(VLOOKUP($B25,'LOD 300 - ADMN'!$B:AK,36,FALSE),"N/A")</f>
        <v>N/A</v>
      </c>
      <c r="AD25" s="122" t="str">
        <f>IFERROR(VLOOKUP($B25,'LOD 300 - ADMN'!$B:AN,39,FALSE),"N/A")</f>
        <v>N/A</v>
      </c>
      <c r="AE25" s="122" t="str">
        <f>IFERROR(VLOOKUP($B25,'LOD 300 - ADMN'!$B:AQ,42,FALSE),"N/A")</f>
        <v>N/A</v>
      </c>
      <c r="AF25" s="122" t="str">
        <f>IFERROR(VLOOKUP($B25,'LOD 300 - ADMN'!$B:AT,45,FALSE),"N/A")</f>
        <v>N/A</v>
      </c>
      <c r="AG25" s="122" t="str">
        <f>IFERROR(VLOOKUP($B25,'LOD 300 - ADMN'!$B:AW,48,FALSE),"N/A")</f>
        <v>N/A</v>
      </c>
      <c r="AH25" s="122" t="str">
        <f>IFERROR(VLOOKUP($B25,'LOD 300 - ADMN'!$B:AZ,51,FALSE),"N/A")</f>
        <v>N/A</v>
      </c>
      <c r="AI25" s="122" t="str">
        <f>IFERROR(VLOOKUP($B25,'LOD 300 - ADMN'!$B:BC,54,FALSE),"N/A")</f>
        <v>N/A</v>
      </c>
      <c r="AJ25" s="87" t="str">
        <f>IFERROR(VLOOKUP($B25,'LOD 300 - ADMN'!$B:BF,57,FALSE),"N/A")</f>
        <v>N/A</v>
      </c>
      <c r="AK25" s="87" t="str">
        <f>IFERROR(VLOOKUP($B25,'LOD 300 - ADMN'!$B:EP,60,FALSE),"N/A")</f>
        <v>N/A</v>
      </c>
      <c r="AL25" s="87" t="str">
        <f>IFERROR(VLOOKUP($B25,'LOD 300 - ADMN'!$B:EQ,63,FALSE),"N/A")</f>
        <v>N/A</v>
      </c>
      <c r="AM25" s="87" t="str">
        <f>IFERROR(VLOOKUP($B25,'LOD 300 - ADMN'!$B:BO,66,FALSE),"N/A")</f>
        <v>N/A</v>
      </c>
      <c r="AN25" s="87" t="str">
        <f>IFERROR(VLOOKUP($B25,'LOD 300 - ADMN'!$B:BR,69,FALSE),"N/A")</f>
        <v>N/A</v>
      </c>
      <c r="AO25" s="87" t="str">
        <f>IFERROR(VLOOKUP($B25,'LOD 300 - ADMN'!$B:BU,72,FALSE),"N/A")</f>
        <v>N/A</v>
      </c>
      <c r="AP25" s="87" t="str">
        <f>IFERROR(VLOOKUP($B25,'LOD 300 - ADMN'!$B:BX,75,FALSE),"N/A")</f>
        <v>N/A</v>
      </c>
      <c r="AQ25" s="87" t="str">
        <f>IFERROR(VLOOKUP($B25,'LOD 300 - ADMN'!$B:CA,78,FALSE),"N/A")</f>
        <v>N/A</v>
      </c>
      <c r="AR25" s="87" t="str">
        <f>IFERROR(VLOOKUP($B25,'LOD 300 - ADMN'!$B:CD,81,FALSE),"N/A")</f>
        <v>N/A</v>
      </c>
      <c r="AS25" s="87" t="str">
        <f>IFERROR(VLOOKUP($B25,'LOD 300 - ADMN'!$B:CG,84,FALSE),"N/A")</f>
        <v>N/A</v>
      </c>
      <c r="AT25" s="87" t="str">
        <f>IFERROR(VLOOKUP($B25,'LOD 300 - ADMN'!$B:CJ,87,FALSE),"N/A")</f>
        <v>N/A</v>
      </c>
      <c r="AU25" s="88" t="str">
        <f>IFERROR(VLOOKUP($B25,'LOD 300 - ADMN'!$B:CM,90,FALSE),"N/A")</f>
        <v>N/A</v>
      </c>
      <c r="AV25" s="88" t="str">
        <f>IFERROR(VLOOKUP($B25,'LOD 300 - ADMN'!$B:CP,93,FALSE),"N/A")</f>
        <v>N/A</v>
      </c>
      <c r="AW25" s="88" t="str">
        <f>IFERROR(VLOOKUP($B25,'LOD 300 - ADMN'!$B:CS,96,FALSE),"N/A")</f>
        <v>N/A</v>
      </c>
      <c r="AX25" s="88" t="str">
        <f>IFERROR(VLOOKUP($B25,'LOD 300 - ADMN'!$B:CV,99,FALSE),"N/A")</f>
        <v>N/A</v>
      </c>
      <c r="AY25" s="88" t="str">
        <f>IFERROR(VLOOKUP($B25,'LOD 300 - ADMN'!$B:CY,102,FALSE),"N/A")</f>
        <v>N/A</v>
      </c>
      <c r="AZ25" s="88" t="str">
        <f>IFERROR(VLOOKUP($B25,'LOD 300 - ADMN'!$B:DB,105,FALSE),"N/A")</f>
        <v>N/A</v>
      </c>
      <c r="BA25" s="87" t="str">
        <f>IFERROR(VLOOKUP($B25,'LOD 300 - ADMN'!$B:DE,108,FALSE),"N/A")</f>
        <v>N/A</v>
      </c>
      <c r="BB25" s="87" t="str">
        <f>IFERROR(VLOOKUP($B25,'LOD 300 - ADMN'!$B:DH,111,FALSE),"N/A")</f>
        <v>N/A</v>
      </c>
      <c r="BC25" s="87" t="str">
        <f>IFERROR(VLOOKUP($B25,'LOD 300 - ADMN'!$B:DK,114,FALSE),"N/A")</f>
        <v>N/A</v>
      </c>
      <c r="BD25" s="87" t="str">
        <f>IFERROR(VLOOKUP($B25,'LOD 300 - ADMN'!$B:DN,117,FALSE),"N/A")</f>
        <v>N/A</v>
      </c>
      <c r="BE25" s="87" t="str">
        <f>IFERROR(VLOOKUP($B25,'LOD 300 - ADMN'!$B:DQ,120,FALSE),"N/A")</f>
        <v>N/A</v>
      </c>
      <c r="BF25" s="87" t="str">
        <f>IFERROR(VLOOKUP($B25,'LOD 300 - ADMN'!$B:DT,123,FALSE),"N/A")</f>
        <v>N/A</v>
      </c>
      <c r="BG25" s="87" t="str">
        <f>IFERROR(VLOOKUP($B25,'LOD 300 - ADMN'!$B:DW,126,FALSE),"N/A")</f>
        <v>N/A</v>
      </c>
      <c r="BH25" s="87" t="str">
        <f>IFERROR(VLOOKUP($B25,'LOD 300 - ADMN'!$B:DZ,129,FALSE),"N/A")</f>
        <v>N/A</v>
      </c>
      <c r="BI25" s="134"/>
      <c r="BJ25" s="90" t="str">
        <f>IFERROR(__xludf.DUMMYFUNCTION("IFERROR(
  MAX(FILTER(X25:BH25, ISNUMBER(X25:BH25))),
  BH25
)"),"N/A")</f>
        <v>N/A</v>
      </c>
      <c r="BK25" s="91" t="str">
        <f>IFERROR(VLOOKUP($B25,'LOD 300 - COLO1'!$B:S,18,FALSE),"N/A")</f>
        <v>N/A</v>
      </c>
      <c r="BL25" s="92" t="str">
        <f>IFERROR(VLOOKUP($B25,'LOD 300 - COLO1'!$B:V,21,FALSE),"N/A")</f>
        <v>N/A</v>
      </c>
      <c r="BM25" s="92" t="str">
        <f>IFERROR(VLOOKUP($B25,'LOD 300 - COLO1'!$B:Y,24,FALSE),"N/A")</f>
        <v>N/A</v>
      </c>
      <c r="BN25" s="92" t="str">
        <f>IFERROR(VLOOKUP($B25,'LOD 300 - COLO1'!$B:AB,27,FALSE),"N/A")</f>
        <v>N/A</v>
      </c>
      <c r="BO25" s="92" t="str">
        <f>IFERROR(VLOOKUP($B25,'LOD 300 - COLO1'!$B:AE,30,FALSE),"N/A")</f>
        <v>N/A</v>
      </c>
      <c r="BP25" s="92" t="str">
        <f>IFERROR(VLOOKUP($B25,'LOD 300 - COLO1'!$B:AH,33,FALSE),"N/A")</f>
        <v>N/A</v>
      </c>
      <c r="BQ25" s="92" t="str">
        <f>IFERROR(VLOOKUP($B25,'LOD 300 - COLO1'!$B:AK,36,FALSE),"N/A")</f>
        <v>N/A</v>
      </c>
      <c r="BR25" s="92" t="str">
        <f>IFERROR(VLOOKUP($B25,'LOD 300 - COLO1'!$B:AN,39,FALSE),"N/A")</f>
        <v>N/A</v>
      </c>
      <c r="BS25" s="92" t="str">
        <f>IFERROR(VLOOKUP($B25,'LOD 300 - COLO1'!$B:AQ,42,FALSE),"N/A")</f>
        <v>N/A</v>
      </c>
      <c r="BT25" s="92" t="str">
        <f>IFERROR(VLOOKUP($B25,'LOD 300 - COLO1'!$B:AT,45,FALSE),"N/A")</f>
        <v>N/A</v>
      </c>
      <c r="BU25" s="92" t="str">
        <f>IFERROR(VLOOKUP($B25,'LOD 300 - COLO1'!$B:AW,48,FALSE),"N/A")</f>
        <v>N/A</v>
      </c>
      <c r="BV25" s="92" t="str">
        <f>IFERROR(VLOOKUP($B25,'LOD 300 - COLO1'!$B:AZ,51,FALSE),"N/A")</f>
        <v>N/A</v>
      </c>
      <c r="BW25" s="92" t="str">
        <f>IFERROR(VLOOKUP($B25,'LOD 300 - COLO1'!$B:BC,54,FALSE),"N/A")</f>
        <v>N/A</v>
      </c>
      <c r="BX25" s="94" t="str">
        <f>IFERROR(VLOOKUP($B25,'LOD 300 - COLO1'!$B:BF,57,FALSE),"N/A")</f>
        <v>N/A</v>
      </c>
      <c r="BY25" s="94" t="str">
        <f>IFERROR(VLOOKUP($B25,'LOD 300 - COLO1'!$B:BI,60,FALSE),"N/A")</f>
        <v>N/A</v>
      </c>
      <c r="BZ25" s="95" t="str">
        <f>IFERROR(VLOOKUP($B25,'LOD 300 - COLO1'!$B:BL,63,FALSE),"N/A")</f>
        <v>N/A</v>
      </c>
      <c r="CA25" s="86" t="str">
        <f>IFERROR(VLOOKUP($B25,'LOD 300 - COLO1'!$B:BO,66,FALSE),"N/A")</f>
        <v>N/A</v>
      </c>
      <c r="CB25" s="86" t="str">
        <f>IFERROR(VLOOKUP($B25,'LOD 300 - COLO1'!$B:BR,69,FALSE),"N/A")</f>
        <v>N/A</v>
      </c>
      <c r="CC25" s="86" t="str">
        <f>IFERROR(VLOOKUP($B25,'LOD 300 - COLO1'!$B:BU,72,FALSE),"N/A")</f>
        <v>N/A</v>
      </c>
      <c r="CD25" s="86" t="str">
        <f>IFERROR(VLOOKUP($B25,'LOD 300 - COLO1'!$B:BX,75,FALSE),"N/A")</f>
        <v>N/A</v>
      </c>
      <c r="CE25" s="86" t="str">
        <f>IFERROR(VLOOKUP($B25,'LOD 300 - COLO1'!$B:CA,78,FALSE),"N/A")</f>
        <v>N/A</v>
      </c>
      <c r="CF25" s="87" t="str">
        <f>IFERROR(VLOOKUP($B25,'LOD 300 - COLO1'!$B:CD,81,FALSE),"N/A")</f>
        <v>N/A</v>
      </c>
      <c r="CG25" s="86" t="str">
        <f>IFERROR(VLOOKUP($B25,'LOD 300 - COLO1'!$B:CG,84,FALSE),"N/A")</f>
        <v>N/A</v>
      </c>
      <c r="CH25" s="87" t="str">
        <f>IFERROR(VLOOKUP($B25,'LOD 300 - COLO1'!$B:CJ,87,FALSE),"N/A")</f>
        <v>N/A</v>
      </c>
      <c r="CI25" s="88" t="str">
        <f>IFERROR(VLOOKUP($B25,'LOD 300 - COLO1'!$B:CM,90,FALSE),"N/A")</f>
        <v>N/A</v>
      </c>
      <c r="CJ25" s="88" t="str">
        <f>IFERROR(VLOOKUP($B25,'LOD 300 - COLO1'!$B:CP,93,FALSE),"N/A")</f>
        <v>N/A</v>
      </c>
      <c r="CK25" s="88" t="str">
        <f>IFERROR(VLOOKUP($B25,'LOD 300 - COLO1'!$B:CS,96,FALSE),"N/A")</f>
        <v>N/A</v>
      </c>
      <c r="CL25" s="88" t="str">
        <f>IFERROR(VLOOKUP($B25,'LOD 300 - COLO1'!$B:CV,99,FALSE),"N/A")</f>
        <v>N/A</v>
      </c>
      <c r="CM25" s="88" t="str">
        <f>IFERROR(VLOOKUP($B25,'LOD 300 - COLO1'!$B:CY,102,FALSE),"N/A")</f>
        <v>N/A</v>
      </c>
      <c r="CN25" s="89" t="str">
        <f>IFERROR(VLOOKUP($B25,'LOD 300 - COLO1'!$B:DB,105,FALSE),"N/A")</f>
        <v>N/A</v>
      </c>
      <c r="CO25" s="87" t="str">
        <f>IFERROR(VLOOKUP($B25,'LOD 300 - COLO1'!$B:EE,108,FALSE),"N/A")</f>
        <v>N/A</v>
      </c>
      <c r="CP25" s="87" t="str">
        <f>IFERROR(VLOOKUP($B25,'LOD 300 - COLO1'!$B:EH,111,FALSE),"N/A")</f>
        <v>N/A</v>
      </c>
      <c r="CQ25" s="87" t="str">
        <f>IFERROR(VLOOKUP($B25,'LOD 300 - COLO1'!$B:EK,114,FALSE),"N/A")</f>
        <v>N/A</v>
      </c>
      <c r="CR25" s="87" t="str">
        <f>IFERROR(VLOOKUP($B25,'LOD 300 - COLO1'!$B:EN,117,FALSE),"N/A")</f>
        <v>N/A</v>
      </c>
      <c r="CS25" s="87" t="str">
        <f>IFERROR(VLOOKUP($B25,'LOD 300 - COLO1'!$B:EQ,120,FALSE),"N/A")</f>
        <v>N/A</v>
      </c>
      <c r="CT25" s="87" t="str">
        <f>IFERROR(VLOOKUP($B25,'LOD 300 - COLO1'!$B:ET,123,FALSE),"N/A")</f>
        <v>N/A</v>
      </c>
      <c r="CU25" s="87" t="str">
        <f>IFERROR(VLOOKUP($B25,'LOD 300 - COLO1'!$B:EW,126,FALSE),"N/A")</f>
        <v>N/A</v>
      </c>
      <c r="CV25" s="87" t="str">
        <f>IFERROR(VLOOKUP($B25,'LOD 300 - COLO1'!$B:EZ,129,FALSE),"N/A")</f>
        <v>N/A</v>
      </c>
      <c r="CW25" s="135"/>
      <c r="CX25" s="96" t="str">
        <f>IFERROR(__xludf.DUMMYFUNCTION("IFERROR(
  MAX(FILTER(BK25:CV25, ISNUMBER(BK25:CV25))),
  CV25
)"),"N/A")</f>
        <v>N/A</v>
      </c>
      <c r="CY25" s="104" t="str">
        <f>IFERROR(VLOOKUP($B25,'LOD 300 - COLO2'!$B:S,18,FALSE),"N/A")</f>
        <v>N/A</v>
      </c>
      <c r="CZ25" s="117" t="str">
        <f>IFERROR(VLOOKUP($B25,'LOD 300 - COLO2'!$B:V,21,FALSE),"N/A")</f>
        <v>N/A</v>
      </c>
      <c r="DA25" s="117" t="str">
        <f>IFERROR(VLOOKUP($B25,'LOD 300 - COLO2'!$B:Y,24,FALSE),"N/A")</f>
        <v>N/A</v>
      </c>
      <c r="DB25" s="117" t="str">
        <f>IFERROR(VLOOKUP($B25,'LOD 300 - COLO2'!$B:AB,27,FALSE),"N/A")</f>
        <v>N/A</v>
      </c>
      <c r="DC25" s="92" t="str">
        <f>IFERROR(VLOOKUP($B25,'LOD 300 - COLO2'!$B:AE,30,FALSE),"N/A")</f>
        <v>N/A</v>
      </c>
      <c r="DD25" s="120" t="str">
        <f>IFERROR(VLOOKUP($B25,'LOD 300 - COLO2'!$B:AH,33,FALSE),"N/A")</f>
        <v>N/A</v>
      </c>
      <c r="DE25" s="117" t="str">
        <f>IFERROR(VLOOKUP($B25,'LOD 300 - COLO2'!$B:AK,36,FALSE),"N/A")</f>
        <v>N/A</v>
      </c>
      <c r="DF25" s="117" t="str">
        <f>IFERROR(VLOOKUP($B25,'LOD 300 - COLO2'!$B:AN,39,FALSE),"N/A")</f>
        <v>N/A</v>
      </c>
      <c r="DG25" s="119" t="str">
        <f>IFERROR(VLOOKUP($B25,'LOD 300 - COLO2'!$B:AQ,42,FALSE),"N/A")</f>
        <v>N/A</v>
      </c>
      <c r="DH25" s="87" t="str">
        <f>IFERROR(VLOOKUP($B25,'LOD 300 - COLO2'!$B:AT,45,FALSE),"N/A")</f>
        <v>N/A</v>
      </c>
      <c r="DI25" s="94" t="str">
        <f>IFERROR(VLOOKUP($B25,'LOD 300 - COLO2'!$B:AW,48,FALSE),"N/A")</f>
        <v>N/A</v>
      </c>
      <c r="DJ25" s="95" t="str">
        <f>IFERROR(VLOOKUP($B25,'LOD 300 - COLO2'!$B:AZ,51,FALSE),"N/A")</f>
        <v>N/A</v>
      </c>
      <c r="DK25" s="86" t="str">
        <f>IFERROR(VLOOKUP($B25,'LOD 300 - COLO2'!$B:BC,54,FALSE),"N/A")</f>
        <v>N/A</v>
      </c>
      <c r="DL25" s="86" t="str">
        <f>IFERROR(VLOOKUP($B25,'LOD 300 - COLO2'!$B:BF,57,FALSE),"N/A")</f>
        <v>N/A</v>
      </c>
      <c r="DM25" s="86" t="str">
        <f>IFERROR(VLOOKUP($B25,'LOD 300 - COLO2'!$B:BI,60,FALSE),"N/A")</f>
        <v>N/A</v>
      </c>
      <c r="DN25" s="86" t="str">
        <f>IFERROR(VLOOKUP($B25,'LOD 300 - COLO2'!$B:BL,63,FALSE),"N/A")</f>
        <v>N/A</v>
      </c>
      <c r="DO25" s="86" t="str">
        <f>IFERROR(VLOOKUP($B25,'LOD 300 - COLO2'!$B:BO,66,FALSE),"N/A")</f>
        <v>N/A</v>
      </c>
      <c r="DP25" s="87" t="str">
        <f>IFERROR(VLOOKUP($B25,'LOD 300 - COLO2'!$B:BR,69,FALSE),"N/A")</f>
        <v>N/A</v>
      </c>
      <c r="DQ25" s="87" t="str">
        <f>IFERROR(VLOOKUP($B25,'LOD 300 - COLO2'!$B:BU,72,FALSE),"N/A")</f>
        <v>N/A</v>
      </c>
      <c r="DR25" s="87" t="str">
        <f>IFERROR(VLOOKUP($B25,'LOD 300 - COLO2'!$B:BX,75,FALSE),"N/A")</f>
        <v>N/A</v>
      </c>
      <c r="DS25" s="98" t="str">
        <f>IFERROR(VLOOKUP($B25,'LOD 300 - COLO2'!$B:CA,78,FALSE),"N/A")</f>
        <v>N/A</v>
      </c>
      <c r="DT25" s="98" t="str">
        <f>IFERROR(VLOOKUP($B25,'LOD 300 - COLO2'!$B:CD,81,FALSE),"N/A")</f>
        <v>N/A</v>
      </c>
      <c r="DU25" s="98" t="str">
        <f>IFERROR(VLOOKUP($B25,'LOD 300 - COLO2'!$B:CG,84,FALSE),"N/A")</f>
        <v>N/A</v>
      </c>
      <c r="DV25" s="98" t="str">
        <f>IFERROR(VLOOKUP($B25,'LOD 300 - COLO2'!$B:CJ,87,FALSE),"N/A")</f>
        <v>N/A</v>
      </c>
      <c r="DW25" s="98" t="str">
        <f>IFERROR(VLOOKUP($B25,'LOD 300 - COLO2'!$B:CM,90,FALSE),"N/A")</f>
        <v>N/A</v>
      </c>
      <c r="DX25" s="98" t="str">
        <f>IFERROR(VLOOKUP($B25,'LOD 300 - COLO2'!$B:CP,93,FALSE),"N/A")</f>
        <v>N/A</v>
      </c>
      <c r="DY25" s="87" t="str">
        <f>IFERROR(VLOOKUP($B25,'LOD 300 - COLO2'!$B:CS,96,FALSE),"N/A")</f>
        <v>N/A</v>
      </c>
      <c r="DZ25" s="87" t="str">
        <f>IFERROR(VLOOKUP($B25,'LOD 300 - COLO2'!$B:CV,99,FALSE),"N/A")</f>
        <v>N/A</v>
      </c>
      <c r="EA25" s="87" t="str">
        <f>IFERROR(VLOOKUP($B25,'LOD 300 - COLO2'!$B:DB,105,FALSE),"N/A")</f>
        <v>N/A</v>
      </c>
      <c r="EB25" s="87" t="str">
        <f>IFERROR(VLOOKUP($B25,'LOD 300 - COLO2'!$B:DB,105,FALSE),"N/A")</f>
        <v>N/A</v>
      </c>
      <c r="EC25" s="87" t="str">
        <f>IFERROR(VLOOKUP($B25,'LOD 300 - COLO2'!$B:DE,108,FALSE),"N/A")</f>
        <v>N/A</v>
      </c>
      <c r="ED25" s="87" t="str">
        <f>IFERROR(VLOOKUP($B25,'LOD 300 - COLO2'!$B:DH,111,FALSE),"N/A")</f>
        <v>N/A</v>
      </c>
      <c r="EE25" s="87" t="str">
        <f>IFERROR(VLOOKUP($B25,'LOD 300 - COLO2'!$B:DK,114,FALSE),"N/A")</f>
        <v>N/A</v>
      </c>
      <c r="EF25" s="87" t="str">
        <f>IFERROR(VLOOKUP($B25,'LOD 300 - COLO2'!$B:DN,117,FALSE),"N/A")</f>
        <v>N/A</v>
      </c>
      <c r="EG25" s="135"/>
      <c r="EH25" s="99" t="str">
        <f>IFERROR(__xludf.DUMMYFUNCTION("IFERROR(
  MAX(FILTER(CZ25:EF25, ISNUMBER(CZ25:EF25))),
  EF25
)"),"N/A")</f>
        <v>N/A</v>
      </c>
      <c r="EI25" s="100" t="str">
        <f>IFERROR(VLOOKUP($B25,'LOD 300 - COLO3'!$B:R,17,FALSE),"N/A")</f>
        <v>N/A</v>
      </c>
      <c r="EJ25" s="127" t="str">
        <f>IFERROR(VLOOKUP($B25,'LOD 300 - COLO3'!$B:U,20,FALSE),"N/A")</f>
        <v>N/A</v>
      </c>
      <c r="EK25" s="127" t="str">
        <f>IFERROR(VLOOKUP($B25,'LOD 300 - COLO3'!$B:X,23,FALSE),"N/A")</f>
        <v>N/A</v>
      </c>
      <c r="EL25" s="127" t="str">
        <f>IFERROR(VLOOKUP($B25,'LOD 300 - COLO3'!$B:AA,26,FALSE),"N/A")</f>
        <v>N/A</v>
      </c>
      <c r="EM25" s="127" t="str">
        <f>IFERROR(VLOOKUP($B25,'LOD 300 - COLO3'!$B:AD,29,FALSE),"N/A")</f>
        <v>N/A</v>
      </c>
      <c r="EN25" s="127" t="str">
        <f>IFERROR(VLOOKUP($B25,'LOD 300 - COLO3'!$B:AG,32,FALSE),"N/A")</f>
        <v>N/A</v>
      </c>
      <c r="EO25" s="127" t="str">
        <f>IFERROR(VLOOKUP($B25,'LOD 300 - COLO3'!$B:AJ,35,FALSE),"N/A")</f>
        <v>N/A</v>
      </c>
      <c r="EP25" s="100" t="str">
        <f>IFERROR(VLOOKUP($B25,'LOD 300 - COLO3'!$B:AM,38,FALSE),"N/A")</f>
        <v>N/A</v>
      </c>
      <c r="EQ25" s="100" t="str">
        <f>IFERROR(VLOOKUP($B25,'LOD 300 - COLO3'!$B:AP,41,FALSE),"N/A")</f>
        <v>N/A</v>
      </c>
      <c r="ER25" s="100" t="str">
        <f>IFERROR(VLOOKUP($B25,'LOD 300 - COLO3'!$B:AS,44,FALSE),"N/A")</f>
        <v>N/A</v>
      </c>
      <c r="ES25" s="100" t="str">
        <f>IFERROR(VLOOKUP($B25,'LOD 300 - COLO3'!$B:AV,47,FALSE),"N/A")</f>
        <v>N/A</v>
      </c>
      <c r="ET25" s="100" t="str">
        <f>IFERROR(VLOOKUP($B25,'LOD 300 - COLO3'!$B:AY,50,FALSE),"N/A")</f>
        <v>N/A</v>
      </c>
      <c r="EU25" s="100" t="str">
        <f>IFERROR(VLOOKUP($B25,'LOD 300 - COLO3'!$B:BB,53,FALSE),"N/A")</f>
        <v>N/A</v>
      </c>
      <c r="EV25" s="100" t="str">
        <f>IFERROR(VLOOKUP($B25,'LOD 300 - COLO3'!$B:BE,56,FALSE),"N/A")</f>
        <v>N/A</v>
      </c>
      <c r="EW25" s="100" t="str">
        <f>IFERROR(VLOOKUP($B25,'LOD 300 - COLO3'!$B:BL,59,FALSE),"N/A")</f>
        <v>N/A</v>
      </c>
      <c r="EX25" s="136"/>
      <c r="EY25" s="103" t="str">
        <f>IFERROR(__xludf.DUMMYFUNCTION("IFERROR(
  MAX(FILTER(EI25:EW25, ISNUMBER(EI25:EW25))),
  EW25
)"),"N/A")</f>
        <v>N/A</v>
      </c>
      <c r="EZ25" s="104" t="str">
        <f>IFERROR(VLOOKUP($B25,'LOD 300 - COLO4'!$B:BT,17,FALSE),"N/A")</f>
        <v>N/A</v>
      </c>
      <c r="FA25" s="103" t="str">
        <f>IFERROR(__xludf.DUMMYFUNCTION("IFERROR(
  MAX(FILTER(EZ25, ISNUMBER(EZ25))),
  EZ25
)"),"N/A")</f>
        <v>N/A</v>
      </c>
      <c r="FB25" s="121" t="str">
        <f>IFERROR(VLOOKUP($B25,'LOD 300 - SITE'!$B:S,18,FALSE),"N/A")</f>
        <v>NOT PUBLISHED</v>
      </c>
      <c r="FC25" s="122" t="str">
        <f>IFERROR(VLOOKUP($B25,'LOD 300 - SITE'!$B:V,21,FALSE),"N/A")</f>
        <v>NOT PUBLISHED</v>
      </c>
      <c r="FD25" s="122" t="str">
        <f>IFERROR(VLOOKUP($B25,'LOD 300 - SITE'!$B:Y,24,FALSE),"N/A")</f>
        <v>NOT PUBLISHED</v>
      </c>
      <c r="FE25" s="122" t="str">
        <f>IFERROR(VLOOKUP($B25,'LOD 300 - SITE'!$B:AB,27,FALSE),"N/A")</f>
        <v>NOT PUBLISHED</v>
      </c>
      <c r="FF25" s="122" t="str">
        <f>IFERROR(VLOOKUP($B25,'LOD 300 - SITE'!$B:AE,30,FALSE),"N/A")</f>
        <v>NOT PUBLISHED</v>
      </c>
      <c r="FG25" s="122" t="str">
        <f>IFERROR(VLOOKUP($B25,'LOD 300 - SITE'!$B:AH,33,FALSE),"N/A")</f>
        <v>NOT PUBLISHED</v>
      </c>
      <c r="FH25" s="122" t="str">
        <f>IFERROR(VLOOKUP($B25,'LOD 300 - SITE'!$B:AK,36,FALSE),"N/A")</f>
        <v>NOT PUBLISHED</v>
      </c>
      <c r="FI25" s="122" t="str">
        <f>IFERROR(VLOOKUP($B25,'LOD 300 - SITE'!$B:AN,39,FALSE),"N/A")</f>
        <v>NOT PUBLISHED</v>
      </c>
      <c r="FJ25" s="122" t="str">
        <f>IFERROR(VLOOKUP($B25,'LOD 300 - SITE'!$B:AQ,42,FALSE),"N/A")</f>
        <v>NOT PUBLISHED</v>
      </c>
      <c r="FK25" s="122" t="str">
        <f>IFERROR(VLOOKUP($B25,'LOD 300 - SITE'!$B:AT,45,FALSE),"N/A")</f>
        <v>NOT PUBLISHED</v>
      </c>
      <c r="FL25" s="123" t="str">
        <f>IFERROR(VLOOKUP($B25,'LOD 300 - SITE'!$B:AW,48,FALSE),"N/A")</f>
        <v>NOT PUBLISHED</v>
      </c>
      <c r="FM25" s="87" t="str">
        <f>IFERROR(VLOOKUP($B25,'LOD 300 - SITE'!$B:AZ,51,FALSE),"N/A")</f>
        <v>NOT PUBLISHED</v>
      </c>
      <c r="FN25" s="94" t="str">
        <f>IFERROR(VLOOKUP($B25,'LOD 300 - SITE'!$B:BC,54,FALSE),"N/A")</f>
        <v>NOT PUBLISHED</v>
      </c>
      <c r="FO25" s="95" t="str">
        <f>IFERROR(VLOOKUP($B25,'LOD 300 - SITE'!$B:BF,57,FALSE),"N/A")</f>
        <v>NOT PUBLISHED</v>
      </c>
      <c r="FP25" s="86" t="str">
        <f>IFERROR(VLOOKUP($B25,'LOD 300 - SITE'!$B:BI,60,FALSE),"N/A")</f>
        <v>NOT PUBLISHED</v>
      </c>
      <c r="FQ25" s="86" t="str">
        <f>IFERROR(VLOOKUP($B25,'LOD 300 - SITE'!$B:BL,63,FALSE),"N/A")</f>
        <v>NOT PUBLISHED</v>
      </c>
      <c r="FR25" s="86" t="str">
        <f>IFERROR(VLOOKUP($B25,'LOD 300 - SITE'!$B:BO,66,FALSE),"N/A")</f>
        <v>NOT PUBLISHED</v>
      </c>
      <c r="FS25" s="86" t="str">
        <f>IFERROR(VLOOKUP($B25,'LOD 300 - SITE'!$B:BR,69,FALSE),"N/A")</f>
        <v>NOT PUBLISHED</v>
      </c>
      <c r="FT25" s="86" t="str">
        <f>IFERROR(VLOOKUP($B25,'LOD 300 - SITE'!$B:BU,72,FALSE),"N/A")</f>
        <v>NOT PUBLISHED</v>
      </c>
      <c r="FU25" s="86" t="str">
        <f>IFERROR(VLOOKUP($B25,'LOD 300 - SITE'!$B:BX,75,FALSE),"N/A")</f>
        <v>NOT PUBLISHED</v>
      </c>
      <c r="FV25" s="86" t="str">
        <f>IFERROR(VLOOKUP($B25,'LOD 300 - SITE'!$B:CA,78,FALSE),"N/A")</f>
        <v>NOT PUBLISHED</v>
      </c>
      <c r="FW25" s="87" t="str">
        <f>IFERROR(VLOOKUP($B25,'LOD 300 - SITE'!$B:CD,81,FALSE),"N/A")</f>
        <v>NOT PUBLISHED</v>
      </c>
      <c r="FX25" s="108" t="str">
        <f>IFERROR(VLOOKUP($B25,'LOD 300 - SITE'!$B:CG,84,FALSE),"N/A")</f>
        <v>NOT PUBLISHED</v>
      </c>
      <c r="FY25" s="108" t="str">
        <f>IFERROR(VLOOKUP($B25,'LOD 300 - SITE'!$B:CJ,87,FALSE),"N/A")</f>
        <v>NOT PUBLISHED</v>
      </c>
      <c r="FZ25" s="108" t="str">
        <f>IFERROR(VLOOKUP($B25,'LOD 300 - SITE'!$B:CM,90,FALSE),"N/A")</f>
        <v>NOT PUBLISHED</v>
      </c>
      <c r="GA25" s="108" t="str">
        <f>IFERROR(VLOOKUP($B25,'LOD 300 - SITE'!$B:CP,93,FALSE),"N/A")</f>
        <v>NOT PUBLISHED</v>
      </c>
      <c r="GB25" s="108" t="str">
        <f>IFERROR(VLOOKUP($B25,'LOD 300 - SITE'!$B:CS,96,FALSE),"N/A")</f>
        <v>NOT PUBLISHED</v>
      </c>
      <c r="GC25" s="109" t="str">
        <f>IFERROR(VLOOKUP($B25,'LOD 300 - SITE'!$B:CV,99,FALSE),"N/A")</f>
        <v>NOT PUBLISHED</v>
      </c>
      <c r="GD25" s="87" t="str">
        <f>IFERROR(VLOOKUP($B25,'LOD 300 - SITE'!$B:CY,102,FALSE),"N/A")</f>
        <v>NOT PUBLISHED</v>
      </c>
      <c r="GE25" s="87" t="str">
        <f>IFERROR(VLOOKUP($B25,'LOD 300 - SITE'!$B:DB,105,FALSE),"N/A")</f>
        <v>NOT PUBLISHED</v>
      </c>
      <c r="GF25" s="87" t="str">
        <f>IFERROR(VLOOKUP($B25,'LOD 300 - SITE'!$B:DE,108,FALSE),"N/A")</f>
        <v>NOT PUBLISHED</v>
      </c>
      <c r="GG25" s="87" t="str">
        <f>IFERROR(VLOOKUP($B25,'LOD 300 - SITE'!$B:DH,111,FALSE),"N/A")</f>
        <v>NOT PUBLISHED</v>
      </c>
      <c r="GH25" s="87" t="str">
        <f>IFERROR(VLOOKUP($B25,'LOD 300 - SITE'!$B:DK,114,FALSE),"N/A")</f>
        <v>NOT PUBLISHED</v>
      </c>
      <c r="GI25" s="87" t="str">
        <f>IFERROR(VLOOKUP($B25,'LOD 300 - SITE'!$B:DN,117,FALSE),"N/A")</f>
        <v>NOT PUBLISHED</v>
      </c>
      <c r="GJ25" s="87" t="str">
        <f>IFERROR(VLOOKUP($B25,'LOD 300 - SITE'!$B:DQ,120,FALSE),"N/A")</f>
        <v>NOT PUBLISHED</v>
      </c>
      <c r="GK25" s="87" t="str">
        <f>IFERROR(VLOOKUP($B25,'LOD 300 - SITE'!$B:DT,123,FALSE),"N/A")</f>
        <v>NOT PUBLISHED</v>
      </c>
      <c r="GL25" s="135"/>
      <c r="GM25" s="110" t="str">
        <f>IFERROR(__xludf.DUMMYFUNCTION("IFERROR(
  MAX(FILTER(FB25:GK25, ISNUMBER(FB25:GK25))),
  GK25
)"),"NOT PUBLISHED")</f>
        <v>NOT PUBLISHED</v>
      </c>
      <c r="GN25" s="68"/>
      <c r="GO25" s="68"/>
      <c r="GP25" s="68"/>
    </row>
    <row r="26" ht="15.0" customHeight="1" outlineLevel="1">
      <c r="A26" s="60">
        <v>29.0</v>
      </c>
      <c r="B26" s="140" t="s">
        <v>152</v>
      </c>
      <c r="C26" s="70" t="s">
        <v>153</v>
      </c>
      <c r="D26" s="71" t="s">
        <v>90</v>
      </c>
      <c r="E26" s="146" t="s">
        <v>115</v>
      </c>
      <c r="F26" s="149">
        <v>0.0</v>
      </c>
      <c r="G26" s="150" t="s">
        <v>115</v>
      </c>
      <c r="H26" s="150"/>
      <c r="I26" s="74" t="str">
        <f>IFERROR(VLOOKUP(C23:C165,'R22 RELATÓRIO ACC'!B:F,5,FALSE),"NOT PUBLISHED")</f>
        <v>NOT PUBLISHED</v>
      </c>
      <c r="J26" s="74" t="str">
        <f>IFERROR(VLOOKUP(C23:C165,'R22 RELATÓRIO ACC'!B:P,15,FALSE),"NOT PUBLISHED")</f>
        <v>NOT PUBLISHED</v>
      </c>
      <c r="K26" s="141" t="str">
        <f>IFERROR(VLOOKUP(B23:B215,'RELATÓRIO ACC'!B:F,5,FALSE),"NOT PUBLISHED")</f>
        <v>NOT PUBLISHED</v>
      </c>
      <c r="L26" s="142" t="str">
        <f>IFERROR(VLOOKUP(B23:B215,'RELATÓRIO ACC'!B:P,15,FALSE),"NOT PUBLISHED")</f>
        <v>NOT PUBLISHED</v>
      </c>
      <c r="M26" s="76" t="str">
        <f>IF(OR($D26="UTLS",$D26="GUAR",$D26="STIR",$D26="PUMP",$D26="SITE"),
   VLOOKUP($B26,'LOD 300 - SITE'!B:M,12,FALSE),
   VLOOKUP($B26,'LOD 300 - ADMN'!B:M,12,FALSE)
)</f>
        <v>NOT PUBLISHED</v>
      </c>
      <c r="N26" s="77" t="str">
        <f>IF(OR($D26="UTLS",$D26="GUAR",$D26="STIR",$D26="PUMP",$D26="SITE"),
   VLOOKUP($B26,'LOD 300 - SITE'!B:N,13,FALSE),
   VLOOKUP($B26,'LOD 300 - ADMN'!B:N,13,FALSE)
)</f>
        <v>NOT PUBLISHED</v>
      </c>
      <c r="O26" s="114" t="str">
        <f>IF(OR($D26="UTLS",$D26="GUAR",$D26="STIR",$D26="PUMP",$D26="SITE"),
   VLOOKUP($B26,'LOD 300 - SITE'!B:O,14,FALSE),
   VLOOKUP($B26,'LOD 300 - ADMN'!B:O,14,FALSE)
)</f>
        <v/>
      </c>
      <c r="P26" s="79" t="str">
        <f>IF(OR($D26="C345",$D26="C12A",$D26="DATA"),
   VLOOKUP($B26,'LOD 300 - COLO3'!B:M,12,FALSE),"N/A")</f>
        <v>N/A</v>
      </c>
      <c r="Q26" s="76" t="str">
        <f>IF(OR($D26="C345",$D26="C12A",$D26="DATA"),
   VLOOKUP($B26,'LOD 300 - COLO3'!B:N,13,FALSE),"N/A")</f>
        <v>N/A</v>
      </c>
      <c r="R26" s="76" t="str">
        <f>IF(OR($D26="C345",$D26="C12A",$D26="DATA"),
   VLOOKUP($B26,'LOD 300 - COLO3'!B:O,14,FALSE),"N/A")</f>
        <v>N/A</v>
      </c>
      <c r="S26" s="79" t="str">
        <f>IF(OR($D26="C345",$D26="C12A",$D26="DATA"),
   VLOOKUP($B26,'LOD 300 - COLO4'!B:M,12,FALSE),"N/A")</f>
        <v>N/A</v>
      </c>
      <c r="T26" s="76" t="str">
        <f>IF(OR($D26="C345",$D26="C12A",$D26="DATA"),
   VLOOKUP($B26,'LOD 300 - COLO4'!B:T,13,FALSE),"N/A")</f>
        <v>N/A</v>
      </c>
      <c r="U26" s="76" t="str">
        <f>IF(OR($D26="C345",$D26="C12A",$D26="DATA"),
   VLOOKUP($B26,'LOD 300 - COLO4'!B:U,17,FALSE),"N/A")</f>
        <v>N/A</v>
      </c>
      <c r="V26" s="126"/>
      <c r="W26" s="144" t="str">
        <f>IFERROR(VLOOKUP($B26,'LOD 300 - ADMN'!$B:S,18,FALSE),"N/A")</f>
        <v>N/A</v>
      </c>
      <c r="X26" s="122" t="str">
        <f>IFERROR(VLOOKUP($B26,'LOD 300 - ADMN'!$B:V,21,FALSE),"N/A")</f>
        <v>N/A</v>
      </c>
      <c r="Y26" s="122" t="str">
        <f>IFERROR(VLOOKUP($B26,'LOD 300 - ADMN'!$B:Y,24,FALSE),"N/A")</f>
        <v>N/A</v>
      </c>
      <c r="Z26" s="122" t="str">
        <f>IFERROR(VLOOKUP($B26,'LOD 300 - ADMN'!$B:AB,27,FALSE),"N/A")</f>
        <v>N/A</v>
      </c>
      <c r="AA26" s="122" t="str">
        <f>IFERROR(VLOOKUP($B26,'LOD 300 - ADMN'!$B:AE,30,FALSE),"N/A")</f>
        <v>N/A</v>
      </c>
      <c r="AB26" s="145" t="str">
        <f>IFERROR(VLOOKUP($B26,'LOD 300 - ADMN'!$B:AH,33,FALSE),"N/A")</f>
        <v>N/A</v>
      </c>
      <c r="AC26" s="145" t="str">
        <f>IFERROR(VLOOKUP($B26,'LOD 300 - ADMN'!$B:AK,36,FALSE),"N/A")</f>
        <v>N/A</v>
      </c>
      <c r="AD26" s="122" t="str">
        <f>IFERROR(VLOOKUP($B26,'LOD 300 - ADMN'!$B:AN,39,FALSE),"N/A")</f>
        <v>N/A</v>
      </c>
      <c r="AE26" s="122" t="str">
        <f>IFERROR(VLOOKUP($B26,'LOD 300 - ADMN'!$B:AQ,42,FALSE),"N/A")</f>
        <v>N/A</v>
      </c>
      <c r="AF26" s="122" t="str">
        <f>IFERROR(VLOOKUP($B26,'LOD 300 - ADMN'!$B:AT,45,FALSE),"N/A")</f>
        <v>N/A</v>
      </c>
      <c r="AG26" s="122" t="str">
        <f>IFERROR(VLOOKUP($B26,'LOD 300 - ADMN'!$B:AW,48,FALSE),"N/A")</f>
        <v>N/A</v>
      </c>
      <c r="AH26" s="122" t="str">
        <f>IFERROR(VLOOKUP($B26,'LOD 300 - ADMN'!$B:AZ,51,FALSE),"N/A")</f>
        <v>N/A</v>
      </c>
      <c r="AI26" s="122" t="str">
        <f>IFERROR(VLOOKUP($B26,'LOD 300 - ADMN'!$B:BC,54,FALSE),"N/A")</f>
        <v>N/A</v>
      </c>
      <c r="AJ26" s="87" t="str">
        <f>IFERROR(VLOOKUP($B26,'LOD 300 - ADMN'!$B:BF,57,FALSE),"N/A")</f>
        <v>N/A</v>
      </c>
      <c r="AK26" s="87" t="str">
        <f>IFERROR(VLOOKUP($B26,'LOD 300 - ADMN'!$B:EP,60,FALSE),"N/A")</f>
        <v>N/A</v>
      </c>
      <c r="AL26" s="87" t="str">
        <f>IFERROR(VLOOKUP($B26,'LOD 300 - ADMN'!$B:EQ,63,FALSE),"N/A")</f>
        <v>N/A</v>
      </c>
      <c r="AM26" s="87" t="str">
        <f>IFERROR(VLOOKUP($B26,'LOD 300 - ADMN'!$B:BO,66,FALSE),"N/A")</f>
        <v>N/A</v>
      </c>
      <c r="AN26" s="87" t="str">
        <f>IFERROR(VLOOKUP($B26,'LOD 300 - ADMN'!$B:BR,69,FALSE),"N/A")</f>
        <v>N/A</v>
      </c>
      <c r="AO26" s="87" t="str">
        <f>IFERROR(VLOOKUP($B26,'LOD 300 - ADMN'!$B:BU,72,FALSE),"N/A")</f>
        <v>N/A</v>
      </c>
      <c r="AP26" s="87" t="str">
        <f>IFERROR(VLOOKUP($B26,'LOD 300 - ADMN'!$B:BX,75,FALSE),"N/A")</f>
        <v>N/A</v>
      </c>
      <c r="AQ26" s="87" t="str">
        <f>IFERROR(VLOOKUP($B26,'LOD 300 - ADMN'!$B:CA,78,FALSE),"N/A")</f>
        <v>N/A</v>
      </c>
      <c r="AR26" s="87" t="str">
        <f>IFERROR(VLOOKUP($B26,'LOD 300 - ADMN'!$B:CD,81,FALSE),"N/A")</f>
        <v>N/A</v>
      </c>
      <c r="AS26" s="87" t="str">
        <f>IFERROR(VLOOKUP($B26,'LOD 300 - ADMN'!$B:CG,84,FALSE),"N/A")</f>
        <v>N/A</v>
      </c>
      <c r="AT26" s="87" t="str">
        <f>IFERROR(VLOOKUP($B26,'LOD 300 - ADMN'!$B:CJ,87,FALSE),"N/A")</f>
        <v>N/A</v>
      </c>
      <c r="AU26" s="88" t="str">
        <f>IFERROR(VLOOKUP($B26,'LOD 300 - ADMN'!$B:CM,90,FALSE),"N/A")</f>
        <v>N/A</v>
      </c>
      <c r="AV26" s="88" t="str">
        <f>IFERROR(VLOOKUP($B26,'LOD 300 - ADMN'!$B:CP,93,FALSE),"N/A")</f>
        <v>N/A</v>
      </c>
      <c r="AW26" s="88" t="str">
        <f>IFERROR(VLOOKUP($B26,'LOD 300 - ADMN'!$B:CS,96,FALSE),"N/A")</f>
        <v>N/A</v>
      </c>
      <c r="AX26" s="88" t="str">
        <f>IFERROR(VLOOKUP($B26,'LOD 300 - ADMN'!$B:CV,99,FALSE),"N/A")</f>
        <v>N/A</v>
      </c>
      <c r="AY26" s="88" t="str">
        <f>IFERROR(VLOOKUP($B26,'LOD 300 - ADMN'!$B:CY,102,FALSE),"N/A")</f>
        <v>N/A</v>
      </c>
      <c r="AZ26" s="88" t="str">
        <f>IFERROR(VLOOKUP($B26,'LOD 300 - ADMN'!$B:DB,105,FALSE),"N/A")</f>
        <v>N/A</v>
      </c>
      <c r="BA26" s="87" t="str">
        <f>IFERROR(VLOOKUP($B26,'LOD 300 - ADMN'!$B:DE,108,FALSE),"N/A")</f>
        <v>N/A</v>
      </c>
      <c r="BB26" s="87" t="str">
        <f>IFERROR(VLOOKUP($B26,'LOD 300 - ADMN'!$B:DH,111,FALSE),"N/A")</f>
        <v>N/A</v>
      </c>
      <c r="BC26" s="87" t="str">
        <f>IFERROR(VLOOKUP($B26,'LOD 300 - ADMN'!$B:DK,114,FALSE),"N/A")</f>
        <v>N/A</v>
      </c>
      <c r="BD26" s="87" t="str">
        <f>IFERROR(VLOOKUP($B26,'LOD 300 - ADMN'!$B:DN,117,FALSE),"N/A")</f>
        <v>N/A</v>
      </c>
      <c r="BE26" s="87" t="str">
        <f>IFERROR(VLOOKUP($B26,'LOD 300 - ADMN'!$B:DQ,120,FALSE),"N/A")</f>
        <v>N/A</v>
      </c>
      <c r="BF26" s="87" t="str">
        <f>IFERROR(VLOOKUP($B26,'LOD 300 - ADMN'!$B:DT,123,FALSE),"N/A")</f>
        <v>N/A</v>
      </c>
      <c r="BG26" s="87" t="str">
        <f>IFERROR(VLOOKUP($B26,'LOD 300 - ADMN'!$B:DW,126,FALSE),"N/A")</f>
        <v>N/A</v>
      </c>
      <c r="BH26" s="87" t="str">
        <f>IFERROR(VLOOKUP($B26,'LOD 300 - ADMN'!$B:DZ,129,FALSE),"N/A")</f>
        <v>N/A</v>
      </c>
      <c r="BI26" s="134"/>
      <c r="BJ26" s="90" t="str">
        <f>IFERROR(__xludf.DUMMYFUNCTION("IFERROR(
  MAX(FILTER(X26:BH26, ISNUMBER(X26:BH26))),
  BH26
)"),"N/A")</f>
        <v>N/A</v>
      </c>
      <c r="BK26" s="91" t="str">
        <f>IFERROR(VLOOKUP($B26,'LOD 300 - COLO1'!$B:S,18,FALSE),"N/A")</f>
        <v>N/A</v>
      </c>
      <c r="BL26" s="92" t="str">
        <f>IFERROR(VLOOKUP($B26,'LOD 300 - COLO1'!$B:V,21,FALSE),"N/A")</f>
        <v>N/A</v>
      </c>
      <c r="BM26" s="92" t="str">
        <f>IFERROR(VLOOKUP($B26,'LOD 300 - COLO1'!$B:Y,24,FALSE),"N/A")</f>
        <v>N/A</v>
      </c>
      <c r="BN26" s="92" t="str">
        <f>IFERROR(VLOOKUP($B26,'LOD 300 - COLO1'!$B:AB,27,FALSE),"N/A")</f>
        <v>N/A</v>
      </c>
      <c r="BO26" s="92" t="str">
        <f>IFERROR(VLOOKUP($B26,'LOD 300 - COLO1'!$B:AE,30,FALSE),"N/A")</f>
        <v>N/A</v>
      </c>
      <c r="BP26" s="92" t="str">
        <f>IFERROR(VLOOKUP($B26,'LOD 300 - COLO1'!$B:AH,33,FALSE),"N/A")</f>
        <v>N/A</v>
      </c>
      <c r="BQ26" s="92" t="str">
        <f>IFERROR(VLOOKUP($B26,'LOD 300 - COLO1'!$B:AK,36,FALSE),"N/A")</f>
        <v>N/A</v>
      </c>
      <c r="BR26" s="92" t="str">
        <f>IFERROR(VLOOKUP($B26,'LOD 300 - COLO1'!$B:AN,39,FALSE),"N/A")</f>
        <v>N/A</v>
      </c>
      <c r="BS26" s="92" t="str">
        <f>IFERROR(VLOOKUP($B26,'LOD 300 - COLO1'!$B:AQ,42,FALSE),"N/A")</f>
        <v>N/A</v>
      </c>
      <c r="BT26" s="92" t="str">
        <f>IFERROR(VLOOKUP($B26,'LOD 300 - COLO1'!$B:AT,45,FALSE),"N/A")</f>
        <v>N/A</v>
      </c>
      <c r="BU26" s="92" t="str">
        <f>IFERROR(VLOOKUP($B26,'LOD 300 - COLO1'!$B:AW,48,FALSE),"N/A")</f>
        <v>N/A</v>
      </c>
      <c r="BV26" s="92" t="str">
        <f>IFERROR(VLOOKUP($B26,'LOD 300 - COLO1'!$B:AZ,51,FALSE),"N/A")</f>
        <v>N/A</v>
      </c>
      <c r="BW26" s="92" t="str">
        <f>IFERROR(VLOOKUP($B26,'LOD 300 - COLO1'!$B:BC,54,FALSE),"N/A")</f>
        <v>N/A</v>
      </c>
      <c r="BX26" s="94" t="str">
        <f>IFERROR(VLOOKUP($B26,'LOD 300 - COLO1'!$B:BF,57,FALSE),"N/A")</f>
        <v>N/A</v>
      </c>
      <c r="BY26" s="94" t="str">
        <f>IFERROR(VLOOKUP($B26,'LOD 300 - COLO1'!$B:BI,60,FALSE),"N/A")</f>
        <v>N/A</v>
      </c>
      <c r="BZ26" s="95" t="str">
        <f>IFERROR(VLOOKUP($B26,'LOD 300 - COLO1'!$B:BL,63,FALSE),"N/A")</f>
        <v>N/A</v>
      </c>
      <c r="CA26" s="86" t="str">
        <f>IFERROR(VLOOKUP($B26,'LOD 300 - COLO1'!$B:BO,66,FALSE),"N/A")</f>
        <v>N/A</v>
      </c>
      <c r="CB26" s="86" t="str">
        <f>IFERROR(VLOOKUP($B26,'LOD 300 - COLO1'!$B:BR,69,FALSE),"N/A")</f>
        <v>N/A</v>
      </c>
      <c r="CC26" s="86" t="str">
        <f>IFERROR(VLOOKUP($B26,'LOD 300 - COLO1'!$B:BU,72,FALSE),"N/A")</f>
        <v>N/A</v>
      </c>
      <c r="CD26" s="86" t="str">
        <f>IFERROR(VLOOKUP($B26,'LOD 300 - COLO1'!$B:BX,75,FALSE),"N/A")</f>
        <v>N/A</v>
      </c>
      <c r="CE26" s="86" t="str">
        <f>IFERROR(VLOOKUP($B26,'LOD 300 - COLO1'!$B:CA,78,FALSE),"N/A")</f>
        <v>N/A</v>
      </c>
      <c r="CF26" s="87" t="str">
        <f>IFERROR(VLOOKUP($B26,'LOD 300 - COLO1'!$B:CD,81,FALSE),"N/A")</f>
        <v>N/A</v>
      </c>
      <c r="CG26" s="86" t="str">
        <f>IFERROR(VLOOKUP($B26,'LOD 300 - COLO1'!$B:CG,84,FALSE),"N/A")</f>
        <v>N/A</v>
      </c>
      <c r="CH26" s="87" t="str">
        <f>IFERROR(VLOOKUP($B26,'LOD 300 - COLO1'!$B:CJ,87,FALSE),"N/A")</f>
        <v>N/A</v>
      </c>
      <c r="CI26" s="88" t="str">
        <f>IFERROR(VLOOKUP($B26,'LOD 300 - COLO1'!$B:CM,90,FALSE),"N/A")</f>
        <v>N/A</v>
      </c>
      <c r="CJ26" s="88" t="str">
        <f>IFERROR(VLOOKUP($B26,'LOD 300 - COLO1'!$B:CP,93,FALSE),"N/A")</f>
        <v>N/A</v>
      </c>
      <c r="CK26" s="88" t="str">
        <f>IFERROR(VLOOKUP($B26,'LOD 300 - COLO1'!$B:CS,96,FALSE),"N/A")</f>
        <v>N/A</v>
      </c>
      <c r="CL26" s="88" t="str">
        <f>IFERROR(VLOOKUP($B26,'LOD 300 - COLO1'!$B:CV,99,FALSE),"N/A")</f>
        <v>N/A</v>
      </c>
      <c r="CM26" s="88" t="str">
        <f>IFERROR(VLOOKUP($B26,'LOD 300 - COLO1'!$B:CY,102,FALSE),"N/A")</f>
        <v>N/A</v>
      </c>
      <c r="CN26" s="89" t="str">
        <f>IFERROR(VLOOKUP($B26,'LOD 300 - COLO1'!$B:DB,105,FALSE),"N/A")</f>
        <v>N/A</v>
      </c>
      <c r="CO26" s="87" t="str">
        <f>IFERROR(VLOOKUP($B26,'LOD 300 - COLO1'!$B:EE,108,FALSE),"N/A")</f>
        <v>N/A</v>
      </c>
      <c r="CP26" s="87" t="str">
        <f>IFERROR(VLOOKUP($B26,'LOD 300 - COLO1'!$B:EH,111,FALSE),"N/A")</f>
        <v>N/A</v>
      </c>
      <c r="CQ26" s="87" t="str">
        <f>IFERROR(VLOOKUP($B26,'LOD 300 - COLO1'!$B:EK,114,FALSE),"N/A")</f>
        <v>N/A</v>
      </c>
      <c r="CR26" s="87" t="str">
        <f>IFERROR(VLOOKUP($B26,'LOD 300 - COLO1'!$B:EN,117,FALSE),"N/A")</f>
        <v>N/A</v>
      </c>
      <c r="CS26" s="87" t="str">
        <f>IFERROR(VLOOKUP($B26,'LOD 300 - COLO1'!$B:EQ,120,FALSE),"N/A")</f>
        <v>N/A</v>
      </c>
      <c r="CT26" s="87" t="str">
        <f>IFERROR(VLOOKUP($B26,'LOD 300 - COLO1'!$B:ET,123,FALSE),"N/A")</f>
        <v>N/A</v>
      </c>
      <c r="CU26" s="87" t="str">
        <f>IFERROR(VLOOKUP($B26,'LOD 300 - COLO1'!$B:EW,126,FALSE),"N/A")</f>
        <v>N/A</v>
      </c>
      <c r="CV26" s="87" t="str">
        <f>IFERROR(VLOOKUP($B26,'LOD 300 - COLO1'!$B:EZ,129,FALSE),"N/A")</f>
        <v>N/A</v>
      </c>
      <c r="CW26" s="135"/>
      <c r="CX26" s="96" t="str">
        <f>IFERROR(__xludf.DUMMYFUNCTION("IFERROR(
  MAX(FILTER(BK26:CV26, ISNUMBER(BK26:CV26))),
  CV26
)"),"N/A")</f>
        <v>N/A</v>
      </c>
      <c r="CY26" s="104" t="str">
        <f>IFERROR(VLOOKUP($B26,'LOD 300 - COLO2'!$B:S,18,FALSE),"N/A")</f>
        <v>N/A</v>
      </c>
      <c r="CZ26" s="117" t="str">
        <f>IFERROR(VLOOKUP($B26,'LOD 300 - COLO2'!$B:V,21,FALSE),"N/A")</f>
        <v>N/A</v>
      </c>
      <c r="DA26" s="117" t="str">
        <f>IFERROR(VLOOKUP($B26,'LOD 300 - COLO2'!$B:Y,24,FALSE),"N/A")</f>
        <v>N/A</v>
      </c>
      <c r="DB26" s="117" t="str">
        <f>IFERROR(VLOOKUP($B26,'LOD 300 - COLO2'!$B:AB,27,FALSE),"N/A")</f>
        <v>N/A</v>
      </c>
      <c r="DC26" s="92" t="str">
        <f>IFERROR(VLOOKUP($B26,'LOD 300 - COLO2'!$B:AE,30,FALSE),"N/A")</f>
        <v>N/A</v>
      </c>
      <c r="DD26" s="120" t="str">
        <f>IFERROR(VLOOKUP($B26,'LOD 300 - COLO2'!$B:AH,33,FALSE),"N/A")</f>
        <v>N/A</v>
      </c>
      <c r="DE26" s="117" t="str">
        <f>IFERROR(VLOOKUP($B26,'LOD 300 - COLO2'!$B:AK,36,FALSE),"N/A")</f>
        <v>N/A</v>
      </c>
      <c r="DF26" s="117" t="str">
        <f>IFERROR(VLOOKUP($B26,'LOD 300 - COLO2'!$B:AN,39,FALSE),"N/A")</f>
        <v>N/A</v>
      </c>
      <c r="DG26" s="119" t="str">
        <f>IFERROR(VLOOKUP($B26,'LOD 300 - COLO2'!$B:AQ,42,FALSE),"N/A")</f>
        <v>N/A</v>
      </c>
      <c r="DH26" s="87" t="str">
        <f>IFERROR(VLOOKUP($B26,'LOD 300 - COLO2'!$B:AT,45,FALSE),"N/A")</f>
        <v>N/A</v>
      </c>
      <c r="DI26" s="94" t="str">
        <f>IFERROR(VLOOKUP($B26,'LOD 300 - COLO2'!$B:AW,48,FALSE),"N/A")</f>
        <v>N/A</v>
      </c>
      <c r="DJ26" s="95" t="str">
        <f>IFERROR(VLOOKUP($B26,'LOD 300 - COLO2'!$B:AZ,51,FALSE),"N/A")</f>
        <v>N/A</v>
      </c>
      <c r="DK26" s="86" t="str">
        <f>IFERROR(VLOOKUP($B26,'LOD 300 - COLO2'!$B:BC,54,FALSE),"N/A")</f>
        <v>N/A</v>
      </c>
      <c r="DL26" s="86" t="str">
        <f>IFERROR(VLOOKUP($B26,'LOD 300 - COLO2'!$B:BF,57,FALSE),"N/A")</f>
        <v>N/A</v>
      </c>
      <c r="DM26" s="86" t="str">
        <f>IFERROR(VLOOKUP($B26,'LOD 300 - COLO2'!$B:BI,60,FALSE),"N/A")</f>
        <v>N/A</v>
      </c>
      <c r="DN26" s="86" t="str">
        <f>IFERROR(VLOOKUP($B26,'LOD 300 - COLO2'!$B:BL,63,FALSE),"N/A")</f>
        <v>N/A</v>
      </c>
      <c r="DO26" s="86" t="str">
        <f>IFERROR(VLOOKUP($B26,'LOD 300 - COLO2'!$B:BO,66,FALSE),"N/A")</f>
        <v>N/A</v>
      </c>
      <c r="DP26" s="87" t="str">
        <f>IFERROR(VLOOKUP($B26,'LOD 300 - COLO2'!$B:BR,69,FALSE),"N/A")</f>
        <v>N/A</v>
      </c>
      <c r="DQ26" s="87" t="str">
        <f>IFERROR(VLOOKUP($B26,'LOD 300 - COLO2'!$B:BU,72,FALSE),"N/A")</f>
        <v>N/A</v>
      </c>
      <c r="DR26" s="87" t="str">
        <f>IFERROR(VLOOKUP($B26,'LOD 300 - COLO2'!$B:BX,75,FALSE),"N/A")</f>
        <v>N/A</v>
      </c>
      <c r="DS26" s="98" t="str">
        <f>IFERROR(VLOOKUP($B26,'LOD 300 - COLO2'!$B:CA,78,FALSE),"N/A")</f>
        <v>N/A</v>
      </c>
      <c r="DT26" s="98" t="str">
        <f>IFERROR(VLOOKUP($B26,'LOD 300 - COLO2'!$B:CD,81,FALSE),"N/A")</f>
        <v>N/A</v>
      </c>
      <c r="DU26" s="98" t="str">
        <f>IFERROR(VLOOKUP($B26,'LOD 300 - COLO2'!$B:CG,84,FALSE),"N/A")</f>
        <v>N/A</v>
      </c>
      <c r="DV26" s="98" t="str">
        <f>IFERROR(VLOOKUP($B26,'LOD 300 - COLO2'!$B:CJ,87,FALSE),"N/A")</f>
        <v>N/A</v>
      </c>
      <c r="DW26" s="98" t="str">
        <f>IFERROR(VLOOKUP($B26,'LOD 300 - COLO2'!$B:CM,90,FALSE),"N/A")</f>
        <v>N/A</v>
      </c>
      <c r="DX26" s="98" t="str">
        <f>IFERROR(VLOOKUP($B26,'LOD 300 - COLO2'!$B:CP,93,FALSE),"N/A")</f>
        <v>N/A</v>
      </c>
      <c r="DY26" s="87" t="str">
        <f>IFERROR(VLOOKUP($B26,'LOD 300 - COLO2'!$B:CS,96,FALSE),"N/A")</f>
        <v>N/A</v>
      </c>
      <c r="DZ26" s="87" t="str">
        <f>IFERROR(VLOOKUP($B26,'LOD 300 - COLO2'!$B:CV,99,FALSE),"N/A")</f>
        <v>N/A</v>
      </c>
      <c r="EA26" s="87" t="str">
        <f>IFERROR(VLOOKUP($B26,'LOD 300 - COLO2'!$B:DB,105,FALSE),"N/A")</f>
        <v>N/A</v>
      </c>
      <c r="EB26" s="87" t="str">
        <f>IFERROR(VLOOKUP($B26,'LOD 300 - COLO2'!$B:DB,105,FALSE),"N/A")</f>
        <v>N/A</v>
      </c>
      <c r="EC26" s="87" t="str">
        <f>IFERROR(VLOOKUP($B26,'LOD 300 - COLO2'!$B:DE,108,FALSE),"N/A")</f>
        <v>N/A</v>
      </c>
      <c r="ED26" s="87" t="str">
        <f>IFERROR(VLOOKUP($B26,'LOD 300 - COLO2'!$B:DH,111,FALSE),"N/A")</f>
        <v>N/A</v>
      </c>
      <c r="EE26" s="87" t="str">
        <f>IFERROR(VLOOKUP($B26,'LOD 300 - COLO2'!$B:DK,114,FALSE),"N/A")</f>
        <v>N/A</v>
      </c>
      <c r="EF26" s="87" t="str">
        <f>IFERROR(VLOOKUP($B26,'LOD 300 - COLO2'!$B:DN,117,FALSE),"N/A")</f>
        <v>N/A</v>
      </c>
      <c r="EG26" s="135"/>
      <c r="EH26" s="99" t="str">
        <f>IFERROR(__xludf.DUMMYFUNCTION("IFERROR(
  MAX(FILTER(CZ26:EF26, ISNUMBER(CZ26:EF26))),
  EF26
)"),"N/A")</f>
        <v>N/A</v>
      </c>
      <c r="EI26" s="100" t="str">
        <f>IFERROR(VLOOKUP($B26,'LOD 300 - COLO3'!$B:R,17,FALSE),"N/A")</f>
        <v>N/A</v>
      </c>
      <c r="EJ26" s="127" t="str">
        <f>IFERROR(VLOOKUP($B26,'LOD 300 - COLO3'!$B:U,20,FALSE),"N/A")</f>
        <v>N/A</v>
      </c>
      <c r="EK26" s="127" t="str">
        <f>IFERROR(VLOOKUP($B26,'LOD 300 - COLO3'!$B:X,23,FALSE),"N/A")</f>
        <v>N/A</v>
      </c>
      <c r="EL26" s="127" t="str">
        <f>IFERROR(VLOOKUP($B26,'LOD 300 - COLO3'!$B:AA,26,FALSE),"N/A")</f>
        <v>N/A</v>
      </c>
      <c r="EM26" s="127" t="str">
        <f>IFERROR(VLOOKUP($B26,'LOD 300 - COLO3'!$B:AD,29,FALSE),"N/A")</f>
        <v>N/A</v>
      </c>
      <c r="EN26" s="127" t="str">
        <f>IFERROR(VLOOKUP($B26,'LOD 300 - COLO3'!$B:AG,32,FALSE),"N/A")</f>
        <v>N/A</v>
      </c>
      <c r="EO26" s="127" t="str">
        <f>IFERROR(VLOOKUP($B26,'LOD 300 - COLO3'!$B:AJ,35,FALSE),"N/A")</f>
        <v>N/A</v>
      </c>
      <c r="EP26" s="100" t="str">
        <f>IFERROR(VLOOKUP($B26,'LOD 300 - COLO3'!$B:AM,38,FALSE),"N/A")</f>
        <v>N/A</v>
      </c>
      <c r="EQ26" s="100" t="str">
        <f>IFERROR(VLOOKUP($B26,'LOD 300 - COLO3'!$B:AP,41,FALSE),"N/A")</f>
        <v>N/A</v>
      </c>
      <c r="ER26" s="100" t="str">
        <f>IFERROR(VLOOKUP($B26,'LOD 300 - COLO3'!$B:AS,44,FALSE),"N/A")</f>
        <v>N/A</v>
      </c>
      <c r="ES26" s="100" t="str">
        <f>IFERROR(VLOOKUP($B26,'LOD 300 - COLO3'!$B:AV,47,FALSE),"N/A")</f>
        <v>N/A</v>
      </c>
      <c r="ET26" s="100" t="str">
        <f>IFERROR(VLOOKUP($B26,'LOD 300 - COLO3'!$B:AY,50,FALSE),"N/A")</f>
        <v>N/A</v>
      </c>
      <c r="EU26" s="100" t="str">
        <f>IFERROR(VLOOKUP($B26,'LOD 300 - COLO3'!$B:BB,53,FALSE),"N/A")</f>
        <v>N/A</v>
      </c>
      <c r="EV26" s="100" t="str">
        <f>IFERROR(VLOOKUP($B26,'LOD 300 - COLO3'!$B:BE,56,FALSE),"N/A")</f>
        <v>N/A</v>
      </c>
      <c r="EW26" s="100" t="str">
        <f>IFERROR(VLOOKUP($B26,'LOD 300 - COLO3'!$B:BL,59,FALSE),"N/A")</f>
        <v>N/A</v>
      </c>
      <c r="EX26" s="136"/>
      <c r="EY26" s="103" t="str">
        <f>IFERROR(__xludf.DUMMYFUNCTION("IFERROR(
  MAX(FILTER(EI26:EW26, ISNUMBER(EI26:EW26))),
  EW26
)"),"N/A")</f>
        <v>N/A</v>
      </c>
      <c r="EZ26" s="104" t="str">
        <f>IFERROR(VLOOKUP($B26,'LOD 300 - COLO4'!$B:BT,17,FALSE),"N/A")</f>
        <v>N/A</v>
      </c>
      <c r="FA26" s="103" t="str">
        <f>IFERROR(__xludf.DUMMYFUNCTION("IFERROR(
  MAX(FILTER(EZ26, ISNUMBER(EZ26))),
  EZ26
)"),"N/A")</f>
        <v>N/A</v>
      </c>
      <c r="FB26" s="121" t="str">
        <f>IFERROR(VLOOKUP($B26,'LOD 300 - SITE'!$B:S,18,FALSE),"N/A")</f>
        <v>NOT PUBLISHED</v>
      </c>
      <c r="FC26" s="122" t="str">
        <f>IFERROR(VLOOKUP($B26,'LOD 300 - SITE'!$B:V,21,FALSE),"N/A")</f>
        <v>NOT PUBLISHED</v>
      </c>
      <c r="FD26" s="122" t="str">
        <f>IFERROR(VLOOKUP($B26,'LOD 300 - SITE'!$B:Y,24,FALSE),"N/A")</f>
        <v>NOT PUBLISHED</v>
      </c>
      <c r="FE26" s="122" t="str">
        <f>IFERROR(VLOOKUP($B26,'LOD 300 - SITE'!$B:AB,27,FALSE),"N/A")</f>
        <v>NOT PUBLISHED</v>
      </c>
      <c r="FF26" s="122" t="str">
        <f>IFERROR(VLOOKUP($B26,'LOD 300 - SITE'!$B:AE,30,FALSE),"N/A")</f>
        <v>NOT PUBLISHED</v>
      </c>
      <c r="FG26" s="122" t="str">
        <f>IFERROR(VLOOKUP($B26,'LOD 300 - SITE'!$B:AH,33,FALSE),"N/A")</f>
        <v>NOT PUBLISHED</v>
      </c>
      <c r="FH26" s="122" t="str">
        <f>IFERROR(VLOOKUP($B26,'LOD 300 - SITE'!$B:AK,36,FALSE),"N/A")</f>
        <v>NOT PUBLISHED</v>
      </c>
      <c r="FI26" s="122" t="str">
        <f>IFERROR(VLOOKUP($B26,'LOD 300 - SITE'!$B:AN,39,FALSE),"N/A")</f>
        <v>NOT PUBLISHED</v>
      </c>
      <c r="FJ26" s="122" t="str">
        <f>IFERROR(VLOOKUP($B26,'LOD 300 - SITE'!$B:AQ,42,FALSE),"N/A")</f>
        <v>NOT PUBLISHED</v>
      </c>
      <c r="FK26" s="122" t="str">
        <f>IFERROR(VLOOKUP($B26,'LOD 300 - SITE'!$B:AT,45,FALSE),"N/A")</f>
        <v>NOT PUBLISHED</v>
      </c>
      <c r="FL26" s="123" t="str">
        <f>IFERROR(VLOOKUP($B26,'LOD 300 - SITE'!$B:AW,48,FALSE),"N/A")</f>
        <v>NOT PUBLISHED</v>
      </c>
      <c r="FM26" s="87" t="str">
        <f>IFERROR(VLOOKUP($B26,'LOD 300 - SITE'!$B:AZ,51,FALSE),"N/A")</f>
        <v>NOT PUBLISHED</v>
      </c>
      <c r="FN26" s="94" t="str">
        <f>IFERROR(VLOOKUP($B26,'LOD 300 - SITE'!$B:BC,54,FALSE),"N/A")</f>
        <v>NOT PUBLISHED</v>
      </c>
      <c r="FO26" s="95" t="str">
        <f>IFERROR(VLOOKUP($B26,'LOD 300 - SITE'!$B:BF,57,FALSE),"N/A")</f>
        <v>NOT PUBLISHED</v>
      </c>
      <c r="FP26" s="86" t="str">
        <f>IFERROR(VLOOKUP($B26,'LOD 300 - SITE'!$B:BI,60,FALSE),"N/A")</f>
        <v>NOT PUBLISHED</v>
      </c>
      <c r="FQ26" s="86" t="str">
        <f>IFERROR(VLOOKUP($B26,'LOD 300 - SITE'!$B:BL,63,FALSE),"N/A")</f>
        <v>NOT PUBLISHED</v>
      </c>
      <c r="FR26" s="86" t="str">
        <f>IFERROR(VLOOKUP($B26,'LOD 300 - SITE'!$B:BO,66,FALSE),"N/A")</f>
        <v>NOT PUBLISHED</v>
      </c>
      <c r="FS26" s="86" t="str">
        <f>IFERROR(VLOOKUP($B26,'LOD 300 - SITE'!$B:BR,69,FALSE),"N/A")</f>
        <v>NOT PUBLISHED</v>
      </c>
      <c r="FT26" s="86" t="str">
        <f>IFERROR(VLOOKUP($B26,'LOD 300 - SITE'!$B:BU,72,FALSE),"N/A")</f>
        <v>NOT PUBLISHED</v>
      </c>
      <c r="FU26" s="86" t="str">
        <f>IFERROR(VLOOKUP($B26,'LOD 300 - SITE'!$B:BX,75,FALSE),"N/A")</f>
        <v>NOT PUBLISHED</v>
      </c>
      <c r="FV26" s="86" t="str">
        <f>IFERROR(VLOOKUP($B26,'LOD 300 - SITE'!$B:CA,78,FALSE),"N/A")</f>
        <v>NOT PUBLISHED</v>
      </c>
      <c r="FW26" s="87" t="str">
        <f>IFERROR(VLOOKUP($B26,'LOD 300 - SITE'!$B:CD,81,FALSE),"N/A")</f>
        <v>NOT PUBLISHED</v>
      </c>
      <c r="FX26" s="108" t="str">
        <f>IFERROR(VLOOKUP($B26,'LOD 300 - SITE'!$B:CG,84,FALSE),"N/A")</f>
        <v>NOT PUBLISHED</v>
      </c>
      <c r="FY26" s="108" t="str">
        <f>IFERROR(VLOOKUP($B26,'LOD 300 - SITE'!$B:CJ,87,FALSE),"N/A")</f>
        <v>NOT PUBLISHED</v>
      </c>
      <c r="FZ26" s="108" t="str">
        <f>IFERROR(VLOOKUP($B26,'LOD 300 - SITE'!$B:CM,90,FALSE),"N/A")</f>
        <v>NOT PUBLISHED</v>
      </c>
      <c r="GA26" s="108" t="str">
        <f>IFERROR(VLOOKUP($B26,'LOD 300 - SITE'!$B:CP,93,FALSE),"N/A")</f>
        <v>NOT PUBLISHED</v>
      </c>
      <c r="GB26" s="108" t="str">
        <f>IFERROR(VLOOKUP($B26,'LOD 300 - SITE'!$B:CS,96,FALSE),"N/A")</f>
        <v>NOT PUBLISHED</v>
      </c>
      <c r="GC26" s="109" t="str">
        <f>IFERROR(VLOOKUP($B26,'LOD 300 - SITE'!$B:CV,99,FALSE),"N/A")</f>
        <v>NOT PUBLISHED</v>
      </c>
      <c r="GD26" s="87" t="str">
        <f>IFERROR(VLOOKUP($B26,'LOD 300 - SITE'!$B:CY,102,FALSE),"N/A")</f>
        <v>NOT PUBLISHED</v>
      </c>
      <c r="GE26" s="87" t="str">
        <f>IFERROR(VLOOKUP($B26,'LOD 300 - SITE'!$B:DB,105,FALSE),"N/A")</f>
        <v>NOT PUBLISHED</v>
      </c>
      <c r="GF26" s="87" t="str">
        <f>IFERROR(VLOOKUP($B26,'LOD 300 - SITE'!$B:DE,108,FALSE),"N/A")</f>
        <v>NOT PUBLISHED</v>
      </c>
      <c r="GG26" s="87" t="str">
        <f>IFERROR(VLOOKUP($B26,'LOD 300 - SITE'!$B:DH,111,FALSE),"N/A")</f>
        <v>NOT PUBLISHED</v>
      </c>
      <c r="GH26" s="87" t="str">
        <f>IFERROR(VLOOKUP($B26,'LOD 300 - SITE'!$B:DK,114,FALSE),"N/A")</f>
        <v>NOT PUBLISHED</v>
      </c>
      <c r="GI26" s="87" t="str">
        <f>IFERROR(VLOOKUP($B26,'LOD 300 - SITE'!$B:DN,117,FALSE),"N/A")</f>
        <v>NOT PUBLISHED</v>
      </c>
      <c r="GJ26" s="87" t="str">
        <f>IFERROR(VLOOKUP($B26,'LOD 300 - SITE'!$B:DQ,120,FALSE),"N/A")</f>
        <v>NOT PUBLISHED</v>
      </c>
      <c r="GK26" s="87" t="str">
        <f>IFERROR(VLOOKUP($B26,'LOD 300 - SITE'!$B:DT,123,FALSE),"N/A")</f>
        <v>NOT PUBLISHED</v>
      </c>
      <c r="GL26" s="135"/>
      <c r="GM26" s="110" t="str">
        <f>IFERROR(__xludf.DUMMYFUNCTION("IFERROR(
  MAX(FILTER(FB26:GK26, ISNUMBER(FB26:GK26))),
  GK26
)"),"NOT PUBLISHED")</f>
        <v>NOT PUBLISHED</v>
      </c>
      <c r="GN26" s="68"/>
      <c r="GO26" s="68"/>
      <c r="GP26" s="68"/>
    </row>
    <row r="27" ht="15.0" customHeight="1" outlineLevel="1">
      <c r="A27" s="60">
        <v>30.0</v>
      </c>
      <c r="B27" s="140" t="s">
        <v>154</v>
      </c>
      <c r="C27" s="70" t="s">
        <v>155</v>
      </c>
      <c r="D27" s="71" t="s">
        <v>85</v>
      </c>
      <c r="E27" s="138" t="s">
        <v>156</v>
      </c>
      <c r="F27" s="149">
        <v>0.0</v>
      </c>
      <c r="G27" s="154" t="s">
        <v>157</v>
      </c>
      <c r="H27" s="150"/>
      <c r="I27" s="74" t="str">
        <f>IFERROR(VLOOKUP(C24:C166,'R22 RELATÓRIO ACC'!B:F,5,FALSE),"NOT PUBLISHED")</f>
        <v>V4</v>
      </c>
      <c r="J27" s="74" t="str">
        <f>IFERROR(VLOOKUP(C24:C166,'R22 RELATÓRIO ACC'!B:P,15,FALSE),"NOT PUBLISHED")</f>
        <v>29/04/2026</v>
      </c>
      <c r="K27" s="141" t="str">
        <f>IFERROR(VLOOKUP(B24:B216,'RELATÓRIO ACC'!B:F,5,FALSE),"NOT PUBLISHED")</f>
        <v>V1</v>
      </c>
      <c r="L27" s="142" t="str">
        <f>IFERROR(VLOOKUP(B24:B216,'RELATÓRIO ACC'!B:P,15,FALSE),"NOT PUBLISHED")</f>
        <v>04/06/2026</v>
      </c>
      <c r="M27" s="76" t="str">
        <f>IF(OR($D27="UTLS",$D27="GUAR",$D27="STIR",$D27="PUMP",$D27="SITE"),
   VLOOKUP($B27,'LOD 300 - SITE'!B:M,12,FALSE),
   VLOOKUP($B27,'LOD 300 - ADMN'!B:M,12,FALSE)
)</f>
        <v>V1</v>
      </c>
      <c r="N27" s="77" t="str">
        <f>IF(OR($D27="UTLS",$D27="GUAR",$D27="STIR",$D27="PUMP",$D27="SITE"),
   VLOOKUP($B27,'LOD 300 - SITE'!B:N,13,FALSE),
   VLOOKUP($B27,'LOD 300 - ADMN'!B:N,13,FALSE)
)</f>
        <v>04/06/2026</v>
      </c>
      <c r="O27" s="78" t="str">
        <f>IF(OR($D27="UTLS",$D27="GUAR",$D27="STIR",$D27="PUMP",$D27="SITE"),
   VLOOKUP($B27,'LOD 300 - SITE'!B:O,14,FALSE),
   VLOOKUP($B27,'LOD 300 - ADMN'!B:O,14,FALSE)
)</f>
        <v>R24</v>
      </c>
      <c r="P27" s="79" t="str">
        <f>IF(OR($D27="C345",$D27="C12A",$D27="DATA"),
   VLOOKUP($B27,'LOD 300 - COLO3'!B:M,12,FALSE),"N/A")</f>
        <v>V1</v>
      </c>
      <c r="Q27" s="77" t="str">
        <f>IF(OR($D27="C345",$D27="C12A",$D27="DATA"),
   VLOOKUP($B27,'LOD 300 - COLO3'!B:N,13,FALSE),"N/A")</f>
        <v>04/06/2026</v>
      </c>
      <c r="R27" s="76" t="str">
        <f>IF(OR($D27="C345",$D27="C12A",$D27="DATA"),
   VLOOKUP($B27,'LOD 300 - COLO3'!B:O,14,FALSE),"N/A")</f>
        <v>R24</v>
      </c>
      <c r="S27" s="79" t="str">
        <f>IF(OR($D27="C345",$D27="C12A",$D27="DATA"),
   VLOOKUP($B27,'LOD 300 - COLO4'!B:M,12,FALSE),"N/A")</f>
        <v>N/A</v>
      </c>
      <c r="T27" s="76" t="str">
        <f>IF(OR($D27="C345",$D27="C12A",$D27="DATA"),
   VLOOKUP($B27,'LOD 300 - COLO4'!B:T,13,FALSE),"N/A")</f>
        <v>N/A</v>
      </c>
      <c r="U27" s="81">
        <f>IF(OR($D27="C345",$D27="C12A",$D27="DATA"),
   VLOOKUP($B27,'LOD 300 - COLO4'!B:U,17,FALSE),"N/A")</f>
        <v>0</v>
      </c>
      <c r="V27" s="126"/>
      <c r="W27" s="144" t="str">
        <f>IFERROR(VLOOKUP($B27,'LOD 300 - ADMN'!$B:S,18,FALSE),"N/A")</f>
        <v>NOT PUBLISHED</v>
      </c>
      <c r="X27" s="122" t="str">
        <f>IFERROR(VLOOKUP($B27,'LOD 300 - ADMN'!$B:V,21,FALSE),"N/A")</f>
        <v>NOT PUBLISHED</v>
      </c>
      <c r="Y27" s="122" t="str">
        <f>IFERROR(VLOOKUP($B27,'LOD 300 - ADMN'!$B:Y,24,FALSE),"N/A")</f>
        <v>NOT PUBLISHED</v>
      </c>
      <c r="Z27" s="122" t="str">
        <f>IFERROR(VLOOKUP($B27,'LOD 300 - ADMN'!$B:AB,27,FALSE),"N/A")</f>
        <v>NOT PUBLISHED</v>
      </c>
      <c r="AA27" s="122" t="str">
        <f>IFERROR(VLOOKUP($B27,'LOD 300 - ADMN'!$B:AE,30,FALSE),"N/A")</f>
        <v>NOT PUBLISHED</v>
      </c>
      <c r="AB27" s="145" t="str">
        <f>IFERROR(VLOOKUP($B27,'LOD 300 - ADMN'!$B:AH,33,FALSE),"N/A")</f>
        <v>NOT PUBLISHED</v>
      </c>
      <c r="AC27" s="145" t="str">
        <f>IFERROR(VLOOKUP($B27,'LOD 300 - ADMN'!$B:AK,36,FALSE),"N/A")</f>
        <v>NOT PUBLISHED</v>
      </c>
      <c r="AD27" s="122" t="str">
        <f>IFERROR(VLOOKUP($B27,'LOD 300 - ADMN'!$B:AN,39,FALSE),"N/A")</f>
        <v>NOT PUBLISHED</v>
      </c>
      <c r="AE27" s="122" t="str">
        <f>IFERROR(VLOOKUP($B27,'LOD 300 - ADMN'!$B:AQ,42,FALSE),"N/A")</f>
        <v>NOT PUBLISHED</v>
      </c>
      <c r="AF27" s="122" t="str">
        <f>IFERROR(VLOOKUP($B27,'LOD 300 - ADMN'!$B:AT,45,FALSE),"N/A")</f>
        <v>NOT PUBLISHED</v>
      </c>
      <c r="AG27" s="122" t="str">
        <f>IFERROR(VLOOKUP($B27,'LOD 300 - ADMN'!$B:AW,48,FALSE),"N/A")</f>
        <v>NEXT ROUND</v>
      </c>
      <c r="AH27" s="122" t="str">
        <f>IFERROR(VLOOKUP($B27,'LOD 300 - ADMN'!$B:AZ,51,FALSE),"N/A")</f>
        <v>IMPROPER</v>
      </c>
      <c r="AI27" s="122" t="str">
        <f>IFERROR(VLOOKUP($B27,'LOD 300 - ADMN'!$B:BC,54,FALSE),"N/A")</f>
        <v>IMPROPER</v>
      </c>
      <c r="AJ27" s="87" t="str">
        <f>IFERROR(VLOOKUP($B27,'LOD 300 - ADMN'!$B:BF,57,FALSE),"N/A")</f>
        <v>IMPROPER</v>
      </c>
      <c r="AK27" s="87" t="str">
        <f>IFERROR(VLOOKUP($B27,'LOD 300 - ADMN'!$B:EP,60,FALSE),"N/A")</f>
        <v>IMPROPER</v>
      </c>
      <c r="AL27" s="87" t="str">
        <f>IFERROR(VLOOKUP($B27,'LOD 300 - ADMN'!$B:EQ,63,FALSE),"N/A")</f>
        <v>IMPROPER</v>
      </c>
      <c r="AM27" s="87" t="str">
        <f>IFERROR(VLOOKUP($B27,'LOD 300 - ADMN'!$B:BO,66,FALSE),"N/A")</f>
        <v>IMPROPER</v>
      </c>
      <c r="AN27" s="87" t="str">
        <f>IFERROR(VLOOKUP($B27,'LOD 300 - ADMN'!$B:BR,69,FALSE),"N/A")</f>
        <v>IMPROPER</v>
      </c>
      <c r="AO27" s="87" t="str">
        <f>IFERROR(VLOOKUP($B27,'LOD 300 - ADMN'!$B:BU,72,FALSE),"N/A")</f>
        <v>IMPROPER</v>
      </c>
      <c r="AP27" s="87" t="str">
        <f>IFERROR(VLOOKUP($B27,'LOD 300 - ADMN'!$B:BX,75,FALSE),"N/A")</f>
        <v>NEXT ROUND</v>
      </c>
      <c r="AQ27" s="87">
        <f>IFERROR(VLOOKUP($B27,'LOD 300 - ADMN'!$B:CA,78,FALSE),"N/A")</f>
        <v>0.31</v>
      </c>
      <c r="AR27" s="87" t="str">
        <f>IFERROR(VLOOKUP($B27,'LOD 300 - ADMN'!$B:CD,81,FALSE),"N/A")</f>
        <v>OUTDATED MODEL</v>
      </c>
      <c r="AS27" s="87">
        <f>IFERROR(VLOOKUP($B27,'LOD 300 - ADMN'!$B:CG,84,FALSE),"N/A")</f>
        <v>0.7</v>
      </c>
      <c r="AT27" s="87" t="str">
        <f>IFERROR(VLOOKUP($B27,'LOD 300 - ADMN'!$B:CJ,87,FALSE),"N/A")</f>
        <v>OUTDATED MODEL</v>
      </c>
      <c r="AU27" s="88" t="str">
        <f>IFERROR(VLOOKUP($B27,'LOD 300 - ADMN'!$B:CM,90,FALSE),"N/A")</f>
        <v>OUTDATED MODEL</v>
      </c>
      <c r="AV27" s="88" t="str">
        <f>IFERROR(VLOOKUP($B27,'LOD 300 - ADMN'!$B:CP,93,FALSE),"N/A")</f>
        <v>OUTDATED MODEL</v>
      </c>
      <c r="AW27" s="88" t="str">
        <f>IFERROR(VLOOKUP($B27,'LOD 300 - ADMN'!$B:CS,96,FALSE),"N/A")</f>
        <v>OUTDATED MODEL</v>
      </c>
      <c r="AX27" s="88" t="str">
        <f>IFERROR(VLOOKUP($B27,'LOD 300 - ADMN'!$B:CV,99,FALSE),"N/A")</f>
        <v>NEXT ROUND</v>
      </c>
      <c r="AY27" s="88" t="str">
        <f>IFERROR(VLOOKUP($B27,'LOD 300 - ADMN'!$B:CY,102,FALSE),"N/A")</f>
        <v>IMPROPER</v>
      </c>
      <c r="AZ27" s="88" t="str">
        <f>IFERROR(VLOOKUP($B27,'LOD 300 - ADMN'!$B:DB,105,FALSE),"N/A")</f>
        <v>OUTDATED MODEL</v>
      </c>
      <c r="BA27" s="87" t="str">
        <f>IFERROR(VLOOKUP($B27,'LOD 300 - ADMN'!$B:DE,108,FALSE),"N/A")</f>
        <v>NEXT ROUND</v>
      </c>
      <c r="BB27" s="87" t="str">
        <f>IFERROR(VLOOKUP($B27,'LOD 300 - ADMN'!$B:DH,111,FALSE),"N/A")</f>
        <v>IMPROPER</v>
      </c>
      <c r="BC27" s="87" t="str">
        <f>IFERROR(VLOOKUP($B27,'LOD 300 - ADMN'!$B:DK,114,FALSE),"N/A")</f>
        <v>NEXT ROUND</v>
      </c>
      <c r="BD27" s="87" t="str">
        <f>IFERROR(VLOOKUP($B27,'LOD 300 - ADMN'!$B:DN,117,FALSE),"N/A")</f>
        <v>IMPROPER</v>
      </c>
      <c r="BE27" s="87" t="str">
        <f>IFERROR(VLOOKUP($B27,'LOD 300 - ADMN'!$B:DQ,120,FALSE),"N/A")</f>
        <v>OUTDATED MODEL</v>
      </c>
      <c r="BF27" s="87" t="str">
        <f>IFERROR(VLOOKUP($B27,'LOD 300 - ADMN'!$B:DT,123,FALSE),"N/A")</f>
        <v>OUTDATED MODEL</v>
      </c>
      <c r="BG27" s="87" t="str">
        <f>IFERROR(VLOOKUP($B27,'LOD 300 - ADMN'!$B:DW,126,FALSE),"N/A")</f>
        <v>OUTDATED MODEL</v>
      </c>
      <c r="BH27" s="87" t="str">
        <f>IFERROR(VLOOKUP($B27,'LOD 300 - ADMN'!$B:DZ,129,FALSE),"N/A")</f>
        <v>OUTDATED MODEL</v>
      </c>
      <c r="BI27" s="87" t="str">
        <f>IFERROR(VLOOKUP($B27,'LOD 300 - ADMN'!$B:EC,132,FALSE),"N/A")</f>
        <v>OUTDATED MODEL</v>
      </c>
      <c r="BJ27" s="90">
        <f>IFERROR(__xludf.DUMMYFUNCTION("IFERROR(
  MAX(FILTER(X27:BI27, ISNUMBER(X27:BI27))),
  BI27
)"),0.7)</f>
        <v>0.7</v>
      </c>
      <c r="BK27" s="91" t="str">
        <f>IFERROR(VLOOKUP($B27,'LOD 300 - COLO1'!$B:S,18,FALSE),"N/A")</f>
        <v>NOT PUBLISHED</v>
      </c>
      <c r="BL27" s="92" t="str">
        <f>IFERROR(VLOOKUP($B27,'LOD 300 - COLO1'!$B:V,21,FALSE),"N/A")</f>
        <v>NOT PUBLISHED</v>
      </c>
      <c r="BM27" s="92" t="str">
        <f>IFERROR(VLOOKUP($B27,'LOD 300 - COLO1'!$B:Y,24,FALSE),"N/A")</f>
        <v>NOT PUBLISHED</v>
      </c>
      <c r="BN27" s="92" t="str">
        <f>IFERROR(VLOOKUP($B27,'LOD 300 - COLO1'!$B:AB,27,FALSE),"N/A")</f>
        <v>NOT PUBLISHED</v>
      </c>
      <c r="BO27" s="92" t="str">
        <f>IFERROR(VLOOKUP($B27,'LOD 300 - COLO1'!$B:AE,30,FALSE),"N/A")</f>
        <v>NOT PUBLISHED</v>
      </c>
      <c r="BP27" s="92" t="str">
        <f>IFERROR(VLOOKUP($B27,'LOD 300 - COLO1'!$B:AH,33,FALSE),"N/A")</f>
        <v>NOT PUBLISHED</v>
      </c>
      <c r="BQ27" s="92" t="str">
        <f>IFERROR(VLOOKUP($B27,'LOD 300 - COLO1'!$B:AK,36,FALSE),"N/A")</f>
        <v>NOT PUBLISHED</v>
      </c>
      <c r="BR27" s="92" t="str">
        <f>IFERROR(VLOOKUP($B27,'LOD 300 - COLO1'!$B:AN,39,FALSE),"N/A")</f>
        <v>NOT PUBLISHED</v>
      </c>
      <c r="BS27" s="92" t="str">
        <f>IFERROR(VLOOKUP($B27,'LOD 300 - COLO1'!$B:AQ,42,FALSE),"N/A")</f>
        <v>NOT PUBLISHED</v>
      </c>
      <c r="BT27" s="92" t="str">
        <f>IFERROR(VLOOKUP($B27,'LOD 300 - COLO1'!$B:AT,45,FALSE),"N/A")</f>
        <v>NOT PUBLISHED</v>
      </c>
      <c r="BU27" s="92" t="str">
        <f>IFERROR(VLOOKUP($B27,'LOD 300 - COLO1'!$B:AW,48,FALSE),"N/A")</f>
        <v>NEXT ROUND</v>
      </c>
      <c r="BV27" s="92">
        <f>IFERROR(VLOOKUP($B27,'LOD 300 - COLO1'!$B:AZ,51,FALSE),"N/A")</f>
        <v>0.77</v>
      </c>
      <c r="BW27" s="92" t="str">
        <f>IFERROR(VLOOKUP($B27,'LOD 300 - COLO1'!$B:BC,54,FALSE),"N/A")</f>
        <v>OUTDATED MODEL</v>
      </c>
      <c r="BX27" s="94" t="str">
        <f>IFERROR(VLOOKUP($B27,'LOD 300 - COLO1'!$B:BF,57,FALSE),"N/A")</f>
        <v>OUTDATED MODEL</v>
      </c>
      <c r="BY27" s="94" t="str">
        <f>IFERROR(VLOOKUP($B27,'LOD 300 - COLO1'!$B:BI,60,FALSE),"N/A")</f>
        <v>OUTDATED MODEL</v>
      </c>
      <c r="BZ27" s="95" t="str">
        <f>IFERROR(VLOOKUP($B27,'LOD 300 - COLO1'!$B:BL,63,FALSE),"N/A")</f>
        <v>OUTDATED MODEL</v>
      </c>
      <c r="CA27" s="86" t="str">
        <f>IFERROR(VLOOKUP($B27,'LOD 300 - COLO1'!$B:BO,66,FALSE),"N/A")</f>
        <v>OUTDATED MODEL</v>
      </c>
      <c r="CB27" s="86" t="str">
        <f>IFERROR(VLOOKUP($B27,'LOD 300 - COLO1'!$B:BR,69,FALSE),"N/A")</f>
        <v>OUTDATED MODEL</v>
      </c>
      <c r="CC27" s="86" t="str">
        <f>IFERROR(VLOOKUP($B27,'LOD 300 - COLO1'!$B:BU,72,FALSE),"N/A")</f>
        <v>OUTDATED MODEL</v>
      </c>
      <c r="CD27" s="86" t="str">
        <f>IFERROR(VLOOKUP($B27,'LOD 300 - COLO1'!$B:BX,75,FALSE),"N/A")</f>
        <v>NEXT ROUND</v>
      </c>
      <c r="CE27" s="86" t="str">
        <f>IFERROR(VLOOKUP($B27,'LOD 300 - COLO1'!$B:CA,78,FALSE),"N/A")</f>
        <v>NEXT ROUND</v>
      </c>
      <c r="CF27" s="87" t="str">
        <f>IFERROR(VLOOKUP($B27,'LOD 300 - COLO1'!$B:CD,81,FALSE),"N/A")</f>
        <v>NEXT ROUND</v>
      </c>
      <c r="CG27" s="86">
        <f>IFERROR(VLOOKUP($B27,'LOD 300 - COLO1'!$B:CG,84,FALSE),"N/A")</f>
        <v>0.5</v>
      </c>
      <c r="CH27" s="87" t="str">
        <f>IFERROR(VLOOKUP($B27,'LOD 300 - COLO1'!$B:CJ,87,FALSE),"N/A")</f>
        <v>OUTDATED MODEL</v>
      </c>
      <c r="CI27" s="88" t="str">
        <f>IFERROR(VLOOKUP($B27,'LOD 300 - COLO1'!$B:CM,90,FALSE),"N/A")</f>
        <v>OUTDATED MODEL</v>
      </c>
      <c r="CJ27" s="88" t="str">
        <f>IFERROR(VLOOKUP($B27,'LOD 300 - COLO1'!$B:CP,93,FALSE),"N/A")</f>
        <v>OUTDATED MODEL</v>
      </c>
      <c r="CK27" s="88" t="str">
        <f>IFERROR(VLOOKUP($B27,'LOD 300 - COLO1'!$B:CS,96,FALSE),"N/A")</f>
        <v>OUTDATED MODEL</v>
      </c>
      <c r="CL27" s="88" t="str">
        <f>IFERROR(VLOOKUP($B27,'LOD 300 - COLO1'!$B:CV,99,FALSE),"N/A")</f>
        <v>NEXT ROUND</v>
      </c>
      <c r="CM27" s="88" t="str">
        <f>IFERROR(VLOOKUP($B27,'LOD 300 - COLO1'!$B:CY,102,FALSE),"N/A")</f>
        <v>IMPROPER</v>
      </c>
      <c r="CN27" s="89" t="str">
        <f>IFERROR(VLOOKUP($B27,'LOD 300 - COLO1'!$B:DB,105,FALSE),"N/A")</f>
        <v>OUTDATED MODEL</v>
      </c>
      <c r="CO27" s="87" t="str">
        <f>IFERROR(VLOOKUP($B27,'LOD 300 - COLO1'!$B:EE,108,FALSE),"N/A")</f>
        <v>NEXT ROUND</v>
      </c>
      <c r="CP27" s="87" t="str">
        <f>IFERROR(VLOOKUP($B27,'LOD 300 - COLO1'!$B:EH,111,FALSE),"N/A")</f>
        <v>IMPROPER</v>
      </c>
      <c r="CQ27" s="87" t="str">
        <f>IFERROR(VLOOKUP($B27,'LOD 300 - COLO1'!$B:EK,114,FALSE),"N/A")</f>
        <v>NEXT ROUND</v>
      </c>
      <c r="CR27" s="87" t="str">
        <f>IFERROR(VLOOKUP($B27,'LOD 300 - COLO1'!$B:EN,117,FALSE),"N/A")</f>
        <v>IMPROPER</v>
      </c>
      <c r="CS27" s="87" t="str">
        <f>IFERROR(VLOOKUP($B27,'LOD 300 - COLO1'!$B:EQ,120,FALSE),"N/A")</f>
        <v>OUTDATED MODEL</v>
      </c>
      <c r="CT27" s="87" t="str">
        <f>IFERROR(VLOOKUP($B27,'LOD 300 - COLO1'!$B:ET,123,FALSE),"N/A")</f>
        <v>OUTDATED MODEL</v>
      </c>
      <c r="CU27" s="87" t="str">
        <f>IFERROR(VLOOKUP($B27,'LOD 300 - COLO1'!$B:EW,126,FALSE),"N/A")</f>
        <v>OUTDATED MODEL</v>
      </c>
      <c r="CV27" s="87" t="str">
        <f>IFERROR(VLOOKUP($B27,'LOD 300 - COLO1'!$B:EZ,129,FALSE),"N/A")</f>
        <v>OUTDATED MODEL</v>
      </c>
      <c r="CW27" s="87" t="str">
        <f>IFERROR(VLOOKUP($B27,'LOD 300 - COLO1'!$B:FC,132,FALSE),"N/A")</f>
        <v>OUTDATED MODEL</v>
      </c>
      <c r="CX27" s="96">
        <f>IFERROR(__xludf.DUMMYFUNCTION("IFERROR(
INDEX(
FILTER(BK27:CW27, ISNUMBER(BK27:CW27)),
COUNTA(FILTER(BK27:CW27, ISNUMBER(BK27:CW27)))
),
CW27
)"),0.5)</f>
        <v>0.5</v>
      </c>
      <c r="CY27" s="104" t="str">
        <f>IFERROR(VLOOKUP($B27,'LOD 300 - COLO2'!$B:S,18,FALSE),"N/A")</f>
        <v>NOT PUBLISHED</v>
      </c>
      <c r="CZ27" s="117" t="str">
        <f>IFERROR(VLOOKUP($B27,'LOD 300 - COLO2'!$B:V,21,FALSE),"N/A")</f>
        <v>NOT PUBLISHED</v>
      </c>
      <c r="DA27" s="117" t="str">
        <f>IFERROR(VLOOKUP($B27,'LOD 300 - COLO2'!$B:Y,24,FALSE),"N/A")</f>
        <v>NOT PUBLISHED</v>
      </c>
      <c r="DB27" s="117" t="str">
        <f>IFERROR(VLOOKUP($B27,'LOD 300 - COLO2'!$B:AB,27,FALSE),"N/A")</f>
        <v>NOT PUBLISHED</v>
      </c>
      <c r="DC27" s="92" t="str">
        <f>IFERROR(VLOOKUP($B27,'LOD 300 - COLO2'!$B:AE,30,FALSE),"N/A")</f>
        <v>NOT PUBLISHED</v>
      </c>
      <c r="DD27" s="120" t="str">
        <f>IFERROR(VLOOKUP($B27,'LOD 300 - COLO2'!$B:AH,33,FALSE),"N/A")</f>
        <v>NOT PUBLISHED</v>
      </c>
      <c r="DE27" s="117" t="str">
        <f>IFERROR(VLOOKUP($B27,'LOD 300 - COLO2'!$B:AK,36,FALSE),"N/A")</f>
        <v>NEXT ROUND</v>
      </c>
      <c r="DF27" s="117">
        <f>IFERROR(VLOOKUP($B27,'LOD 300 - COLO2'!$B:AN,39,FALSE),"N/A")</f>
        <v>0.77</v>
      </c>
      <c r="DG27" s="119" t="str">
        <f>IFERROR(VLOOKUP($B27,'LOD 300 - COLO2'!$B:AQ,42,FALSE),"N/A")</f>
        <v>OUTDATED MODEL</v>
      </c>
      <c r="DH27" s="87" t="str">
        <f>IFERROR(VLOOKUP($B27,'LOD 300 - COLO2'!$B:AT,45,FALSE),"N/A")</f>
        <v>OUTDATED MODEL</v>
      </c>
      <c r="DI27" s="94" t="str">
        <f>IFERROR(VLOOKUP($B27,'LOD 300 - COLO2'!$B:AW,48,FALSE),"N/A")</f>
        <v>OUTDATED MODEL</v>
      </c>
      <c r="DJ27" s="95" t="str">
        <f>IFERROR(VLOOKUP($B27,'LOD 300 - COLO2'!$B:AZ,51,FALSE),"N/A")</f>
        <v>OUTDATED MODEL</v>
      </c>
      <c r="DK27" s="86" t="str">
        <f>IFERROR(VLOOKUP($B27,'LOD 300 - COLO2'!$B:BC,54,FALSE),"N/A")</f>
        <v>OUTDATED MODEL</v>
      </c>
      <c r="DL27" s="86" t="str">
        <f>IFERROR(VLOOKUP($B27,'LOD 300 - COLO2'!$B:BF,57,FALSE),"N/A")</f>
        <v>OUTDATED MODEL</v>
      </c>
      <c r="DM27" s="86" t="str">
        <f>IFERROR(VLOOKUP($B27,'LOD 300 - COLO2'!$B:BI,60,FALSE),"N/A")</f>
        <v>OUTDATED MODEL</v>
      </c>
      <c r="DN27" s="86" t="str">
        <f>IFERROR(VLOOKUP($B27,'LOD 300 - COLO2'!$B:BL,63,FALSE),"N/A")</f>
        <v>NEXT ROUND</v>
      </c>
      <c r="DO27" s="86" t="str">
        <f>IFERROR(VLOOKUP($B27,'LOD 300 - COLO2'!$B:BO,66,FALSE),"N/A")</f>
        <v>NEXT ROUND</v>
      </c>
      <c r="DP27" s="87" t="str">
        <f>IFERROR(VLOOKUP($B27,'LOD 300 - COLO2'!$B:BR,69,FALSE),"N/A")</f>
        <v>NEXT ROUND</v>
      </c>
      <c r="DQ27" s="87">
        <f>IFERROR(VLOOKUP($B27,'LOD 300 - COLO2'!$B:BU,72,FALSE),"N/A")</f>
        <v>0.5</v>
      </c>
      <c r="DR27" s="87" t="str">
        <f>IFERROR(VLOOKUP($B27,'LOD 300 - COLO2'!$B:BX,75,FALSE),"N/A")</f>
        <v>OUTDATED MODEL</v>
      </c>
      <c r="DS27" s="98" t="str">
        <f>IFERROR(VLOOKUP($B27,'LOD 300 - COLO2'!$B:CA,78,FALSE),"N/A")</f>
        <v>OUTDATED MODEL</v>
      </c>
      <c r="DT27" s="98" t="str">
        <f>IFERROR(VLOOKUP($B27,'LOD 300 - COLO2'!$B:CD,81,FALSE),"N/A")</f>
        <v>OUTDATED MODEL</v>
      </c>
      <c r="DU27" s="98" t="str">
        <f>IFERROR(VLOOKUP($B27,'LOD 300 - COLO2'!$B:CG,84,FALSE),"N/A")</f>
        <v>OUTDATED MODEL</v>
      </c>
      <c r="DV27" s="98" t="str">
        <f>IFERROR(VLOOKUP($B27,'LOD 300 - COLO2'!$B:CJ,87,FALSE),"N/A")</f>
        <v>NEXT ROUND</v>
      </c>
      <c r="DW27" s="98" t="str">
        <f>IFERROR(VLOOKUP($B27,'LOD 300 - COLO2'!$B:CM,90,FALSE),"N/A")</f>
        <v>IMPROPER</v>
      </c>
      <c r="DX27" s="98" t="str">
        <f>IFERROR(VLOOKUP($B27,'LOD 300 - COLO2'!$B:CP,93,FALSE),"N/A")</f>
        <v>OUTDATED MODEL</v>
      </c>
      <c r="DY27" s="87" t="str">
        <f>IFERROR(VLOOKUP($B27,'LOD 300 - COLO2'!$B:CS,96,FALSE),"N/A")</f>
        <v>NEXT ROUND</v>
      </c>
      <c r="DZ27" s="87" t="str">
        <f>IFERROR(VLOOKUP($B27,'LOD 300 - COLO2'!$B:CV,99,FALSE),"N/A")</f>
        <v>IMPROPER</v>
      </c>
      <c r="EA27" s="87" t="str">
        <f>IFERROR(VLOOKUP($B27,'LOD 300 - COLO2'!$B:DB,105,FALSE),"N/A")</f>
        <v>IMPROPER</v>
      </c>
      <c r="EB27" s="87" t="str">
        <f>IFERROR(VLOOKUP($B27,'LOD 300 - COLO2'!$B:DB,105,FALSE),"N/A")</f>
        <v>IMPROPER</v>
      </c>
      <c r="EC27" s="87" t="str">
        <f>IFERROR(VLOOKUP($B27,'LOD 300 - COLO2'!$B:DE,108,FALSE),"N/A")</f>
        <v>OUTDATED MODEL</v>
      </c>
      <c r="ED27" s="87" t="str">
        <f>IFERROR(VLOOKUP($B27,'LOD 300 - COLO2'!$B:DH,111,FALSE),"N/A")</f>
        <v>OUTDATED MODEL</v>
      </c>
      <c r="EE27" s="87" t="str">
        <f>IFERROR(VLOOKUP($B27,'LOD 300 - COLO2'!$B:DK,114,FALSE),"N/A")</f>
        <v>OUTDATED MODEL</v>
      </c>
      <c r="EF27" s="87" t="str">
        <f>IFERROR(VLOOKUP($B27,'LOD 300 - COLO2'!$B:DN,117,FALSE),"N/A")</f>
        <v>OUTDATED MODEL</v>
      </c>
      <c r="EG27" s="87" t="str">
        <f>IFERROR(VLOOKUP($B27,'LOD 300 - COLO2'!$B:DQ,120,FALSE),"N/A")</f>
        <v>OUTDATED MODEL</v>
      </c>
      <c r="EH27" s="155">
        <f>IFERROR(__xludf.DUMMYFUNCTION("IFERROR(
INDEX(
FILTER(CY27:EG27, ISNUMBER(CY27:EG27)),
COUNTA(FILTER(CY27:EG27, ISNUMBER(CY27:EG27)))
),
EG27
)"),0.5)</f>
        <v>0.5</v>
      </c>
      <c r="EI27" s="100">
        <f>IFERROR(VLOOKUP($B27,'LOD 300 - COLO3'!$B:R,17,FALSE),"N/A")</f>
        <v>0</v>
      </c>
      <c r="EJ27" s="127" t="str">
        <f>IFERROR(VLOOKUP($B27,'LOD 300 - COLO3'!$B:U,20,FALSE),"N/A")</f>
        <v>NEXT ROUND</v>
      </c>
      <c r="EK27" s="127" t="str">
        <f>IFERROR(VLOOKUP($B27,'LOD 300 - COLO3'!$B:X,23,FALSE),"N/A")</f>
        <v>NEXT ROUND</v>
      </c>
      <c r="EL27" s="127">
        <f>IFERROR(VLOOKUP($B27,'LOD 300 - COLO3'!$B:AA,26,FALSE),"N/A")</f>
        <v>0.71</v>
      </c>
      <c r="EM27" s="127" t="str">
        <f>IFERROR(VLOOKUP($B27,'LOD 300 - COLO3'!$B:AD,29,FALSE),"N/A")</f>
        <v>NEXT ROUND</v>
      </c>
      <c r="EN27" s="127" t="str">
        <f>IFERROR(VLOOKUP($B27,'LOD 300 - COLO3'!$B:AG,32,FALSE),"N/A")</f>
        <v>IMPROPER</v>
      </c>
      <c r="EO27" s="127" t="str">
        <f>IFERROR(VLOOKUP($B27,'LOD 300 - COLO3'!$B:AJ,35,FALSE),"N/A")</f>
        <v>OUTDATED MODEL</v>
      </c>
      <c r="EP27" s="100" t="str">
        <f>IFERROR(VLOOKUP($B27,'LOD 300 - COLO3'!$B:AM,38,FALSE),"N/A")</f>
        <v>NEXT ROUND</v>
      </c>
      <c r="EQ27" s="100" t="str">
        <f>IFERROR(VLOOKUP($B27,'LOD 300 - COLO3'!$B:AP,41,FALSE),"N/A")</f>
        <v>IMPROPER</v>
      </c>
      <c r="ER27" s="100" t="str">
        <f>IFERROR(VLOOKUP($B27,'LOD 300 - COLO3'!$B:AS,44,FALSE),"N/A")</f>
        <v>NEXT ROUND</v>
      </c>
      <c r="ES27" s="100" t="str">
        <f>IFERROR(VLOOKUP($B27,'LOD 300 - COLO3'!$B:AV,47,FALSE),"N/A")</f>
        <v>IMPROPER</v>
      </c>
      <c r="ET27" s="100" t="str">
        <f>IFERROR(VLOOKUP($B27,'LOD 300 - COLO3'!$B:AY,50,FALSE),"N/A")</f>
        <v>OUTDATED MODEL</v>
      </c>
      <c r="EU27" s="100" t="str">
        <f>IFERROR(VLOOKUP($B27,'LOD 300 - COLO3'!$B:BB,53,FALSE),"N/A")</f>
        <v>OUTDATED MODEL</v>
      </c>
      <c r="EV27" s="100" t="str">
        <f>IFERROR(VLOOKUP($B27,'LOD 300 - COLO3'!$B:BE,56,FALSE),"N/A")</f>
        <v>OUTDATED MODEL</v>
      </c>
      <c r="EW27" s="100" t="str">
        <f>IFERROR(VLOOKUP($B27,'LOD 300 - COLO3'!$B:BL,59,FALSE),"N/A")</f>
        <v>OUTDATED MODEL</v>
      </c>
      <c r="EX27" s="100" t="str">
        <f>IFERROR(VLOOKUP($B27,'LOD 300 - COLO3'!$B:BO,62,FALSE),"N/A")</f>
        <v>OUTDATED MODEL</v>
      </c>
      <c r="EY27" s="103">
        <f>IFERROR(__xludf.DUMMYFUNCTION("IFERROR(
  MAX(FILTER(EI27:EX27, ISNUMBER(EI27:EX27))),
  EX27
)"),0.71)</f>
        <v>0.71</v>
      </c>
      <c r="EZ27" s="104">
        <f>IFERROR(VLOOKUP($B27,'LOD 300 - COLO4'!$B:BT,17,FALSE),"N/A")</f>
        <v>0</v>
      </c>
      <c r="FA27" s="103">
        <f>IFERROR(__xludf.DUMMYFUNCTION("IFERROR(
  MAX(FILTER(EZ27, ISNUMBER(EZ27))),
  EZ27
)"),0.0)</f>
        <v>0</v>
      </c>
      <c r="FB27" s="121" t="str">
        <f>IFERROR(VLOOKUP($B27,'LOD 300 - SITE'!$B:S,18,FALSE),"N/A")</f>
        <v>N/A</v>
      </c>
      <c r="FC27" s="122" t="str">
        <f>IFERROR(VLOOKUP($B27,'LOD 300 - SITE'!$B:V,21,FALSE),"N/A")</f>
        <v>N/A</v>
      </c>
      <c r="FD27" s="122" t="str">
        <f>IFERROR(VLOOKUP($B27,'LOD 300 - SITE'!$B:Y,24,FALSE),"N/A")</f>
        <v>N/A</v>
      </c>
      <c r="FE27" s="122" t="str">
        <f>IFERROR(VLOOKUP($B27,'LOD 300 - SITE'!$B:AB,27,FALSE),"N/A")</f>
        <v>N/A</v>
      </c>
      <c r="FF27" s="122" t="str">
        <f>IFERROR(VLOOKUP($B27,'LOD 300 - SITE'!$B:AE,30,FALSE),"N/A")</f>
        <v>N/A</v>
      </c>
      <c r="FG27" s="122" t="str">
        <f>IFERROR(VLOOKUP($B27,'LOD 300 - SITE'!$B:AH,33,FALSE),"N/A")</f>
        <v>N/A</v>
      </c>
      <c r="FH27" s="122" t="str">
        <f>IFERROR(VLOOKUP($B27,'LOD 300 - SITE'!$B:AK,36,FALSE),"N/A")</f>
        <v>N/A</v>
      </c>
      <c r="FI27" s="122" t="str">
        <f>IFERROR(VLOOKUP($B27,'LOD 300 - SITE'!$B:AN,39,FALSE),"N/A")</f>
        <v>N/A</v>
      </c>
      <c r="FJ27" s="122" t="str">
        <f>IFERROR(VLOOKUP($B27,'LOD 300 - SITE'!$B:AQ,42,FALSE),"N/A")</f>
        <v>N/A</v>
      </c>
      <c r="FK27" s="122" t="str">
        <f>IFERROR(VLOOKUP($B27,'LOD 300 - SITE'!$B:AT,45,FALSE),"N/A")</f>
        <v>N/A</v>
      </c>
      <c r="FL27" s="123" t="str">
        <f>IFERROR(VLOOKUP($B27,'LOD 300 - SITE'!$B:AW,48,FALSE),"N/A")</f>
        <v>N/A</v>
      </c>
      <c r="FM27" s="87" t="str">
        <f>IFERROR(VLOOKUP($B27,'LOD 300 - SITE'!$B:AZ,51,FALSE),"N/A")</f>
        <v>N/A</v>
      </c>
      <c r="FN27" s="94" t="str">
        <f>IFERROR(VLOOKUP($B27,'LOD 300 - SITE'!$B:BC,54,FALSE),"N/A")</f>
        <v>N/A</v>
      </c>
      <c r="FO27" s="95" t="str">
        <f>IFERROR(VLOOKUP($B27,'LOD 300 - SITE'!$B:BF,57,FALSE),"N/A")</f>
        <v>N/A</v>
      </c>
      <c r="FP27" s="86" t="str">
        <f>IFERROR(VLOOKUP($B27,'LOD 300 - SITE'!$B:BI,60,FALSE),"N/A")</f>
        <v>N/A</v>
      </c>
      <c r="FQ27" s="86" t="str">
        <f>IFERROR(VLOOKUP($B27,'LOD 300 - SITE'!$B:BL,63,FALSE),"N/A")</f>
        <v>N/A</v>
      </c>
      <c r="FR27" s="86" t="str">
        <f>IFERROR(VLOOKUP($B27,'LOD 300 - SITE'!$B:BO,66,FALSE),"N/A")</f>
        <v>N/A</v>
      </c>
      <c r="FS27" s="86" t="str">
        <f>IFERROR(VLOOKUP($B27,'LOD 300 - SITE'!$B:BR,69,FALSE),"N/A")</f>
        <v>N/A</v>
      </c>
      <c r="FT27" s="86" t="str">
        <f>IFERROR(VLOOKUP($B27,'LOD 300 - SITE'!$B:BU,72,FALSE),"N/A")</f>
        <v>N/A</v>
      </c>
      <c r="FU27" s="86" t="str">
        <f>IFERROR(VLOOKUP($B27,'LOD 300 - SITE'!$B:BX,75,FALSE),"N/A")</f>
        <v>N/A</v>
      </c>
      <c r="FV27" s="86" t="str">
        <f>IFERROR(VLOOKUP($B27,'LOD 300 - SITE'!$B:CA,78,FALSE),"N/A")</f>
        <v>N/A</v>
      </c>
      <c r="FW27" s="87" t="str">
        <f>IFERROR(VLOOKUP($B27,'LOD 300 - SITE'!$B:CD,81,FALSE),"N/A")</f>
        <v>N/A</v>
      </c>
      <c r="FX27" s="108" t="str">
        <f>IFERROR(VLOOKUP($B27,'LOD 300 - SITE'!$B:CG,84,FALSE),"N/A")</f>
        <v>N/A</v>
      </c>
      <c r="FY27" s="108" t="str">
        <f>IFERROR(VLOOKUP($B27,'LOD 300 - SITE'!$B:CJ,87,FALSE),"N/A")</f>
        <v>N/A</v>
      </c>
      <c r="FZ27" s="108" t="str">
        <f>IFERROR(VLOOKUP($B27,'LOD 300 - SITE'!$B:CM,90,FALSE),"N/A")</f>
        <v>N/A</v>
      </c>
      <c r="GA27" s="108" t="str">
        <f>IFERROR(VLOOKUP($B27,'LOD 300 - SITE'!$B:CP,93,FALSE),"N/A")</f>
        <v>N/A</v>
      </c>
      <c r="GB27" s="108" t="str">
        <f>IFERROR(VLOOKUP($B27,'LOD 300 - SITE'!$B:CS,96,FALSE),"N/A")</f>
        <v>N/A</v>
      </c>
      <c r="GC27" s="109" t="str">
        <f>IFERROR(VLOOKUP($B27,'LOD 300 - SITE'!$B:CV,99,FALSE),"N/A")</f>
        <v>N/A</v>
      </c>
      <c r="GD27" s="87" t="str">
        <f>IFERROR(VLOOKUP($B27,'LOD 300 - SITE'!$B:CY,102,FALSE),"N/A")</f>
        <v>N/A</v>
      </c>
      <c r="GE27" s="87" t="str">
        <f>IFERROR(VLOOKUP($B27,'LOD 300 - SITE'!$B:DB,105,FALSE),"N/A")</f>
        <v>N/A</v>
      </c>
      <c r="GF27" s="87" t="str">
        <f>IFERROR(VLOOKUP($B27,'LOD 300 - SITE'!$B:DE,108,FALSE),"N/A")</f>
        <v>N/A</v>
      </c>
      <c r="GG27" s="87" t="str">
        <f>IFERROR(VLOOKUP($B27,'LOD 300 - SITE'!$B:DH,111,FALSE),"N/A")</f>
        <v>N/A</v>
      </c>
      <c r="GH27" s="87" t="str">
        <f>IFERROR(VLOOKUP($B27,'LOD 300 - SITE'!$B:DK,114,FALSE),"N/A")</f>
        <v>N/A</v>
      </c>
      <c r="GI27" s="87" t="str">
        <f>IFERROR(VLOOKUP($B27,'LOD 300 - SITE'!$B:DN,117,FALSE),"N/A")</f>
        <v>N/A</v>
      </c>
      <c r="GJ27" s="87" t="str">
        <f>IFERROR(VLOOKUP($B27,'LOD 300 - SITE'!$B:DQ,120,FALSE),"N/A")</f>
        <v>N/A</v>
      </c>
      <c r="GK27" s="87" t="str">
        <f>IFERROR(VLOOKUP($B27,'LOD 300 - SITE'!$B:DT,123,FALSE),"N/A")</f>
        <v>N/A</v>
      </c>
      <c r="GL27" s="87" t="str">
        <f>IFERROR(VLOOKUP($B27,'LOD 300 - SITE'!$B:DW,126,FALSE),"N/A")</f>
        <v>N/A</v>
      </c>
      <c r="GM27" s="110" t="str">
        <f>IFERROR(__xludf.DUMMYFUNCTION("IFERROR(
  MAX(FILTER(FB27:GL27, ISNUMBER(FB27:GL27))),
  GL27
)"),"N/A")</f>
        <v>N/A</v>
      </c>
      <c r="GN27" s="68"/>
      <c r="GO27" s="68"/>
      <c r="GP27" s="68"/>
    </row>
    <row r="28" ht="15.0" customHeight="1" outlineLevel="1">
      <c r="A28" s="60">
        <v>31.0</v>
      </c>
      <c r="B28" s="140" t="s">
        <v>158</v>
      </c>
      <c r="C28" s="70" t="s">
        <v>159</v>
      </c>
      <c r="D28" s="71" t="s">
        <v>90</v>
      </c>
      <c r="E28" s="138" t="s">
        <v>156</v>
      </c>
      <c r="F28" s="149">
        <v>0.0</v>
      </c>
      <c r="G28" s="154" t="s">
        <v>157</v>
      </c>
      <c r="H28" s="150"/>
      <c r="I28" s="74" t="str">
        <f>IFERROR(VLOOKUP(C25:C167,'R22 RELATÓRIO ACC'!B:F,5,FALSE),"NOT PUBLISHED")</f>
        <v>V2</v>
      </c>
      <c r="J28" s="74" t="str">
        <f>IFERROR(VLOOKUP(C25:C167,'R22 RELATÓRIO ACC'!B:P,15,FALSE),"NOT PUBLISHED")</f>
        <v>29/04/2026</v>
      </c>
      <c r="K28" s="141" t="str">
        <f>IFERROR(VLOOKUP(B25:B217,'RELATÓRIO ACC'!B:F,5,FALSE),"NOT PUBLISHED")</f>
        <v>V1</v>
      </c>
      <c r="L28" s="142" t="str">
        <f>IFERROR(VLOOKUP(B25:B217,'RELATÓRIO ACC'!B:P,15,FALSE),"NOT PUBLISHED")</f>
        <v>12/06/2026</v>
      </c>
      <c r="M28" s="76" t="str">
        <f>IF(OR($D28="UTLS",$D28="GUAR",$D28="STIR",$D28="PUMP",$D28="SITE"),
   VLOOKUP($B28,'LOD 300 - SITE'!B:M,12,FALSE),
   VLOOKUP($B28,'LOD 300 - ADMN'!B:M,12,FALSE)
)</f>
        <v>V1</v>
      </c>
      <c r="N28" s="77">
        <f>IF(OR($D28="UTLS",$D28="GUAR",$D28="STIR",$D28="PUMP",$D28="SITE"),
   VLOOKUP($B28,'LOD 300 - SITE'!B:N,13,FALSE),
   VLOOKUP($B28,'LOD 300 - ADMN'!B:N,13,FALSE)
)</f>
        <v>46185</v>
      </c>
      <c r="O28" s="78" t="str">
        <f>IF(OR($D28="UTLS",$D28="GUAR",$D28="STIR",$D28="PUMP",$D28="SITE"),
   VLOOKUP($B28,'LOD 300 - SITE'!B:O,14,FALSE),
   VLOOKUP($B28,'LOD 300 - ADMN'!B:O,14,FALSE)
)</f>
        <v>R24</v>
      </c>
      <c r="P28" s="79" t="str">
        <f>IF(OR($D28="C345",$D28="C12A",$D28="DATA"),
   VLOOKUP($B28,'LOD 300 - COLO3'!B:M,12,FALSE),"N/A")</f>
        <v>N/A</v>
      </c>
      <c r="Q28" s="76" t="str">
        <f>IF(OR($D28="C345",$D28="C12A",$D28="DATA"),
   VLOOKUP($B28,'LOD 300 - COLO3'!B:N,13,FALSE),"N/A")</f>
        <v>N/A</v>
      </c>
      <c r="R28" s="76" t="str">
        <f>IF(OR($D28="C345",$D28="C12A",$D28="DATA"),
   VLOOKUP($B28,'LOD 300 - COLO3'!B:O,14,FALSE),"N/A")</f>
        <v>N/A</v>
      </c>
      <c r="S28" s="79" t="str">
        <f>IF(OR($D28="C345",$D28="C12A",$D28="DATA"),
   VLOOKUP($B28,'LOD 300 - COLO4'!B:M,12,FALSE),"N/A")</f>
        <v>N/A</v>
      </c>
      <c r="T28" s="76" t="str">
        <f>IF(OR($D28="C345",$D28="C12A",$D28="DATA"),
   VLOOKUP($B28,'LOD 300 - COLO4'!B:T,13,FALSE),"N/A")</f>
        <v>N/A</v>
      </c>
      <c r="U28" s="76" t="str">
        <f>IF(OR($D28="C345",$D28="C12A",$D28="DATA"),
   VLOOKUP($B28,'LOD 300 - COLO4'!B:U,17,FALSE),"N/A")</f>
        <v>N/A</v>
      </c>
      <c r="V28" s="126"/>
      <c r="W28" s="144" t="str">
        <f>IFERROR(VLOOKUP($B28,'LOD 300 - ADMN'!$B:S,18,FALSE),"N/A")</f>
        <v>N/A</v>
      </c>
      <c r="X28" s="122" t="str">
        <f>IFERROR(VLOOKUP($B28,'LOD 300 - ADMN'!$B:V,21,FALSE),"N/A")</f>
        <v>N/A</v>
      </c>
      <c r="Y28" s="122" t="str">
        <f>IFERROR(VLOOKUP($B28,'LOD 300 - ADMN'!$B:Y,24,FALSE),"N/A")</f>
        <v>N/A</v>
      </c>
      <c r="Z28" s="122" t="str">
        <f>IFERROR(VLOOKUP($B28,'LOD 300 - ADMN'!$B:AB,27,FALSE),"N/A")</f>
        <v>N/A</v>
      </c>
      <c r="AA28" s="122" t="str">
        <f>IFERROR(VLOOKUP($B28,'LOD 300 - ADMN'!$B:AE,30,FALSE),"N/A")</f>
        <v>N/A</v>
      </c>
      <c r="AB28" s="145" t="str">
        <f>IFERROR(VLOOKUP($B28,'LOD 300 - ADMN'!$B:AH,33,FALSE),"N/A")</f>
        <v>N/A</v>
      </c>
      <c r="AC28" s="145" t="str">
        <f>IFERROR(VLOOKUP($B28,'LOD 300 - ADMN'!$B:AK,36,FALSE),"N/A")</f>
        <v>N/A</v>
      </c>
      <c r="AD28" s="122" t="str">
        <f>IFERROR(VLOOKUP($B28,'LOD 300 - ADMN'!$B:AN,39,FALSE),"N/A")</f>
        <v>N/A</v>
      </c>
      <c r="AE28" s="122" t="str">
        <f>IFERROR(VLOOKUP($B28,'LOD 300 - ADMN'!$B:AQ,42,FALSE),"N/A")</f>
        <v>N/A</v>
      </c>
      <c r="AF28" s="122" t="str">
        <f>IFERROR(VLOOKUP($B28,'LOD 300 - ADMN'!$B:AT,45,FALSE),"N/A")</f>
        <v>N/A</v>
      </c>
      <c r="AG28" s="122" t="str">
        <f>IFERROR(VLOOKUP($B28,'LOD 300 - ADMN'!$B:AW,48,FALSE),"N/A")</f>
        <v>N/A</v>
      </c>
      <c r="AH28" s="122" t="str">
        <f>IFERROR(VLOOKUP($B28,'LOD 300 - ADMN'!$B:AZ,51,FALSE),"N/A")</f>
        <v>N/A</v>
      </c>
      <c r="AI28" s="122" t="str">
        <f>IFERROR(VLOOKUP($B28,'LOD 300 - ADMN'!$B:BC,54,FALSE),"N/A")</f>
        <v>N/A</v>
      </c>
      <c r="AJ28" s="87" t="str">
        <f>IFERROR(VLOOKUP($B28,'LOD 300 - ADMN'!$B:BF,57,FALSE),"N/A")</f>
        <v>N/A</v>
      </c>
      <c r="AK28" s="87" t="str">
        <f>IFERROR(VLOOKUP($B28,'LOD 300 - ADMN'!$B:EP,60,FALSE),"N/A")</f>
        <v>N/A</v>
      </c>
      <c r="AL28" s="87" t="str">
        <f>IFERROR(VLOOKUP($B28,'LOD 300 - ADMN'!$B:EQ,63,FALSE),"N/A")</f>
        <v>N/A</v>
      </c>
      <c r="AM28" s="87" t="str">
        <f>IFERROR(VLOOKUP($B28,'LOD 300 - ADMN'!$B:BO,66,FALSE),"N/A")</f>
        <v>N/A</v>
      </c>
      <c r="AN28" s="87" t="str">
        <f>IFERROR(VLOOKUP($B28,'LOD 300 - ADMN'!$B:BR,69,FALSE),"N/A")</f>
        <v>N/A</v>
      </c>
      <c r="AO28" s="87" t="str">
        <f>IFERROR(VLOOKUP($B28,'LOD 300 - ADMN'!$B:BU,72,FALSE),"N/A")</f>
        <v>N/A</v>
      </c>
      <c r="AP28" s="87" t="str">
        <f>IFERROR(VLOOKUP($B28,'LOD 300 - ADMN'!$B:BX,75,FALSE),"N/A")</f>
        <v>N/A</v>
      </c>
      <c r="AQ28" s="87" t="str">
        <f>IFERROR(VLOOKUP($B28,'LOD 300 - ADMN'!$B:CA,78,FALSE),"N/A")</f>
        <v>N/A</v>
      </c>
      <c r="AR28" s="87" t="str">
        <f>IFERROR(VLOOKUP($B28,'LOD 300 - ADMN'!$B:CD,81,FALSE),"N/A")</f>
        <v>N/A</v>
      </c>
      <c r="AS28" s="87" t="str">
        <f>IFERROR(VLOOKUP($B28,'LOD 300 - ADMN'!$B:CG,84,FALSE),"N/A")</f>
        <v>N/A</v>
      </c>
      <c r="AT28" s="87" t="str">
        <f>IFERROR(VLOOKUP($B28,'LOD 300 - ADMN'!$B:CJ,87,FALSE),"N/A")</f>
        <v>N/A</v>
      </c>
      <c r="AU28" s="88" t="str">
        <f>IFERROR(VLOOKUP($B28,'LOD 300 - ADMN'!$B:CM,90,FALSE),"N/A")</f>
        <v>N/A</v>
      </c>
      <c r="AV28" s="88" t="str">
        <f>IFERROR(VLOOKUP($B28,'LOD 300 - ADMN'!$B:CP,93,FALSE),"N/A")</f>
        <v>N/A</v>
      </c>
      <c r="AW28" s="88" t="str">
        <f>IFERROR(VLOOKUP($B28,'LOD 300 - ADMN'!$B:CS,96,FALSE),"N/A")</f>
        <v>N/A</v>
      </c>
      <c r="AX28" s="88" t="str">
        <f>IFERROR(VLOOKUP($B28,'LOD 300 - ADMN'!$B:CV,99,FALSE),"N/A")</f>
        <v>N/A</v>
      </c>
      <c r="AY28" s="88" t="str">
        <f>IFERROR(VLOOKUP($B28,'LOD 300 - ADMN'!$B:CY,102,FALSE),"N/A")</f>
        <v>N/A</v>
      </c>
      <c r="AZ28" s="88" t="str">
        <f>IFERROR(VLOOKUP($B28,'LOD 300 - ADMN'!$B:DB,105,FALSE),"N/A")</f>
        <v>N/A</v>
      </c>
      <c r="BA28" s="87" t="str">
        <f>IFERROR(VLOOKUP($B28,'LOD 300 - ADMN'!$B:DE,108,FALSE),"N/A")</f>
        <v>N/A</v>
      </c>
      <c r="BB28" s="87" t="str">
        <f>IFERROR(VLOOKUP($B28,'LOD 300 - ADMN'!$B:DH,111,FALSE),"N/A")</f>
        <v>N/A</v>
      </c>
      <c r="BC28" s="87" t="str">
        <f>IFERROR(VLOOKUP($B28,'LOD 300 - ADMN'!$B:DK,114,FALSE),"N/A")</f>
        <v>N/A</v>
      </c>
      <c r="BD28" s="87" t="str">
        <f>IFERROR(VLOOKUP($B28,'LOD 300 - ADMN'!$B:DN,117,FALSE),"N/A")</f>
        <v>N/A</v>
      </c>
      <c r="BE28" s="87" t="str">
        <f>IFERROR(VLOOKUP($B28,'LOD 300 - ADMN'!$B:DQ,120,FALSE),"N/A")</f>
        <v>N/A</v>
      </c>
      <c r="BF28" s="87" t="str">
        <f>IFERROR(VLOOKUP($B28,'LOD 300 - ADMN'!$B:DT,123,FALSE),"N/A")</f>
        <v>N/A</v>
      </c>
      <c r="BG28" s="87" t="str">
        <f>IFERROR(VLOOKUP($B28,'LOD 300 - ADMN'!$B:DW,126,FALSE),"N/A")</f>
        <v>N/A</v>
      </c>
      <c r="BH28" s="87" t="str">
        <f>IFERROR(VLOOKUP($B28,'LOD 300 - ADMN'!$B:DZ,129,FALSE),"N/A")</f>
        <v>N/A</v>
      </c>
      <c r="BI28" s="87" t="str">
        <f>IFERROR(VLOOKUP($B28,'LOD 300 - ADMN'!$B:EC,132,FALSE),"N/A")</f>
        <v>N/A</v>
      </c>
      <c r="BJ28" s="90" t="str">
        <f>IFERROR(__xludf.DUMMYFUNCTION("IFERROR(
  MAX(FILTER(X28:BI28, ISNUMBER(X28:BI28))),
  BI28
)"),"N/A")</f>
        <v>N/A</v>
      </c>
      <c r="BK28" s="91" t="str">
        <f>IFERROR(VLOOKUP($B28,'LOD 300 - COLO1'!$B:S,18,FALSE),"N/A")</f>
        <v>N/A</v>
      </c>
      <c r="BL28" s="92" t="str">
        <f>IFERROR(VLOOKUP($B28,'LOD 300 - COLO1'!$B:V,21,FALSE),"N/A")</f>
        <v>N/A</v>
      </c>
      <c r="BM28" s="92" t="str">
        <f>IFERROR(VLOOKUP($B28,'LOD 300 - COLO1'!$B:Y,24,FALSE),"N/A")</f>
        <v>N/A</v>
      </c>
      <c r="BN28" s="92" t="str">
        <f>IFERROR(VLOOKUP($B28,'LOD 300 - COLO1'!$B:AB,27,FALSE),"N/A")</f>
        <v>N/A</v>
      </c>
      <c r="BO28" s="92" t="str">
        <f>IFERROR(VLOOKUP($B28,'LOD 300 - COLO1'!$B:AE,30,FALSE),"N/A")</f>
        <v>N/A</v>
      </c>
      <c r="BP28" s="92" t="str">
        <f>IFERROR(VLOOKUP($B28,'LOD 300 - COLO1'!$B:AH,33,FALSE),"N/A")</f>
        <v>N/A</v>
      </c>
      <c r="BQ28" s="92" t="str">
        <f>IFERROR(VLOOKUP($B28,'LOD 300 - COLO1'!$B:AK,36,FALSE),"N/A")</f>
        <v>N/A</v>
      </c>
      <c r="BR28" s="92" t="str">
        <f>IFERROR(VLOOKUP($B28,'LOD 300 - COLO1'!$B:AN,39,FALSE),"N/A")</f>
        <v>N/A</v>
      </c>
      <c r="BS28" s="92" t="str">
        <f>IFERROR(VLOOKUP($B28,'LOD 300 - COLO1'!$B:AQ,42,FALSE),"N/A")</f>
        <v>N/A</v>
      </c>
      <c r="BT28" s="92" t="str">
        <f>IFERROR(VLOOKUP($B28,'LOD 300 - COLO1'!$B:AT,45,FALSE),"N/A")</f>
        <v>N/A</v>
      </c>
      <c r="BU28" s="92" t="str">
        <f>IFERROR(VLOOKUP($B28,'LOD 300 - COLO1'!$B:AW,48,FALSE),"N/A")</f>
        <v>N/A</v>
      </c>
      <c r="BV28" s="92" t="str">
        <f>IFERROR(VLOOKUP($B28,'LOD 300 - COLO1'!$B:AZ,51,FALSE),"N/A")</f>
        <v>N/A</v>
      </c>
      <c r="BW28" s="92" t="str">
        <f>IFERROR(VLOOKUP($B28,'LOD 300 - COLO1'!$B:BC,54,FALSE),"N/A")</f>
        <v>N/A</v>
      </c>
      <c r="BX28" s="94" t="str">
        <f>IFERROR(VLOOKUP($B28,'LOD 300 - COLO1'!$B:BF,57,FALSE),"N/A")</f>
        <v>N/A</v>
      </c>
      <c r="BY28" s="94" t="str">
        <f>IFERROR(VLOOKUP($B28,'LOD 300 - COLO1'!$B:BI,60,FALSE),"N/A")</f>
        <v>N/A</v>
      </c>
      <c r="BZ28" s="95" t="str">
        <f>IFERROR(VLOOKUP($B28,'LOD 300 - COLO1'!$B:BL,63,FALSE),"N/A")</f>
        <v>N/A</v>
      </c>
      <c r="CA28" s="86" t="str">
        <f>IFERROR(VLOOKUP($B28,'LOD 300 - COLO1'!$B:BO,66,FALSE),"N/A")</f>
        <v>N/A</v>
      </c>
      <c r="CB28" s="86" t="str">
        <f>IFERROR(VLOOKUP($B28,'LOD 300 - COLO1'!$B:BR,69,FALSE),"N/A")</f>
        <v>N/A</v>
      </c>
      <c r="CC28" s="86" t="str">
        <f>IFERROR(VLOOKUP($B28,'LOD 300 - COLO1'!$B:BU,72,FALSE),"N/A")</f>
        <v>N/A</v>
      </c>
      <c r="CD28" s="86" t="str">
        <f>IFERROR(VLOOKUP($B28,'LOD 300 - COLO1'!$B:BX,75,FALSE),"N/A")</f>
        <v>N/A</v>
      </c>
      <c r="CE28" s="86" t="str">
        <f>IFERROR(VLOOKUP($B28,'LOD 300 - COLO1'!$B:CA,78,FALSE),"N/A")</f>
        <v>N/A</v>
      </c>
      <c r="CF28" s="87" t="str">
        <f>IFERROR(VLOOKUP($B28,'LOD 300 - COLO1'!$B:CD,81,FALSE),"N/A")</f>
        <v>N/A</v>
      </c>
      <c r="CG28" s="86" t="str">
        <f>IFERROR(VLOOKUP($B28,'LOD 300 - COLO1'!$B:CG,84,FALSE),"N/A")</f>
        <v>N/A</v>
      </c>
      <c r="CH28" s="87" t="str">
        <f>IFERROR(VLOOKUP($B28,'LOD 300 - COLO1'!$B:CJ,87,FALSE),"N/A")</f>
        <v>N/A</v>
      </c>
      <c r="CI28" s="88" t="str">
        <f>IFERROR(VLOOKUP($B28,'LOD 300 - COLO1'!$B:CM,90,FALSE),"N/A")</f>
        <v>N/A</v>
      </c>
      <c r="CJ28" s="88" t="str">
        <f>IFERROR(VLOOKUP($B28,'LOD 300 - COLO1'!$B:CP,93,FALSE),"N/A")</f>
        <v>N/A</v>
      </c>
      <c r="CK28" s="88" t="str">
        <f>IFERROR(VLOOKUP($B28,'LOD 300 - COLO1'!$B:CS,96,FALSE),"N/A")</f>
        <v>N/A</v>
      </c>
      <c r="CL28" s="88" t="str">
        <f>IFERROR(VLOOKUP($B28,'LOD 300 - COLO1'!$B:CV,99,FALSE),"N/A")</f>
        <v>N/A</v>
      </c>
      <c r="CM28" s="88" t="str">
        <f>IFERROR(VLOOKUP($B28,'LOD 300 - COLO1'!$B:CY,102,FALSE),"N/A")</f>
        <v>N/A</v>
      </c>
      <c r="CN28" s="89" t="str">
        <f>IFERROR(VLOOKUP($B28,'LOD 300 - COLO1'!$B:DB,105,FALSE),"N/A")</f>
        <v>N/A</v>
      </c>
      <c r="CO28" s="87" t="str">
        <f>IFERROR(VLOOKUP($B28,'LOD 300 - COLO1'!$B:EE,108,FALSE),"N/A")</f>
        <v>N/A</v>
      </c>
      <c r="CP28" s="87" t="str">
        <f>IFERROR(VLOOKUP($B28,'LOD 300 - COLO1'!$B:EH,111,FALSE),"N/A")</f>
        <v>N/A</v>
      </c>
      <c r="CQ28" s="87" t="str">
        <f>IFERROR(VLOOKUP($B28,'LOD 300 - COLO1'!$B:EK,114,FALSE),"N/A")</f>
        <v>N/A</v>
      </c>
      <c r="CR28" s="87" t="str">
        <f>IFERROR(VLOOKUP($B28,'LOD 300 - COLO1'!$B:EN,117,FALSE),"N/A")</f>
        <v>N/A</v>
      </c>
      <c r="CS28" s="87" t="str">
        <f>IFERROR(VLOOKUP($B28,'LOD 300 - COLO1'!$B:EQ,120,FALSE),"N/A")</f>
        <v>N/A</v>
      </c>
      <c r="CT28" s="87" t="str">
        <f>IFERROR(VLOOKUP($B28,'LOD 300 - COLO1'!$B:ET,123,FALSE),"N/A")</f>
        <v>N/A</v>
      </c>
      <c r="CU28" s="87" t="str">
        <f>IFERROR(VLOOKUP($B28,'LOD 300 - COLO1'!$B:EW,126,FALSE),"N/A")</f>
        <v>N/A</v>
      </c>
      <c r="CV28" s="87" t="str">
        <f>IFERROR(VLOOKUP($B28,'LOD 300 - COLO1'!$B:EZ,129,FALSE),"N/A")</f>
        <v>N/A</v>
      </c>
      <c r="CW28" s="87" t="str">
        <f>IFERROR(VLOOKUP($B28,'LOD 300 - COLO1'!$B:FC,132,FALSE),"N/A")</f>
        <v>N/A</v>
      </c>
      <c r="CX28" s="96" t="str">
        <f>IFERROR(__xludf.DUMMYFUNCTION("IFERROR(
  MAX(FILTER(BK28:CW28, ISNUMBER(BK28:CW28))),
  CW28
)"),"N/A")</f>
        <v>N/A</v>
      </c>
      <c r="CY28" s="104" t="str">
        <f>IFERROR(VLOOKUP($B28,'LOD 300 - COLO2'!$B:S,18,FALSE),"N/A")</f>
        <v>N/A</v>
      </c>
      <c r="CZ28" s="117" t="str">
        <f>IFERROR(VLOOKUP($B28,'LOD 300 - COLO2'!$B:V,21,FALSE),"N/A")</f>
        <v>N/A</v>
      </c>
      <c r="DA28" s="117" t="str">
        <f>IFERROR(VLOOKUP($B28,'LOD 300 - COLO2'!$B:Y,24,FALSE),"N/A")</f>
        <v>N/A</v>
      </c>
      <c r="DB28" s="117" t="str">
        <f>IFERROR(VLOOKUP($B28,'LOD 300 - COLO2'!$B:AB,27,FALSE),"N/A")</f>
        <v>N/A</v>
      </c>
      <c r="DC28" s="92" t="str">
        <f>IFERROR(VLOOKUP($B28,'LOD 300 - COLO2'!$B:AE,30,FALSE),"N/A")</f>
        <v>N/A</v>
      </c>
      <c r="DD28" s="120" t="str">
        <f>IFERROR(VLOOKUP($B28,'LOD 300 - COLO2'!$B:AH,33,FALSE),"N/A")</f>
        <v>N/A</v>
      </c>
      <c r="DE28" s="117" t="str">
        <f>IFERROR(VLOOKUP($B28,'LOD 300 - COLO2'!$B:AK,36,FALSE),"N/A")</f>
        <v>N/A</v>
      </c>
      <c r="DF28" s="117" t="str">
        <f>IFERROR(VLOOKUP($B28,'LOD 300 - COLO2'!$B:AN,39,FALSE),"N/A")</f>
        <v>N/A</v>
      </c>
      <c r="DG28" s="119" t="str">
        <f>IFERROR(VLOOKUP($B28,'LOD 300 - COLO2'!$B:AQ,42,FALSE),"N/A")</f>
        <v>N/A</v>
      </c>
      <c r="DH28" s="87" t="str">
        <f>IFERROR(VLOOKUP($B28,'LOD 300 - COLO2'!$B:AT,45,FALSE),"N/A")</f>
        <v>N/A</v>
      </c>
      <c r="DI28" s="94" t="str">
        <f>IFERROR(VLOOKUP($B28,'LOD 300 - COLO2'!$B:AW,48,FALSE),"N/A")</f>
        <v>N/A</v>
      </c>
      <c r="DJ28" s="95" t="str">
        <f>IFERROR(VLOOKUP($B28,'LOD 300 - COLO2'!$B:AZ,51,FALSE),"N/A")</f>
        <v>N/A</v>
      </c>
      <c r="DK28" s="86" t="str">
        <f>IFERROR(VLOOKUP($B28,'LOD 300 - COLO2'!$B:BC,54,FALSE),"N/A")</f>
        <v>N/A</v>
      </c>
      <c r="DL28" s="86" t="str">
        <f>IFERROR(VLOOKUP($B28,'LOD 300 - COLO2'!$B:BF,57,FALSE),"N/A")</f>
        <v>N/A</v>
      </c>
      <c r="DM28" s="86" t="str">
        <f>IFERROR(VLOOKUP($B28,'LOD 300 - COLO2'!$B:BI,60,FALSE),"N/A")</f>
        <v>N/A</v>
      </c>
      <c r="DN28" s="86" t="str">
        <f>IFERROR(VLOOKUP($B28,'LOD 300 - COLO2'!$B:BL,63,FALSE),"N/A")</f>
        <v>N/A</v>
      </c>
      <c r="DO28" s="86" t="str">
        <f>IFERROR(VLOOKUP($B28,'LOD 300 - COLO2'!$B:BO,66,FALSE),"N/A")</f>
        <v>N/A</v>
      </c>
      <c r="DP28" s="87" t="str">
        <f>IFERROR(VLOOKUP($B28,'LOD 300 - COLO2'!$B:BR,69,FALSE),"N/A")</f>
        <v>N/A</v>
      </c>
      <c r="DQ28" s="87" t="str">
        <f>IFERROR(VLOOKUP($B28,'LOD 300 - COLO2'!$B:BU,72,FALSE),"N/A")</f>
        <v>N/A</v>
      </c>
      <c r="DR28" s="87" t="str">
        <f>IFERROR(VLOOKUP($B28,'LOD 300 - COLO2'!$B:BX,75,FALSE),"N/A")</f>
        <v>N/A</v>
      </c>
      <c r="DS28" s="98" t="str">
        <f>IFERROR(VLOOKUP($B28,'LOD 300 - COLO2'!$B:CA,78,FALSE),"N/A")</f>
        <v>N/A</v>
      </c>
      <c r="DT28" s="98" t="str">
        <f>IFERROR(VLOOKUP($B28,'LOD 300 - COLO2'!$B:CD,81,FALSE),"N/A")</f>
        <v>N/A</v>
      </c>
      <c r="DU28" s="98" t="str">
        <f>IFERROR(VLOOKUP($B28,'LOD 300 - COLO2'!$B:CG,84,FALSE),"N/A")</f>
        <v>N/A</v>
      </c>
      <c r="DV28" s="98" t="str">
        <f>IFERROR(VLOOKUP($B28,'LOD 300 - COLO2'!$B:CJ,87,FALSE),"N/A")</f>
        <v>N/A</v>
      </c>
      <c r="DW28" s="98" t="str">
        <f>IFERROR(VLOOKUP($B28,'LOD 300 - COLO2'!$B:CM,90,FALSE),"N/A")</f>
        <v>N/A</v>
      </c>
      <c r="DX28" s="98" t="str">
        <f>IFERROR(VLOOKUP($B28,'LOD 300 - COLO2'!$B:CP,93,FALSE),"N/A")</f>
        <v>N/A</v>
      </c>
      <c r="DY28" s="87" t="str">
        <f>IFERROR(VLOOKUP($B28,'LOD 300 - COLO2'!$B:CS,96,FALSE),"N/A")</f>
        <v>N/A</v>
      </c>
      <c r="DZ28" s="87" t="str">
        <f>IFERROR(VLOOKUP($B28,'LOD 300 - COLO2'!$B:CV,99,FALSE),"N/A")</f>
        <v>N/A</v>
      </c>
      <c r="EA28" s="87" t="str">
        <f>IFERROR(VLOOKUP($B28,'LOD 300 - COLO2'!$B:DB,105,FALSE),"N/A")</f>
        <v>N/A</v>
      </c>
      <c r="EB28" s="87" t="str">
        <f>IFERROR(VLOOKUP($B28,'LOD 300 - COLO2'!$B:DB,105,FALSE),"N/A")</f>
        <v>N/A</v>
      </c>
      <c r="EC28" s="87" t="str">
        <f>IFERROR(VLOOKUP($B28,'LOD 300 - COLO2'!$B:DE,108,FALSE),"N/A")</f>
        <v>N/A</v>
      </c>
      <c r="ED28" s="87" t="str">
        <f>IFERROR(VLOOKUP($B28,'LOD 300 - COLO2'!$B:DH,111,FALSE),"N/A")</f>
        <v>N/A</v>
      </c>
      <c r="EE28" s="87" t="str">
        <f>IFERROR(VLOOKUP($B28,'LOD 300 - COLO2'!$B:DK,114,FALSE),"N/A")</f>
        <v>N/A</v>
      </c>
      <c r="EF28" s="87" t="str">
        <f>IFERROR(VLOOKUP($B28,'LOD 300 - COLO2'!$B:DN,117,FALSE),"N/A")</f>
        <v>N/A</v>
      </c>
      <c r="EG28" s="87" t="str">
        <f>IFERROR(VLOOKUP($B28,'LOD 300 - COLO2'!$B:DQ,120,FALSE),"N/A")</f>
        <v>N/A</v>
      </c>
      <c r="EH28" s="99" t="str">
        <f>IFERROR(__xludf.DUMMYFUNCTION("IFERROR(
  MAX(FILTER(CZ28:EG28, ISNUMBER(CZ28:EG28))),
  EG28
)"),"N/A")</f>
        <v>N/A</v>
      </c>
      <c r="EI28" s="100" t="str">
        <f>IFERROR(VLOOKUP($B28,'LOD 300 - COLO3'!$B:R,17,FALSE),"N/A")</f>
        <v>N/A</v>
      </c>
      <c r="EJ28" s="127" t="str">
        <f>IFERROR(VLOOKUP($B28,'LOD 300 - COLO3'!$B:U,20,FALSE),"N/A")</f>
        <v>N/A</v>
      </c>
      <c r="EK28" s="127" t="str">
        <f>IFERROR(VLOOKUP($B28,'LOD 300 - COLO3'!$B:X,23,FALSE),"N/A")</f>
        <v>N/A</v>
      </c>
      <c r="EL28" s="127" t="str">
        <f>IFERROR(VLOOKUP($B28,'LOD 300 - COLO3'!$B:AA,26,FALSE),"N/A")</f>
        <v>N/A</v>
      </c>
      <c r="EM28" s="127" t="str">
        <f>IFERROR(VLOOKUP($B28,'LOD 300 - COLO3'!$B:AD,29,FALSE),"N/A")</f>
        <v>N/A</v>
      </c>
      <c r="EN28" s="127" t="str">
        <f>IFERROR(VLOOKUP($B28,'LOD 300 - COLO3'!$B:AG,32,FALSE),"N/A")</f>
        <v>N/A</v>
      </c>
      <c r="EO28" s="127" t="str">
        <f>IFERROR(VLOOKUP($B28,'LOD 300 - COLO3'!$B:AJ,35,FALSE),"N/A")</f>
        <v>N/A</v>
      </c>
      <c r="EP28" s="100" t="str">
        <f>IFERROR(VLOOKUP($B28,'LOD 300 - COLO3'!$B:AM,38,FALSE),"N/A")</f>
        <v>N/A</v>
      </c>
      <c r="EQ28" s="100" t="str">
        <f>IFERROR(VLOOKUP($B28,'LOD 300 - COLO3'!$B:AP,41,FALSE),"N/A")</f>
        <v>N/A</v>
      </c>
      <c r="ER28" s="100" t="str">
        <f>IFERROR(VLOOKUP($B28,'LOD 300 - COLO3'!$B:AS,44,FALSE),"N/A")</f>
        <v>N/A</v>
      </c>
      <c r="ES28" s="100" t="str">
        <f>IFERROR(VLOOKUP($B28,'LOD 300 - COLO3'!$B:AV,47,FALSE),"N/A")</f>
        <v>N/A</v>
      </c>
      <c r="ET28" s="100" t="str">
        <f>IFERROR(VLOOKUP($B28,'LOD 300 - COLO3'!$B:AY,50,FALSE),"N/A")</f>
        <v>N/A</v>
      </c>
      <c r="EU28" s="100" t="str">
        <f>IFERROR(VLOOKUP($B28,'LOD 300 - COLO3'!$B:BB,53,FALSE),"N/A")</f>
        <v>N/A</v>
      </c>
      <c r="EV28" s="100" t="str">
        <f>IFERROR(VLOOKUP($B28,'LOD 300 - COLO3'!$B:BE,56,FALSE),"N/A")</f>
        <v>N/A</v>
      </c>
      <c r="EW28" s="100" t="str">
        <f>IFERROR(VLOOKUP($B28,'LOD 300 - COLO3'!$B:BL,59,FALSE),"N/A")</f>
        <v>N/A</v>
      </c>
      <c r="EX28" s="100" t="str">
        <f>IFERROR(VLOOKUP($B28,'LOD 300 - COLO3'!$B:BO,62,FALSE),"N/A")</f>
        <v>N/A</v>
      </c>
      <c r="EY28" s="103" t="str">
        <f>IFERROR(__xludf.DUMMYFUNCTION("IFERROR(
  MAX(FILTER(EI28:EX28, ISNUMBER(EI28:EX28))),
  EX28
)"),"N/A")</f>
        <v>N/A</v>
      </c>
      <c r="EZ28" s="104" t="str">
        <f>IFERROR(VLOOKUP($B28,'LOD 300 - COLO4'!$B:BT,17,FALSE),"N/A")</f>
        <v>N/A</v>
      </c>
      <c r="FA28" s="103" t="str">
        <f>IFERROR(__xludf.DUMMYFUNCTION("IFERROR(
  MAX(FILTER(EZ28, ISNUMBER(EZ28))),
  EZ28
)"),"N/A")</f>
        <v>N/A</v>
      </c>
      <c r="FB28" s="121" t="str">
        <f>IFERROR(VLOOKUP($B28,'LOD 300 - SITE'!$B:S,18,FALSE),"N/A")</f>
        <v>NOT PUBLISHED</v>
      </c>
      <c r="FC28" s="122" t="str">
        <f>IFERROR(VLOOKUP($B28,'LOD 300 - SITE'!$B:V,21,FALSE),"N/A")</f>
        <v>NOT PUBLISHED</v>
      </c>
      <c r="FD28" s="122" t="str">
        <f>IFERROR(VLOOKUP($B28,'LOD 300 - SITE'!$B:Y,24,FALSE),"N/A")</f>
        <v>NOT PUBLISHED</v>
      </c>
      <c r="FE28" s="122" t="str">
        <f>IFERROR(VLOOKUP($B28,'LOD 300 - SITE'!$B:AB,27,FALSE),"N/A")</f>
        <v>NOT PUBLISHED</v>
      </c>
      <c r="FF28" s="122" t="str">
        <f>IFERROR(VLOOKUP($B28,'LOD 300 - SITE'!$B:AE,30,FALSE),"N/A")</f>
        <v>NOT PUBLISHED</v>
      </c>
      <c r="FG28" s="122" t="str">
        <f>IFERROR(VLOOKUP($B28,'LOD 300 - SITE'!$B:AH,33,FALSE),"N/A")</f>
        <v>NOT PUBLISHED</v>
      </c>
      <c r="FH28" s="122" t="str">
        <f>IFERROR(VLOOKUP($B28,'LOD 300 - SITE'!$B:AK,36,FALSE),"N/A")</f>
        <v>NOT PUBLISHED</v>
      </c>
      <c r="FI28" s="122" t="str">
        <f>IFERROR(VLOOKUP($B28,'LOD 300 - SITE'!$B:AN,39,FALSE),"N/A")</f>
        <v>NOT PUBLISHED</v>
      </c>
      <c r="FJ28" s="122" t="str">
        <f>IFERROR(VLOOKUP($B28,'LOD 300 - SITE'!$B:AQ,42,FALSE),"N/A")</f>
        <v>NEXT ROUND</v>
      </c>
      <c r="FK28" s="122">
        <f>IFERROR(VLOOKUP($B28,'LOD 300 - SITE'!$B:AT,45,FALSE),"N/A")</f>
        <v>0.77</v>
      </c>
      <c r="FL28" s="123" t="str">
        <f>IFERROR(VLOOKUP($B28,'LOD 300 - SITE'!$B:AW,48,FALSE),"N/A")</f>
        <v>OUTDATED MODEL</v>
      </c>
      <c r="FM28" s="87" t="str">
        <f>IFERROR(VLOOKUP($B28,'LOD 300 - SITE'!$B:AZ,51,FALSE),"N/A")</f>
        <v>OUTDATED MODEL</v>
      </c>
      <c r="FN28" s="94" t="str">
        <f>IFERROR(VLOOKUP($B28,'LOD 300 - SITE'!$B:BC,54,FALSE),"N/A")</f>
        <v>OUTDATED MODEL</v>
      </c>
      <c r="FO28" s="95" t="str">
        <f>IFERROR(VLOOKUP($B28,'LOD 300 - SITE'!$B:BF,57,FALSE),"N/A")</f>
        <v>OUTDATED MODEL</v>
      </c>
      <c r="FP28" s="86" t="str">
        <f>IFERROR(VLOOKUP($B28,'LOD 300 - SITE'!$B:BI,60,FALSE),"N/A")</f>
        <v>OUTDATED MODEL</v>
      </c>
      <c r="FQ28" s="86" t="str">
        <f>IFERROR(VLOOKUP($B28,'LOD 300 - SITE'!$B:BL,63,FALSE),"N/A")</f>
        <v>OUTDATED MODEL</v>
      </c>
      <c r="FR28" s="86" t="str">
        <f>IFERROR(VLOOKUP($B28,'LOD 300 - SITE'!$B:BO,66,FALSE),"N/A")</f>
        <v>OUTDATED MODEL</v>
      </c>
      <c r="FS28" s="86" t="str">
        <f>IFERROR(VLOOKUP($B28,'LOD 300 - SITE'!$B:BR,69,FALSE),"N/A")</f>
        <v>OUTDATED MODEL</v>
      </c>
      <c r="FT28" s="86" t="str">
        <f>IFERROR(VLOOKUP($B28,'LOD 300 - SITE'!$B:BU,72,FALSE),"N/A")</f>
        <v>OUTDATED MODEL</v>
      </c>
      <c r="FU28" s="86" t="str">
        <f>IFERROR(VLOOKUP($B28,'LOD 300 - SITE'!$B:BX,75,FALSE),"N/A")</f>
        <v>OUTDATED MODEL</v>
      </c>
      <c r="FV28" s="86" t="str">
        <f>IFERROR(VLOOKUP($B28,'LOD 300 - SITE'!$B:CA,78,FALSE),"N/A")</f>
        <v>NEXT ROUND</v>
      </c>
      <c r="FW28" s="87" t="str">
        <f>IFERROR(VLOOKUP($B28,'LOD 300 - SITE'!$B:CD,81,FALSE),"N/A")</f>
        <v>NEXT ROUND</v>
      </c>
      <c r="FX28" s="108" t="str">
        <f>IFERROR(VLOOKUP($B28,'LOD 300 - SITE'!$B:CG,84,FALSE),"N/A")</f>
        <v>NEXT ROUND</v>
      </c>
      <c r="FY28" s="108" t="str">
        <f>IFERROR(VLOOKUP($B28,'LOD 300 - SITE'!$B:CJ,87,FALSE),"N/A")</f>
        <v>NEXT ROUND</v>
      </c>
      <c r="FZ28" s="108" t="str">
        <f>IFERROR(VLOOKUP($B28,'LOD 300 - SITE'!$B:CM,90,FALSE),"N/A")</f>
        <v>NEXT ROUND</v>
      </c>
      <c r="GA28" s="108" t="str">
        <f>IFERROR(VLOOKUP($B28,'LOD 300 - SITE'!$B:CP,93,FALSE),"N/A")</f>
        <v>NEXT ROUND</v>
      </c>
      <c r="GB28" s="108">
        <f>IFERROR(VLOOKUP($B28,'LOD 300 - SITE'!$B:CS,96,FALSE),"N/A")</f>
        <v>0.49</v>
      </c>
      <c r="GC28" s="109" t="str">
        <f>IFERROR(VLOOKUP($B28,'LOD 300 - SITE'!$B:CV,99,FALSE),"N/A")</f>
        <v>OUTDATED MODEL</v>
      </c>
      <c r="GD28" s="87" t="str">
        <f>IFERROR(VLOOKUP($B28,'LOD 300 - SITE'!$B:CY,102,FALSE),"N/A")</f>
        <v>NEXT ROUND</v>
      </c>
      <c r="GE28" s="87" t="str">
        <f>IFERROR(VLOOKUP($B28,'LOD 300 - SITE'!$B:DB,105,FALSE),"N/A")</f>
        <v>IMPROPER</v>
      </c>
      <c r="GF28" s="87" t="str">
        <f>IFERROR(VLOOKUP($B28,'LOD 300 - SITE'!$B:DE,108,FALSE),"N/A")</f>
        <v>OUTDATED MODEL</v>
      </c>
      <c r="GG28" s="87" t="str">
        <f>IFERROR(VLOOKUP($B28,'LOD 300 - SITE'!$B:DH,111,FALSE),"N/A")</f>
        <v>IMPROPER</v>
      </c>
      <c r="GH28" s="87" t="str">
        <f>IFERROR(VLOOKUP($B28,'LOD 300 - SITE'!$B:DK,114,FALSE),"N/A")</f>
        <v>OUTDATED MODEL</v>
      </c>
      <c r="GI28" s="87" t="str">
        <f>IFERROR(VLOOKUP($B28,'LOD 300 - SITE'!$B:DN,117,FALSE),"N/A")</f>
        <v>OUTDATED MODEL</v>
      </c>
      <c r="GJ28" s="87" t="str">
        <f>IFERROR(VLOOKUP($B28,'LOD 300 - SITE'!$B:DQ,120,FALSE),"N/A")</f>
        <v>OUTDATED MODEL</v>
      </c>
      <c r="GK28" s="87" t="str">
        <f>IFERROR(VLOOKUP($B28,'LOD 300 - SITE'!$B:DT,123,FALSE),"N/A")</f>
        <v>OUTDATED MODEL</v>
      </c>
      <c r="GL28" s="87" t="str">
        <f>IFERROR(VLOOKUP($B28,'LOD 300 - SITE'!$B:DW,126,FALSE),"N/A")</f>
        <v>OUTDATED MODEL</v>
      </c>
      <c r="GM28" s="156">
        <f>IFERROR(__xludf.DUMMYFUNCTION("IFERROR(
INDEX(
FILTER(FB28:GL28, ISNUMBER(FB28:GL28)),
COUNTA(FILTER(FB28:GL28, ISNUMBER(FB28:GL28)))
),
GL28
)"),0.49)</f>
        <v>0.49</v>
      </c>
      <c r="GN28" s="68"/>
      <c r="GO28" s="68"/>
      <c r="GP28" s="68"/>
    </row>
    <row r="29" ht="15.0" customHeight="1" outlineLevel="1">
      <c r="A29" s="60">
        <v>32.0</v>
      </c>
      <c r="B29" s="140" t="s">
        <v>160</v>
      </c>
      <c r="C29" s="70" t="s">
        <v>161</v>
      </c>
      <c r="D29" s="71" t="s">
        <v>85</v>
      </c>
      <c r="E29" s="138" t="s">
        <v>162</v>
      </c>
      <c r="F29" s="13" t="s">
        <v>162</v>
      </c>
      <c r="G29" s="138" t="s">
        <v>162</v>
      </c>
      <c r="H29" s="150"/>
      <c r="I29" s="74" t="str">
        <f>IFERROR(VLOOKUP(C26:C168,'R22 RELATÓRIO ACC'!B:F,5,FALSE),"NOT PUBLISHED")</f>
        <v>V9</v>
      </c>
      <c r="J29" s="74" t="str">
        <f>IFERROR(VLOOKUP(C26:C168,'R22 RELATÓRIO ACC'!B:P,15,FALSE),"NOT PUBLISHED")</f>
        <v>28/02/2026</v>
      </c>
      <c r="K29" s="141" t="str">
        <f>IFERROR(VLOOKUP(B26:B218,'RELATÓRIO ACC'!B:F,5,FALSE),"NOT PUBLISHED")</f>
        <v>V1</v>
      </c>
      <c r="L29" s="142" t="str">
        <f>IFERROR(VLOOKUP(B26:B218,'RELATÓRIO ACC'!B:P,15,FALSE),"NOT PUBLISHED")</f>
        <v>20/05/2026</v>
      </c>
      <c r="M29" s="76" t="str">
        <f>IF(OR($D29="UTLS",$D29="GUAR",$D29="STIR",$D29="PUMP",$D29="SITE"),
   VLOOKUP($B29,'LOD 300 - SITE'!B:M,12,FALSE),
   VLOOKUP($B29,'LOD 300 - ADMN'!B:M,12,FALSE)
)</f>
        <v>V6</v>
      </c>
      <c r="N29" s="77" t="str">
        <f>IF(OR($D29="UTLS",$D29="GUAR",$D29="STIR",$D29="PUMP",$D29="SITE"),
   VLOOKUP($B29,'LOD 300 - SITE'!B:N,13,FALSE),
   VLOOKUP($B29,'LOD 300 - ADMN'!B:N,13,FALSE)
)</f>
        <v>21/10/2025</v>
      </c>
      <c r="O29" s="78" t="str">
        <f>IF(OR($D29="UTLS",$D29="GUAR",$D29="STIR",$D29="PUMP",$D29="SITE"),
   VLOOKUP($B29,'LOD 300 - SITE'!B:O,14,FALSE),
   VLOOKUP($B29,'LOD 300 - ADMN'!B:O,14,FALSE)
)</f>
        <v>R22</v>
      </c>
      <c r="P29" s="79" t="str">
        <f>IF(OR($D29="C345",$D29="C12A",$D29="DATA"),
   VLOOKUP($B29,'LOD 300 - COLO3'!B:M,12,FALSE),"N/A")</f>
        <v>N/A</v>
      </c>
      <c r="Q29" s="76" t="str">
        <f>IF(OR($D29="C345",$D29="C12A",$D29="DATA"),
   VLOOKUP($B29,'LOD 300 - COLO3'!B:N,13,FALSE),"N/A")</f>
        <v>N/A</v>
      </c>
      <c r="R29" s="76" t="str">
        <f>IF(OR($D29="C345",$D29="C12A",$D29="DATA"),
   VLOOKUP($B29,'LOD 300 - COLO3'!B:O,14,FALSE),"N/A")</f>
        <v>N/A</v>
      </c>
      <c r="S29" s="79" t="str">
        <f>IF(OR($D29="C345",$D29="C12A",$D29="DATA"),
   VLOOKUP($B29,'LOD 300 - COLO4'!B:M,12,FALSE),"N/A")</f>
        <v>N/A</v>
      </c>
      <c r="T29" s="76" t="str">
        <f>IF(OR($D29="C345",$D29="C12A",$D29="DATA"),
   VLOOKUP($B29,'LOD 300 - COLO4'!B:T,13,FALSE),"N/A")</f>
        <v>N/A</v>
      </c>
      <c r="U29" s="81">
        <f>IF(OR($D29="C345",$D29="C12A",$D29="DATA"),
   VLOOKUP($B29,'LOD 300 - COLO4'!B:U,17,FALSE),"N/A")</f>
        <v>0</v>
      </c>
      <c r="V29" s="126"/>
      <c r="W29" s="144" t="str">
        <f>IFERROR(VLOOKUP($B29,'LOD 300 - ADMN'!$B:S,18,FALSE),"N/A")</f>
        <v>NOT PUBLISHED</v>
      </c>
      <c r="X29" s="122" t="str">
        <f>IFERROR(VLOOKUP($B29,'LOD 300 - ADMN'!$B:V,21,FALSE),"N/A")</f>
        <v>NOT PUBLISHED</v>
      </c>
      <c r="Y29" s="122" t="str">
        <f>IFERROR(VLOOKUP($B29,'LOD 300 - ADMN'!$B:Y,24,FALSE),"N/A")</f>
        <v>NOT PUBLISHED</v>
      </c>
      <c r="Z29" s="122">
        <f>IFERROR(VLOOKUP($B29,'LOD 300 - ADMN'!$B:AB,27,FALSE),"N/A")</f>
        <v>0.67</v>
      </c>
      <c r="AA29" s="122">
        <f>IFERROR(VLOOKUP($B29,'LOD 300 - ADMN'!$B:AE,30,FALSE),"N/A")</f>
        <v>0.5</v>
      </c>
      <c r="AB29" s="145">
        <f>IFERROR(VLOOKUP($B29,'LOD 300 - ADMN'!$B:AH,33,FALSE),"N/A")</f>
        <v>0.92</v>
      </c>
      <c r="AC29" s="145" t="str">
        <f>IFERROR(VLOOKUP($B29,'LOD 300 - ADMN'!$B:AK,36,FALSE),"N/A")</f>
        <v>OUTDATED MODEL</v>
      </c>
      <c r="AD29" s="122" t="str">
        <f>IFERROR(VLOOKUP($B29,'LOD 300 - ADMN'!$B:AN,39,FALSE),"N/A")</f>
        <v>OUTDATED MODEL</v>
      </c>
      <c r="AE29" s="122" t="str">
        <f>IFERROR(VLOOKUP($B29,'LOD 300 - ADMN'!$B:AQ,42,FALSE),"N/A")</f>
        <v>NEXT ROUND</v>
      </c>
      <c r="AF29" s="122">
        <f>IFERROR(VLOOKUP($B29,'LOD 300 - ADMN'!$B:AT,45,FALSE),"N/A")</f>
        <v>1</v>
      </c>
      <c r="AG29" s="122">
        <f>IFERROR(VLOOKUP($B29,'LOD 300 - ADMN'!$B:AW,48,FALSE),"N/A")</f>
        <v>1</v>
      </c>
      <c r="AH29" s="122">
        <f>IFERROR(VLOOKUP($B29,'LOD 300 - ADMN'!$B:AZ,51,FALSE),"N/A")</f>
        <v>1</v>
      </c>
      <c r="AI29" s="122">
        <f>IFERROR(VLOOKUP($B29,'LOD 300 - ADMN'!$B:BC,54,FALSE),"N/A")</f>
        <v>1</v>
      </c>
      <c r="AJ29" s="87">
        <f>IFERROR(VLOOKUP($B29,'LOD 300 - ADMN'!$B:BF,57,FALSE),"N/A")</f>
        <v>1</v>
      </c>
      <c r="AK29" s="87">
        <f>IFERROR(VLOOKUP($B29,'LOD 300 - ADMN'!$B:EP,60,FALSE),"N/A")</f>
        <v>1</v>
      </c>
      <c r="AL29" s="87">
        <f>IFERROR(VLOOKUP($B29,'LOD 300 - ADMN'!$B:EQ,63,FALSE),"N/A")</f>
        <v>1</v>
      </c>
      <c r="AM29" s="87">
        <f>IFERROR(VLOOKUP($B29,'LOD 300 - ADMN'!$B:BO,66,FALSE),"N/A")</f>
        <v>1</v>
      </c>
      <c r="AN29" s="87">
        <f>IFERROR(VLOOKUP($B29,'LOD 300 - ADMN'!$B:BR,69,FALSE),"N/A")</f>
        <v>1</v>
      </c>
      <c r="AO29" s="87">
        <f>IFERROR(VLOOKUP($B29,'LOD 300 - ADMN'!$B:BU,72,FALSE),"N/A")</f>
        <v>1</v>
      </c>
      <c r="AP29" s="87">
        <f>IFERROR(VLOOKUP($B29,'LOD 300 - ADMN'!$B:BX,75,FALSE),"N/A")</f>
        <v>1</v>
      </c>
      <c r="AQ29" s="87">
        <f>IFERROR(VLOOKUP($B29,'LOD 300 - ADMN'!$B:CA,78,FALSE),"N/A")</f>
        <v>1</v>
      </c>
      <c r="AR29" s="87">
        <f>IFERROR(VLOOKUP($B29,'LOD 300 - ADMN'!$B:CD,81,FALSE),"N/A")</f>
        <v>1</v>
      </c>
      <c r="AS29" s="87">
        <f>IFERROR(VLOOKUP($B29,'LOD 300 - ADMN'!$B:CG,84,FALSE),"N/A")</f>
        <v>1</v>
      </c>
      <c r="AT29" s="87">
        <f>IFERROR(VLOOKUP($B29,'LOD 300 - ADMN'!$B:CJ,87,FALSE),"N/A")</f>
        <v>1</v>
      </c>
      <c r="AU29" s="88">
        <f>IFERROR(VLOOKUP($B29,'LOD 300 - ADMN'!$B:CM,90,FALSE),"N/A")</f>
        <v>1</v>
      </c>
      <c r="AV29" s="88">
        <f>IFERROR(VLOOKUP($B29,'LOD 300 - ADMN'!$B:CP,93,FALSE),"N/A")</f>
        <v>1</v>
      </c>
      <c r="AW29" s="88">
        <f>IFERROR(VLOOKUP($B29,'LOD 300 - ADMN'!$B:CS,96,FALSE),"N/A")</f>
        <v>1</v>
      </c>
      <c r="AX29" s="88">
        <f>IFERROR(VLOOKUP($B29,'LOD 300 - ADMN'!$B:CV,99,FALSE),"N/A")</f>
        <v>1</v>
      </c>
      <c r="AY29" s="88">
        <f>IFERROR(VLOOKUP($B29,'LOD 300 - ADMN'!$B:CY,102,FALSE),"N/A")</f>
        <v>1</v>
      </c>
      <c r="AZ29" s="88">
        <f>IFERROR(VLOOKUP($B29,'LOD 300 - ADMN'!$B:DB,105,FALSE),"N/A")</f>
        <v>1</v>
      </c>
      <c r="BA29" s="87">
        <f>IFERROR(VLOOKUP($B29,'LOD 300 - ADMN'!$B:DE,108,FALSE),"N/A")</f>
        <v>1</v>
      </c>
      <c r="BB29" s="87">
        <f>IFERROR(VLOOKUP($B29,'LOD 300 - ADMN'!$B:DH,111,FALSE),"N/A")</f>
        <v>1</v>
      </c>
      <c r="BC29" s="87">
        <f>IFERROR(VLOOKUP($B29,'LOD 300 - ADMN'!$B:DK,114,FALSE),"N/A")</f>
        <v>1</v>
      </c>
      <c r="BD29" s="87">
        <f>IFERROR(VLOOKUP($B29,'LOD 300 - ADMN'!$B:DN,117,FALSE),"N/A")</f>
        <v>1</v>
      </c>
      <c r="BE29" s="87">
        <f>IFERROR(VLOOKUP($B29,'LOD 300 - ADMN'!$B:DQ,120,FALSE),"N/A")</f>
        <v>1</v>
      </c>
      <c r="BF29" s="87">
        <f>IFERROR(VLOOKUP($B29,'LOD 300 - ADMN'!$B:DT,123,FALSE),"N/A")</f>
        <v>1</v>
      </c>
      <c r="BG29" s="87">
        <f>IFERROR(VLOOKUP($B29,'LOD 300 - ADMN'!$B:DW,126,FALSE),"N/A")</f>
        <v>1</v>
      </c>
      <c r="BH29" s="87">
        <f>IFERROR(VLOOKUP($B29,'LOD 300 - ADMN'!$B:DZ,129,FALSE),"N/A")</f>
        <v>1</v>
      </c>
      <c r="BI29" s="87">
        <f>IFERROR(VLOOKUP($B29,'LOD 300 - ADMN'!$B:EC,132,FALSE),"N/A")</f>
        <v>1</v>
      </c>
      <c r="BJ29" s="90">
        <f>IFERROR(__xludf.DUMMYFUNCTION("IFERROR(
  MAX(FILTER(X29:BI29, ISNUMBER(X29:BI29))),
  BI29
)"),1.0)</f>
        <v>1</v>
      </c>
      <c r="BK29" s="91" t="str">
        <f>IFERROR(VLOOKUP($B29,'LOD 300 - COLO1'!$B:S,18,FALSE),"N/A")</f>
        <v>N/A</v>
      </c>
      <c r="BL29" s="92" t="str">
        <f>IFERROR(VLOOKUP($B29,'LOD 300 - COLO1'!$B:V,21,FALSE),"N/A")</f>
        <v>N/A</v>
      </c>
      <c r="BM29" s="92" t="str">
        <f>IFERROR(VLOOKUP($B29,'LOD 300 - COLO1'!$B:Y,24,FALSE),"N/A")</f>
        <v>N/A</v>
      </c>
      <c r="BN29" s="92" t="str">
        <f>IFERROR(VLOOKUP($B29,'LOD 300 - COLO1'!$B:AB,27,FALSE),"N/A")</f>
        <v>N/A</v>
      </c>
      <c r="BO29" s="92" t="str">
        <f>IFERROR(VLOOKUP($B29,'LOD 300 - COLO1'!$B:AE,30,FALSE),"N/A")</f>
        <v>N/A</v>
      </c>
      <c r="BP29" s="92" t="str">
        <f>IFERROR(VLOOKUP($B29,'LOD 300 - COLO1'!$B:AH,33,FALSE),"N/A")</f>
        <v>N/A</v>
      </c>
      <c r="BQ29" s="92" t="str">
        <f>IFERROR(VLOOKUP($B29,'LOD 300 - COLO1'!$B:AK,36,FALSE),"N/A")</f>
        <v>N/A</v>
      </c>
      <c r="BR29" s="92" t="str">
        <f>IFERROR(VLOOKUP($B29,'LOD 300 - COLO1'!$B:AN,39,FALSE),"N/A")</f>
        <v>N/A</v>
      </c>
      <c r="BS29" s="92" t="str">
        <f>IFERROR(VLOOKUP($B29,'LOD 300 - COLO1'!$B:AQ,42,FALSE),"N/A")</f>
        <v>N/A</v>
      </c>
      <c r="BT29" s="92" t="str">
        <f>IFERROR(VLOOKUP($B29,'LOD 300 - COLO1'!$B:AT,45,FALSE),"N/A")</f>
        <v>N/A</v>
      </c>
      <c r="BU29" s="92" t="str">
        <f>IFERROR(VLOOKUP($B29,'LOD 300 - COLO1'!$B:AW,48,FALSE),"N/A")</f>
        <v>N/A</v>
      </c>
      <c r="BV29" s="92" t="str">
        <f>IFERROR(VLOOKUP($B29,'LOD 300 - COLO1'!$B:AZ,51,FALSE),"N/A")</f>
        <v>N/A</v>
      </c>
      <c r="BW29" s="92" t="str">
        <f>IFERROR(VLOOKUP($B29,'LOD 300 - COLO1'!$B:BC,54,FALSE),"N/A")</f>
        <v>N/A</v>
      </c>
      <c r="BX29" s="94" t="str">
        <f>IFERROR(VLOOKUP($B29,'LOD 300 - COLO1'!$B:BF,57,FALSE),"N/A")</f>
        <v>N/A</v>
      </c>
      <c r="BY29" s="94" t="str">
        <f>IFERROR(VLOOKUP($B29,'LOD 300 - COLO1'!$B:BI,60,FALSE),"N/A")</f>
        <v>N/A</v>
      </c>
      <c r="BZ29" s="95" t="str">
        <f>IFERROR(VLOOKUP($B29,'LOD 300 - COLO1'!$B:BL,63,FALSE),"N/A")</f>
        <v>N/A</v>
      </c>
      <c r="CA29" s="86" t="str">
        <f>IFERROR(VLOOKUP($B29,'LOD 300 - COLO1'!$B:BO,66,FALSE),"N/A")</f>
        <v>N/A</v>
      </c>
      <c r="CB29" s="86" t="str">
        <f>IFERROR(VLOOKUP($B29,'LOD 300 - COLO1'!$B:BR,69,FALSE),"N/A")</f>
        <v>N/A</v>
      </c>
      <c r="CC29" s="86" t="str">
        <f>IFERROR(VLOOKUP($B29,'LOD 300 - COLO1'!$B:BU,72,FALSE),"N/A")</f>
        <v>N/A</v>
      </c>
      <c r="CD29" s="86" t="str">
        <f>IFERROR(VLOOKUP($B29,'LOD 300 - COLO1'!$B:BX,75,FALSE),"N/A")</f>
        <v>N/A</v>
      </c>
      <c r="CE29" s="86" t="str">
        <f>IFERROR(VLOOKUP($B29,'LOD 300 - COLO1'!$B:CA,78,FALSE),"N/A")</f>
        <v>N/A</v>
      </c>
      <c r="CF29" s="87" t="str">
        <f>IFERROR(VLOOKUP($B29,'LOD 300 - COLO1'!$B:CD,81,FALSE),"N/A")</f>
        <v>N/A</v>
      </c>
      <c r="CG29" s="86" t="str">
        <f>IFERROR(VLOOKUP($B29,'LOD 300 - COLO1'!$B:CG,84,FALSE),"N/A")</f>
        <v>N/A</v>
      </c>
      <c r="CH29" s="87" t="str">
        <f>IFERROR(VLOOKUP($B29,'LOD 300 - COLO1'!$B:CJ,87,FALSE),"N/A")</f>
        <v>N/A</v>
      </c>
      <c r="CI29" s="88" t="str">
        <f>IFERROR(VLOOKUP($B29,'LOD 300 - COLO1'!$B:CM,90,FALSE),"N/A")</f>
        <v>N/A</v>
      </c>
      <c r="CJ29" s="88" t="str">
        <f>IFERROR(VLOOKUP($B29,'LOD 300 - COLO1'!$B:CP,93,FALSE),"N/A")</f>
        <v>N/A</v>
      </c>
      <c r="CK29" s="88" t="str">
        <f>IFERROR(VLOOKUP($B29,'LOD 300 - COLO1'!$B:CS,96,FALSE),"N/A")</f>
        <v>N/A</v>
      </c>
      <c r="CL29" s="88" t="str">
        <f>IFERROR(VLOOKUP($B29,'LOD 300 - COLO1'!$B:CV,99,FALSE),"N/A")</f>
        <v>N/A</v>
      </c>
      <c r="CM29" s="88" t="str">
        <f>IFERROR(VLOOKUP($B29,'LOD 300 - COLO1'!$B:CY,102,FALSE),"N/A")</f>
        <v>N/A</v>
      </c>
      <c r="CN29" s="89" t="str">
        <f>IFERROR(VLOOKUP($B29,'LOD 300 - COLO1'!$B:DB,105,FALSE),"N/A")</f>
        <v>N/A</v>
      </c>
      <c r="CO29" s="87" t="str">
        <f>IFERROR(VLOOKUP($B29,'LOD 300 - COLO1'!$B:EE,108,FALSE),"N/A")</f>
        <v>N/A</v>
      </c>
      <c r="CP29" s="87" t="str">
        <f>IFERROR(VLOOKUP($B29,'LOD 300 - COLO1'!$B:EH,111,FALSE),"N/A")</f>
        <v>N/A</v>
      </c>
      <c r="CQ29" s="87" t="str">
        <f>IFERROR(VLOOKUP($B29,'LOD 300 - COLO1'!$B:EK,114,FALSE),"N/A")</f>
        <v>N/A</v>
      </c>
      <c r="CR29" s="87" t="str">
        <f>IFERROR(VLOOKUP($B29,'LOD 300 - COLO1'!$B:EN,117,FALSE),"N/A")</f>
        <v>N/A</v>
      </c>
      <c r="CS29" s="87" t="str">
        <f>IFERROR(VLOOKUP($B29,'LOD 300 - COLO1'!$B:EQ,120,FALSE),"N/A")</f>
        <v>N/A</v>
      </c>
      <c r="CT29" s="87" t="str">
        <f>IFERROR(VLOOKUP($B29,'LOD 300 - COLO1'!$B:ET,123,FALSE),"N/A")</f>
        <v>N/A</v>
      </c>
      <c r="CU29" s="87" t="str">
        <f>IFERROR(VLOOKUP($B29,'LOD 300 - COLO1'!$B:EW,126,FALSE),"N/A")</f>
        <v>N/A</v>
      </c>
      <c r="CV29" s="87" t="str">
        <f>IFERROR(VLOOKUP($B29,'LOD 300 - COLO1'!$B:EZ,129,FALSE),"N/A")</f>
        <v>N/A</v>
      </c>
      <c r="CW29" s="87" t="str">
        <f>IFERROR(VLOOKUP($B29,'LOD 300 - COLO1'!$B:FC,132,FALSE),"N/A")</f>
        <v>N/A</v>
      </c>
      <c r="CX29" s="96" t="str">
        <f>IFERROR(__xludf.DUMMYFUNCTION("IFERROR(
  MAX(FILTER(BK29:CW29, ISNUMBER(BK29:CW29))),
  CW29
)"),"N/A")</f>
        <v>N/A</v>
      </c>
      <c r="CY29" s="104" t="str">
        <f>IFERROR(VLOOKUP($B29,'LOD 300 - COLO2'!$B:S,18,FALSE),"N/A")</f>
        <v>N/A</v>
      </c>
      <c r="CZ29" s="117" t="str">
        <f>IFERROR(VLOOKUP($B29,'LOD 300 - COLO2'!$B:V,21,FALSE),"N/A")</f>
        <v>N/A</v>
      </c>
      <c r="DA29" s="117" t="str">
        <f>IFERROR(VLOOKUP($B29,'LOD 300 - COLO2'!$B:Y,24,FALSE),"N/A")</f>
        <v>N/A</v>
      </c>
      <c r="DB29" s="117" t="str">
        <f>IFERROR(VLOOKUP($B29,'LOD 300 - COLO2'!$B:AB,27,FALSE),"N/A")</f>
        <v>N/A</v>
      </c>
      <c r="DC29" s="92" t="str">
        <f>IFERROR(VLOOKUP($B29,'LOD 300 - COLO2'!$B:AE,30,FALSE),"N/A")</f>
        <v>N/A</v>
      </c>
      <c r="DD29" s="120" t="str">
        <f>IFERROR(VLOOKUP($B29,'LOD 300 - COLO2'!$B:AH,33,FALSE),"N/A")</f>
        <v>N/A</v>
      </c>
      <c r="DE29" s="117" t="str">
        <f>IFERROR(VLOOKUP($B29,'LOD 300 - COLO2'!$B:AK,36,FALSE),"N/A")</f>
        <v>N/A</v>
      </c>
      <c r="DF29" s="117" t="str">
        <f>IFERROR(VLOOKUP($B29,'LOD 300 - COLO2'!$B:AN,39,FALSE),"N/A")</f>
        <v>N/A</v>
      </c>
      <c r="DG29" s="119" t="str">
        <f>IFERROR(VLOOKUP($B29,'LOD 300 - COLO2'!$B:AQ,42,FALSE),"N/A")</f>
        <v>N/A</v>
      </c>
      <c r="DH29" s="87" t="str">
        <f>IFERROR(VLOOKUP($B29,'LOD 300 - COLO2'!$B:AT,45,FALSE),"N/A")</f>
        <v>N/A</v>
      </c>
      <c r="DI29" s="94" t="str">
        <f>IFERROR(VLOOKUP($B29,'LOD 300 - COLO2'!$B:AW,48,FALSE),"N/A")</f>
        <v>N/A</v>
      </c>
      <c r="DJ29" s="95" t="str">
        <f>IFERROR(VLOOKUP($B29,'LOD 300 - COLO2'!$B:AZ,51,FALSE),"N/A")</f>
        <v>N/A</v>
      </c>
      <c r="DK29" s="86" t="str">
        <f>IFERROR(VLOOKUP($B29,'LOD 300 - COLO2'!$B:BC,54,FALSE),"N/A")</f>
        <v>N/A</v>
      </c>
      <c r="DL29" s="86" t="str">
        <f>IFERROR(VLOOKUP($B29,'LOD 300 - COLO2'!$B:BF,57,FALSE),"N/A")</f>
        <v>N/A</v>
      </c>
      <c r="DM29" s="86" t="str">
        <f>IFERROR(VLOOKUP($B29,'LOD 300 - COLO2'!$B:BI,60,FALSE),"N/A")</f>
        <v>N/A</v>
      </c>
      <c r="DN29" s="86" t="str">
        <f>IFERROR(VLOOKUP($B29,'LOD 300 - COLO2'!$B:BL,63,FALSE),"N/A")</f>
        <v>N/A</v>
      </c>
      <c r="DO29" s="86" t="str">
        <f>IFERROR(VLOOKUP($B29,'LOD 300 - COLO2'!$B:BO,66,FALSE),"N/A")</f>
        <v>N/A</v>
      </c>
      <c r="DP29" s="87" t="str">
        <f>IFERROR(VLOOKUP($B29,'LOD 300 - COLO2'!$B:BR,69,FALSE),"N/A")</f>
        <v>N/A</v>
      </c>
      <c r="DQ29" s="87" t="str">
        <f>IFERROR(VLOOKUP($B29,'LOD 300 - COLO2'!$B:BU,72,FALSE),"N/A")</f>
        <v>N/A</v>
      </c>
      <c r="DR29" s="87" t="str">
        <f>IFERROR(VLOOKUP($B29,'LOD 300 - COLO2'!$B:BX,75,FALSE),"N/A")</f>
        <v>N/A</v>
      </c>
      <c r="DS29" s="98" t="str">
        <f>IFERROR(VLOOKUP($B29,'LOD 300 - COLO2'!$B:CA,78,FALSE),"N/A")</f>
        <v>N/A</v>
      </c>
      <c r="DT29" s="98" t="str">
        <f>IFERROR(VLOOKUP($B29,'LOD 300 - COLO2'!$B:CD,81,FALSE),"N/A")</f>
        <v>N/A</v>
      </c>
      <c r="DU29" s="98" t="str">
        <f>IFERROR(VLOOKUP($B29,'LOD 300 - COLO2'!$B:CG,84,FALSE),"N/A")</f>
        <v>N/A</v>
      </c>
      <c r="DV29" s="98" t="str">
        <f>IFERROR(VLOOKUP($B29,'LOD 300 - COLO2'!$B:CJ,87,FALSE),"N/A")</f>
        <v>N/A</v>
      </c>
      <c r="DW29" s="98" t="str">
        <f>IFERROR(VLOOKUP($B29,'LOD 300 - COLO2'!$B:CM,90,FALSE),"N/A")</f>
        <v>N/A</v>
      </c>
      <c r="DX29" s="98" t="str">
        <f>IFERROR(VLOOKUP($B29,'LOD 300 - COLO2'!$B:CP,93,FALSE),"N/A")</f>
        <v>N/A</v>
      </c>
      <c r="DY29" s="87" t="str">
        <f>IFERROR(VLOOKUP($B29,'LOD 300 - COLO2'!$B:CS,96,FALSE),"N/A")</f>
        <v>N/A</v>
      </c>
      <c r="DZ29" s="87" t="str">
        <f>IFERROR(VLOOKUP($B29,'LOD 300 - COLO2'!$B:CV,99,FALSE),"N/A")</f>
        <v>N/A</v>
      </c>
      <c r="EA29" s="87" t="str">
        <f>IFERROR(VLOOKUP($B29,'LOD 300 - COLO2'!$B:DB,105,FALSE),"N/A")</f>
        <v>N/A</v>
      </c>
      <c r="EB29" s="87" t="str">
        <f>IFERROR(VLOOKUP($B29,'LOD 300 - COLO2'!$B:DB,105,FALSE),"N/A")</f>
        <v>N/A</v>
      </c>
      <c r="EC29" s="87" t="str">
        <f>IFERROR(VLOOKUP($B29,'LOD 300 - COLO2'!$B:DE,108,FALSE),"N/A")</f>
        <v>N/A</v>
      </c>
      <c r="ED29" s="87" t="str">
        <f>IFERROR(VLOOKUP($B29,'LOD 300 - COLO2'!$B:DH,111,FALSE),"N/A")</f>
        <v>N/A</v>
      </c>
      <c r="EE29" s="87" t="str">
        <f>IFERROR(VLOOKUP($B29,'LOD 300 - COLO2'!$B:DK,114,FALSE),"N/A")</f>
        <v>N/A</v>
      </c>
      <c r="EF29" s="87" t="str">
        <f>IFERROR(VLOOKUP($B29,'LOD 300 - COLO2'!$B:DN,117,FALSE),"N/A")</f>
        <v>N/A</v>
      </c>
      <c r="EG29" s="87" t="str">
        <f>IFERROR(VLOOKUP($B29,'LOD 300 - COLO2'!$B:DQ,120,FALSE),"N/A")</f>
        <v>N/A</v>
      </c>
      <c r="EH29" s="99" t="str">
        <f>IFERROR(__xludf.DUMMYFUNCTION("IFERROR(
  MAX(FILTER(CZ29:EG29, ISNUMBER(CZ29:EG29))),
  EG29
)"),"N/A")</f>
        <v>N/A</v>
      </c>
      <c r="EI29" s="100" t="str">
        <f>IFERROR(VLOOKUP($B29,'LOD 300 - COLO3'!$B:R,17,FALSE),"N/A")</f>
        <v>N/A</v>
      </c>
      <c r="EJ29" s="127" t="str">
        <f>IFERROR(VLOOKUP($B29,'LOD 300 - COLO3'!$B:U,20,FALSE),"N/A")</f>
        <v>N/A</v>
      </c>
      <c r="EK29" s="127" t="str">
        <f>IFERROR(VLOOKUP($B29,'LOD 300 - COLO3'!$B:X,23,FALSE),"N/A")</f>
        <v>N/A</v>
      </c>
      <c r="EL29" s="127" t="str">
        <f>IFERROR(VLOOKUP($B29,'LOD 300 - COLO3'!$B:AA,26,FALSE),"N/A")</f>
        <v>N/A</v>
      </c>
      <c r="EM29" s="127" t="str">
        <f>IFERROR(VLOOKUP($B29,'LOD 300 - COLO3'!$B:AD,29,FALSE),"N/A")</f>
        <v>N/A</v>
      </c>
      <c r="EN29" s="127" t="str">
        <f>IFERROR(VLOOKUP($B29,'LOD 300 - COLO3'!$B:AG,32,FALSE),"N/A")</f>
        <v>N/A</v>
      </c>
      <c r="EO29" s="127" t="str">
        <f>IFERROR(VLOOKUP($B29,'LOD 300 - COLO3'!$B:AJ,35,FALSE),"N/A")</f>
        <v>N/A</v>
      </c>
      <c r="EP29" s="100" t="str">
        <f>IFERROR(VLOOKUP($B29,'LOD 300 - COLO3'!$B:AM,38,FALSE),"N/A")</f>
        <v>N/A</v>
      </c>
      <c r="EQ29" s="100" t="str">
        <f>IFERROR(VLOOKUP($B29,'LOD 300 - COLO3'!$B:AP,41,FALSE),"N/A")</f>
        <v>N/A</v>
      </c>
      <c r="ER29" s="100" t="str">
        <f>IFERROR(VLOOKUP($B29,'LOD 300 - COLO3'!$B:AS,44,FALSE),"N/A")</f>
        <v>N/A</v>
      </c>
      <c r="ES29" s="100" t="str">
        <f>IFERROR(VLOOKUP($B29,'LOD 300 - COLO3'!$B:AV,47,FALSE),"N/A")</f>
        <v>N/A</v>
      </c>
      <c r="ET29" s="100" t="str">
        <f>IFERROR(VLOOKUP($B29,'LOD 300 - COLO3'!$B:AY,50,FALSE),"N/A")</f>
        <v>N/A</v>
      </c>
      <c r="EU29" s="100" t="str">
        <f>IFERROR(VLOOKUP($B29,'LOD 300 - COLO3'!$B:BB,53,FALSE),"N/A")</f>
        <v>N/A</v>
      </c>
      <c r="EV29" s="100" t="str">
        <f>IFERROR(VLOOKUP($B29,'LOD 300 - COLO3'!$B:BE,56,FALSE),"N/A")</f>
        <v>N/A</v>
      </c>
      <c r="EW29" s="100" t="str">
        <f>IFERROR(VLOOKUP($B29,'LOD 300 - COLO3'!$B:BL,59,FALSE),"N/A")</f>
        <v>N/A</v>
      </c>
      <c r="EX29" s="100" t="str">
        <f>IFERROR(VLOOKUP($B29,'LOD 300 - COLO3'!$B:BO,62,FALSE),"N/A")</f>
        <v>N/A</v>
      </c>
      <c r="EY29" s="103" t="str">
        <f>IFERROR(__xludf.DUMMYFUNCTION("IFERROR(
  MAX(FILTER(EI29:EX29, ISNUMBER(EI29:EX29))),
  EX29
)"),"N/A")</f>
        <v>N/A</v>
      </c>
      <c r="EZ29" s="104">
        <f>IFERROR(VLOOKUP($B29,'LOD 300 - COLO4'!$B:BT,17,FALSE),"N/A")</f>
        <v>0</v>
      </c>
      <c r="FA29" s="103">
        <f>IFERROR(__xludf.DUMMYFUNCTION("IFERROR(
  MAX(FILTER(EZ29, ISNUMBER(EZ29))),
  EZ29
)"),0.0)</f>
        <v>0</v>
      </c>
      <c r="FB29" s="121" t="str">
        <f>IFERROR(VLOOKUP($B29,'LOD 300 - SITE'!$B:S,18,FALSE),"N/A")</f>
        <v>N/A</v>
      </c>
      <c r="FC29" s="122" t="str">
        <f>IFERROR(VLOOKUP($B29,'LOD 300 - SITE'!$B:V,21,FALSE),"N/A")</f>
        <v>N/A</v>
      </c>
      <c r="FD29" s="122" t="str">
        <f>IFERROR(VLOOKUP($B29,'LOD 300 - SITE'!$B:Y,24,FALSE),"N/A")</f>
        <v>N/A</v>
      </c>
      <c r="FE29" s="122" t="str">
        <f>IFERROR(VLOOKUP($B29,'LOD 300 - SITE'!$B:AB,27,FALSE),"N/A")</f>
        <v>N/A</v>
      </c>
      <c r="FF29" s="122" t="str">
        <f>IFERROR(VLOOKUP($B29,'LOD 300 - SITE'!$B:AE,30,FALSE),"N/A")</f>
        <v>N/A</v>
      </c>
      <c r="FG29" s="122" t="str">
        <f>IFERROR(VLOOKUP($B29,'LOD 300 - SITE'!$B:AH,33,FALSE),"N/A")</f>
        <v>N/A</v>
      </c>
      <c r="FH29" s="122" t="str">
        <f>IFERROR(VLOOKUP($B29,'LOD 300 - SITE'!$B:AK,36,FALSE),"N/A")</f>
        <v>N/A</v>
      </c>
      <c r="FI29" s="122" t="str">
        <f>IFERROR(VLOOKUP($B29,'LOD 300 - SITE'!$B:AN,39,FALSE),"N/A")</f>
        <v>N/A</v>
      </c>
      <c r="FJ29" s="122" t="str">
        <f>IFERROR(VLOOKUP($B29,'LOD 300 - SITE'!$B:AQ,42,FALSE),"N/A")</f>
        <v>N/A</v>
      </c>
      <c r="FK29" s="122" t="str">
        <f>IFERROR(VLOOKUP($B29,'LOD 300 - SITE'!$B:AT,45,FALSE),"N/A")</f>
        <v>N/A</v>
      </c>
      <c r="FL29" s="123" t="str">
        <f>IFERROR(VLOOKUP($B29,'LOD 300 - SITE'!$B:AW,48,FALSE),"N/A")</f>
        <v>N/A</v>
      </c>
      <c r="FM29" s="87" t="str">
        <f>IFERROR(VLOOKUP($B29,'LOD 300 - SITE'!$B:AZ,51,FALSE),"N/A")</f>
        <v>N/A</v>
      </c>
      <c r="FN29" s="94" t="str">
        <f>IFERROR(VLOOKUP($B29,'LOD 300 - SITE'!$B:BC,54,FALSE),"N/A")</f>
        <v>N/A</v>
      </c>
      <c r="FO29" s="95" t="str">
        <f>IFERROR(VLOOKUP($B29,'LOD 300 - SITE'!$B:BF,57,FALSE),"N/A")</f>
        <v>N/A</v>
      </c>
      <c r="FP29" s="86" t="str">
        <f>IFERROR(VLOOKUP($B29,'LOD 300 - SITE'!$B:BI,60,FALSE),"N/A")</f>
        <v>N/A</v>
      </c>
      <c r="FQ29" s="86" t="str">
        <f>IFERROR(VLOOKUP($B29,'LOD 300 - SITE'!$B:BL,63,FALSE),"N/A")</f>
        <v>N/A</v>
      </c>
      <c r="FR29" s="86" t="str">
        <f>IFERROR(VLOOKUP($B29,'LOD 300 - SITE'!$B:BO,66,FALSE),"N/A")</f>
        <v>N/A</v>
      </c>
      <c r="FS29" s="86" t="str">
        <f>IFERROR(VLOOKUP($B29,'LOD 300 - SITE'!$B:BR,69,FALSE),"N/A")</f>
        <v>N/A</v>
      </c>
      <c r="FT29" s="86" t="str">
        <f>IFERROR(VLOOKUP($B29,'LOD 300 - SITE'!$B:BU,72,FALSE),"N/A")</f>
        <v>N/A</v>
      </c>
      <c r="FU29" s="86" t="str">
        <f>IFERROR(VLOOKUP($B29,'LOD 300 - SITE'!$B:BX,75,FALSE),"N/A")</f>
        <v>N/A</v>
      </c>
      <c r="FV29" s="86" t="str">
        <f>IFERROR(VLOOKUP($B29,'LOD 300 - SITE'!$B:CA,78,FALSE),"N/A")</f>
        <v>N/A</v>
      </c>
      <c r="FW29" s="87" t="str">
        <f>IFERROR(VLOOKUP($B29,'LOD 300 - SITE'!$B:CD,81,FALSE),"N/A")</f>
        <v>N/A</v>
      </c>
      <c r="FX29" s="108" t="str">
        <f>IFERROR(VLOOKUP($B29,'LOD 300 - SITE'!$B:CG,84,FALSE),"N/A")</f>
        <v>N/A</v>
      </c>
      <c r="FY29" s="108" t="str">
        <f>IFERROR(VLOOKUP($B29,'LOD 300 - SITE'!$B:CJ,87,FALSE),"N/A")</f>
        <v>N/A</v>
      </c>
      <c r="FZ29" s="108" t="str">
        <f>IFERROR(VLOOKUP($B29,'LOD 300 - SITE'!$B:CM,90,FALSE),"N/A")</f>
        <v>N/A</v>
      </c>
      <c r="GA29" s="108" t="str">
        <f>IFERROR(VLOOKUP($B29,'LOD 300 - SITE'!$B:CP,93,FALSE),"N/A")</f>
        <v>N/A</v>
      </c>
      <c r="GB29" s="108" t="str">
        <f>IFERROR(VLOOKUP($B29,'LOD 300 - SITE'!$B:CS,96,FALSE),"N/A")</f>
        <v>N/A</v>
      </c>
      <c r="GC29" s="109" t="str">
        <f>IFERROR(VLOOKUP($B29,'LOD 300 - SITE'!$B:CV,99,FALSE),"N/A")</f>
        <v>N/A</v>
      </c>
      <c r="GD29" s="87" t="str">
        <f>IFERROR(VLOOKUP($B29,'LOD 300 - SITE'!$B:CY,102,FALSE),"N/A")</f>
        <v>N/A</v>
      </c>
      <c r="GE29" s="87" t="str">
        <f>IFERROR(VLOOKUP($B29,'LOD 300 - SITE'!$B:DB,105,FALSE),"N/A")</f>
        <v>N/A</v>
      </c>
      <c r="GF29" s="87" t="str">
        <f>IFERROR(VLOOKUP($B29,'LOD 300 - SITE'!$B:DE,108,FALSE),"N/A")</f>
        <v>N/A</v>
      </c>
      <c r="GG29" s="87" t="str">
        <f>IFERROR(VLOOKUP($B29,'LOD 300 - SITE'!$B:DH,111,FALSE),"N/A")</f>
        <v>N/A</v>
      </c>
      <c r="GH29" s="87" t="str">
        <f>IFERROR(VLOOKUP($B29,'LOD 300 - SITE'!$B:DK,114,FALSE),"N/A")</f>
        <v>N/A</v>
      </c>
      <c r="GI29" s="87" t="str">
        <f>IFERROR(VLOOKUP($B29,'LOD 300 - SITE'!$B:DN,117,FALSE),"N/A")</f>
        <v>N/A</v>
      </c>
      <c r="GJ29" s="87" t="str">
        <f>IFERROR(VLOOKUP($B29,'LOD 300 - SITE'!$B:DQ,120,FALSE),"N/A")</f>
        <v>N/A</v>
      </c>
      <c r="GK29" s="87" t="str">
        <f>IFERROR(VLOOKUP($B29,'LOD 300 - SITE'!$B:DT,123,FALSE),"N/A")</f>
        <v>N/A</v>
      </c>
      <c r="GL29" s="87" t="str">
        <f>IFERROR(VLOOKUP($B29,'LOD 300 - SITE'!$B:DW,126,FALSE),"N/A")</f>
        <v>N/A</v>
      </c>
      <c r="GM29" s="110" t="str">
        <f>IFERROR(__xludf.DUMMYFUNCTION("IFERROR(
  MAX(FILTER(FB29:GL29, ISNUMBER(FB29:GL29))),
  GL29
)"),"N/A")</f>
        <v>N/A</v>
      </c>
      <c r="GO29" s="111"/>
      <c r="GP29" s="111"/>
    </row>
    <row r="30" ht="15.0" customHeight="1" outlineLevel="1">
      <c r="A30" s="60">
        <v>33.0</v>
      </c>
      <c r="B30" s="140" t="s">
        <v>163</v>
      </c>
      <c r="C30" s="70" t="s">
        <v>164</v>
      </c>
      <c r="D30" s="71" t="s">
        <v>90</v>
      </c>
      <c r="E30" s="157" t="s">
        <v>165</v>
      </c>
      <c r="F30" s="13"/>
      <c r="G30" s="157" t="s">
        <v>165</v>
      </c>
      <c r="H30" s="150"/>
      <c r="I30" s="74" t="str">
        <f>IFERROR(VLOOKUP(C27:C169,'R22 RELATÓRIO ACC'!B:F,5,FALSE),"NOT PUBLISHED")</f>
        <v>V10</v>
      </c>
      <c r="J30" s="74" t="str">
        <f>IFERROR(VLOOKUP(C27:C169,'R22 RELATÓRIO ACC'!B:P,15,FALSE),"NOT PUBLISHED")</f>
        <v>11/05/2026</v>
      </c>
      <c r="K30" s="141" t="str">
        <f>IFERROR(VLOOKUP(B27:B219,'RELATÓRIO ACC'!B:F,5,FALSE),"NOT PUBLISHED")</f>
        <v>V3</v>
      </c>
      <c r="L30" s="142" t="str">
        <f>IFERROR(VLOOKUP(B27:B219,'RELATÓRIO ACC'!B:P,15,FALSE),"NOT PUBLISHED")</f>
        <v>09/06/2026</v>
      </c>
      <c r="M30" s="76" t="str">
        <f>IF(OR($D30="UTLS",$D30="GUAR",$D30="STIR",$D30="PUMP",$D30="SITE"),
   VLOOKUP($B30,'LOD 300 - SITE'!B:M,12,FALSE),
   VLOOKUP($B30,'LOD 300 - ADMN'!B:M,12,FALSE)
)</f>
        <v>V9</v>
      </c>
      <c r="N30" s="77">
        <f>IF(OR($D30="UTLS",$D30="GUAR",$D30="STIR",$D30="PUMP",$D30="SITE"),
   VLOOKUP($B30,'LOD 300 - SITE'!B:N,13,FALSE),
   VLOOKUP($B30,'LOD 300 - ADMN'!B:N,13,FALSE)
)</f>
        <v>46148</v>
      </c>
      <c r="O30" s="114" t="str">
        <f>IF(OR($D30="UTLS",$D30="GUAR",$D30="STIR",$D30="PUMP",$D30="SITE"),
   VLOOKUP($B30,'LOD 300 - SITE'!B:O,14,FALSE),
   VLOOKUP($B30,'LOD 300 - ADMN'!B:O,14,FALSE)
)</f>
        <v>R24</v>
      </c>
      <c r="P30" s="79" t="str">
        <f>IF(OR($D30="C345",$D30="C12A",$D30="DATA"),
   VLOOKUP($B30,'LOD 300 - COLO3'!B:M,12,FALSE),"N/A")</f>
        <v>N/A</v>
      </c>
      <c r="Q30" s="76" t="str">
        <f>IF(OR($D30="C345",$D30="C12A",$D30="DATA"),
   VLOOKUP($B30,'LOD 300 - COLO3'!B:N,13,FALSE),"N/A")</f>
        <v>N/A</v>
      </c>
      <c r="R30" s="76" t="str">
        <f>IF(OR($D30="C345",$D30="C12A",$D30="DATA"),
   VLOOKUP($B30,'LOD 300 - COLO3'!B:O,14,FALSE),"N/A")</f>
        <v>N/A</v>
      </c>
      <c r="S30" s="79" t="str">
        <f>IF(OR($D30="C345",$D30="C12A",$D30="DATA"),
   VLOOKUP($B30,'LOD 300 - COLO4'!B:M,12,FALSE),"N/A")</f>
        <v>N/A</v>
      </c>
      <c r="T30" s="76" t="str">
        <f>IF(OR($D30="C345",$D30="C12A",$D30="DATA"),
   VLOOKUP($B30,'LOD 300 - COLO4'!B:T,13,FALSE),"N/A")</f>
        <v>N/A</v>
      </c>
      <c r="U30" s="76" t="str">
        <f>IF(OR($D30="C345",$D30="C12A",$D30="DATA"),
   VLOOKUP($B30,'LOD 300 - COLO4'!B:U,17,FALSE),"N/A")</f>
        <v>N/A</v>
      </c>
      <c r="V30" s="126"/>
      <c r="W30" s="144" t="str">
        <f>IFERROR(VLOOKUP($B30,'LOD 300 - ADMN'!$B:S,18,FALSE),"N/A")</f>
        <v>N/A</v>
      </c>
      <c r="X30" s="122" t="str">
        <f>IFERROR(VLOOKUP($B30,'LOD 300 - ADMN'!$B:V,21,FALSE),"N/A")</f>
        <v>N/A</v>
      </c>
      <c r="Y30" s="122" t="str">
        <f>IFERROR(VLOOKUP($B30,'LOD 300 - ADMN'!$B:Y,24,FALSE),"N/A")</f>
        <v>N/A</v>
      </c>
      <c r="Z30" s="122" t="str">
        <f>IFERROR(VLOOKUP($B30,'LOD 300 - ADMN'!$B:AB,27,FALSE),"N/A")</f>
        <v>N/A</v>
      </c>
      <c r="AA30" s="122" t="str">
        <f>IFERROR(VLOOKUP($B30,'LOD 300 - ADMN'!$B:AE,30,FALSE),"N/A")</f>
        <v>N/A</v>
      </c>
      <c r="AB30" s="145" t="str">
        <f>IFERROR(VLOOKUP($B30,'LOD 300 - ADMN'!$B:AH,33,FALSE),"N/A")</f>
        <v>N/A</v>
      </c>
      <c r="AC30" s="145" t="str">
        <f>IFERROR(VLOOKUP($B30,'LOD 300 - ADMN'!$B:AK,36,FALSE),"N/A")</f>
        <v>N/A</v>
      </c>
      <c r="AD30" s="122" t="str">
        <f>IFERROR(VLOOKUP($B30,'LOD 300 - ADMN'!$B:AN,39,FALSE),"N/A")</f>
        <v>N/A</v>
      </c>
      <c r="AE30" s="122" t="str">
        <f>IFERROR(VLOOKUP($B30,'LOD 300 - ADMN'!$B:AQ,42,FALSE),"N/A")</f>
        <v>N/A</v>
      </c>
      <c r="AF30" s="122" t="str">
        <f>IFERROR(VLOOKUP($B30,'LOD 300 - ADMN'!$B:AT,45,FALSE),"N/A")</f>
        <v>N/A</v>
      </c>
      <c r="AG30" s="122" t="str">
        <f>IFERROR(VLOOKUP($B30,'LOD 300 - ADMN'!$B:AW,48,FALSE),"N/A")</f>
        <v>N/A</v>
      </c>
      <c r="AH30" s="122" t="str">
        <f>IFERROR(VLOOKUP($B30,'LOD 300 - ADMN'!$B:AZ,51,FALSE),"N/A")</f>
        <v>N/A</v>
      </c>
      <c r="AI30" s="122" t="str">
        <f>IFERROR(VLOOKUP($B30,'LOD 300 - ADMN'!$B:BC,54,FALSE),"N/A")</f>
        <v>N/A</v>
      </c>
      <c r="AJ30" s="87" t="str">
        <f>IFERROR(VLOOKUP($B30,'LOD 300 - ADMN'!$B:BF,57,FALSE),"N/A")</f>
        <v>N/A</v>
      </c>
      <c r="AK30" s="87" t="str">
        <f>IFERROR(VLOOKUP($B30,'LOD 300 - ADMN'!$B:EP,60,FALSE),"N/A")</f>
        <v>N/A</v>
      </c>
      <c r="AL30" s="87" t="str">
        <f>IFERROR(VLOOKUP($B30,'LOD 300 - ADMN'!$B:EQ,63,FALSE),"N/A")</f>
        <v>N/A</v>
      </c>
      <c r="AM30" s="87" t="str">
        <f>IFERROR(VLOOKUP($B30,'LOD 300 - ADMN'!$B:BO,66,FALSE),"N/A")</f>
        <v>N/A</v>
      </c>
      <c r="AN30" s="87" t="str">
        <f>IFERROR(VLOOKUP($B30,'LOD 300 - ADMN'!$B:BR,69,FALSE),"N/A")</f>
        <v>N/A</v>
      </c>
      <c r="AO30" s="87" t="str">
        <f>IFERROR(VLOOKUP($B30,'LOD 300 - ADMN'!$B:BU,72,FALSE),"N/A")</f>
        <v>N/A</v>
      </c>
      <c r="AP30" s="87" t="str">
        <f>IFERROR(VLOOKUP($B30,'LOD 300 - ADMN'!$B:BX,75,FALSE),"N/A")</f>
        <v>N/A</v>
      </c>
      <c r="AQ30" s="87" t="str">
        <f>IFERROR(VLOOKUP($B30,'LOD 300 - ADMN'!$B:CA,78,FALSE),"N/A")</f>
        <v>N/A</v>
      </c>
      <c r="AR30" s="87" t="str">
        <f>IFERROR(VLOOKUP($B30,'LOD 300 - ADMN'!$B:CD,81,FALSE),"N/A")</f>
        <v>N/A</v>
      </c>
      <c r="AS30" s="87" t="str">
        <f>IFERROR(VLOOKUP($B30,'LOD 300 - ADMN'!$B:CG,84,FALSE),"N/A")</f>
        <v>N/A</v>
      </c>
      <c r="AT30" s="87" t="str">
        <f>IFERROR(VLOOKUP($B30,'LOD 300 - ADMN'!$B:CJ,87,FALSE),"N/A")</f>
        <v>N/A</v>
      </c>
      <c r="AU30" s="88" t="str">
        <f>IFERROR(VLOOKUP($B30,'LOD 300 - ADMN'!$B:CM,90,FALSE),"N/A")</f>
        <v>N/A</v>
      </c>
      <c r="AV30" s="88" t="str">
        <f>IFERROR(VLOOKUP($B30,'LOD 300 - ADMN'!$B:CP,93,FALSE),"N/A")</f>
        <v>N/A</v>
      </c>
      <c r="AW30" s="88" t="str">
        <f>IFERROR(VLOOKUP($B30,'LOD 300 - ADMN'!$B:CS,96,FALSE),"N/A")</f>
        <v>N/A</v>
      </c>
      <c r="AX30" s="88" t="str">
        <f>IFERROR(VLOOKUP($B30,'LOD 300 - ADMN'!$B:CV,99,FALSE),"N/A")</f>
        <v>N/A</v>
      </c>
      <c r="AY30" s="88" t="str">
        <f>IFERROR(VLOOKUP($B30,'LOD 300 - ADMN'!$B:CY,102,FALSE),"N/A")</f>
        <v>N/A</v>
      </c>
      <c r="AZ30" s="88" t="str">
        <f>IFERROR(VLOOKUP($B30,'LOD 300 - ADMN'!$B:DB,105,FALSE),"N/A")</f>
        <v>N/A</v>
      </c>
      <c r="BA30" s="87" t="str">
        <f>IFERROR(VLOOKUP($B30,'LOD 300 - ADMN'!$B:DE,108,FALSE),"N/A")</f>
        <v>N/A</v>
      </c>
      <c r="BB30" s="87" t="str">
        <f>IFERROR(VLOOKUP($B30,'LOD 300 - ADMN'!$B:DH,111,FALSE),"N/A")</f>
        <v>N/A</v>
      </c>
      <c r="BC30" s="87" t="str">
        <f>IFERROR(VLOOKUP($B30,'LOD 300 - ADMN'!$B:DK,114,FALSE),"N/A")</f>
        <v>N/A</v>
      </c>
      <c r="BD30" s="87" t="str">
        <f>IFERROR(VLOOKUP($B30,'LOD 300 - ADMN'!$B:DN,117,FALSE),"N/A")</f>
        <v>N/A</v>
      </c>
      <c r="BE30" s="87" t="str">
        <f>IFERROR(VLOOKUP($B30,'LOD 300 - ADMN'!$B:DQ,120,FALSE),"N/A")</f>
        <v>N/A</v>
      </c>
      <c r="BF30" s="87" t="str">
        <f>IFERROR(VLOOKUP($B30,'LOD 300 - ADMN'!$B:DT,123,FALSE),"N/A")</f>
        <v>N/A</v>
      </c>
      <c r="BG30" s="87" t="str">
        <f>IFERROR(VLOOKUP($B30,'LOD 300 - ADMN'!$B:DW,126,FALSE),"N/A")</f>
        <v>N/A</v>
      </c>
      <c r="BH30" s="87" t="str">
        <f>IFERROR(VLOOKUP($B30,'LOD 300 - ADMN'!$B:DZ,129,FALSE),"N/A")</f>
        <v>N/A</v>
      </c>
      <c r="BI30" s="87" t="str">
        <f>IFERROR(VLOOKUP($B30,'LOD 300 - ADMN'!$B:EC,132,FALSE),"N/A")</f>
        <v>N/A</v>
      </c>
      <c r="BJ30" s="90" t="str">
        <f>IFERROR(__xludf.DUMMYFUNCTION("IFERROR(
  MAX(FILTER(X30:BI30, ISNUMBER(X30:BI30))),
  BI30
)"),"N/A")</f>
        <v>N/A</v>
      </c>
      <c r="BK30" s="91" t="str">
        <f>IFERROR(VLOOKUP($B30,'LOD 300 - COLO1'!$B:S,18,FALSE),"N/A")</f>
        <v>N/A</v>
      </c>
      <c r="BL30" s="92" t="str">
        <f>IFERROR(VLOOKUP($B30,'LOD 300 - COLO1'!$B:V,21,FALSE),"N/A")</f>
        <v>N/A</v>
      </c>
      <c r="BM30" s="92" t="str">
        <f>IFERROR(VLOOKUP($B30,'LOD 300 - COLO1'!$B:Y,24,FALSE),"N/A")</f>
        <v>N/A</v>
      </c>
      <c r="BN30" s="92" t="str">
        <f>IFERROR(VLOOKUP($B30,'LOD 300 - COLO1'!$B:AB,27,FALSE),"N/A")</f>
        <v>N/A</v>
      </c>
      <c r="BO30" s="92" t="str">
        <f>IFERROR(VLOOKUP($B30,'LOD 300 - COLO1'!$B:AE,30,FALSE),"N/A")</f>
        <v>N/A</v>
      </c>
      <c r="BP30" s="92" t="str">
        <f>IFERROR(VLOOKUP($B30,'LOD 300 - COLO1'!$B:AH,33,FALSE),"N/A")</f>
        <v>N/A</v>
      </c>
      <c r="BQ30" s="92" t="str">
        <f>IFERROR(VLOOKUP($B30,'LOD 300 - COLO1'!$B:AK,36,FALSE),"N/A")</f>
        <v>N/A</v>
      </c>
      <c r="BR30" s="92" t="str">
        <f>IFERROR(VLOOKUP($B30,'LOD 300 - COLO1'!$B:AN,39,FALSE),"N/A")</f>
        <v>N/A</v>
      </c>
      <c r="BS30" s="92" t="str">
        <f>IFERROR(VLOOKUP($B30,'LOD 300 - COLO1'!$B:AQ,42,FALSE),"N/A")</f>
        <v>N/A</v>
      </c>
      <c r="BT30" s="92" t="str">
        <f>IFERROR(VLOOKUP($B30,'LOD 300 - COLO1'!$B:AT,45,FALSE),"N/A")</f>
        <v>N/A</v>
      </c>
      <c r="BU30" s="92" t="str">
        <f>IFERROR(VLOOKUP($B30,'LOD 300 - COLO1'!$B:AW,48,FALSE),"N/A")</f>
        <v>N/A</v>
      </c>
      <c r="BV30" s="92" t="str">
        <f>IFERROR(VLOOKUP($B30,'LOD 300 - COLO1'!$B:AZ,51,FALSE),"N/A")</f>
        <v>N/A</v>
      </c>
      <c r="BW30" s="92" t="str">
        <f>IFERROR(VLOOKUP($B30,'LOD 300 - COLO1'!$B:BC,54,FALSE),"N/A")</f>
        <v>N/A</v>
      </c>
      <c r="BX30" s="94" t="str">
        <f>IFERROR(VLOOKUP($B30,'LOD 300 - COLO1'!$B:BF,57,FALSE),"N/A")</f>
        <v>N/A</v>
      </c>
      <c r="BY30" s="94" t="str">
        <f>IFERROR(VLOOKUP($B30,'LOD 300 - COLO1'!$B:BI,60,FALSE),"N/A")</f>
        <v>N/A</v>
      </c>
      <c r="BZ30" s="95" t="str">
        <f>IFERROR(VLOOKUP($B30,'LOD 300 - COLO1'!$B:BL,63,FALSE),"N/A")</f>
        <v>N/A</v>
      </c>
      <c r="CA30" s="86" t="str">
        <f>IFERROR(VLOOKUP($B30,'LOD 300 - COLO1'!$B:BO,66,FALSE),"N/A")</f>
        <v>N/A</v>
      </c>
      <c r="CB30" s="86" t="str">
        <f>IFERROR(VLOOKUP($B30,'LOD 300 - COLO1'!$B:BR,69,FALSE),"N/A")</f>
        <v>N/A</v>
      </c>
      <c r="CC30" s="86" t="str">
        <f>IFERROR(VLOOKUP($B30,'LOD 300 - COLO1'!$B:BU,72,FALSE),"N/A")</f>
        <v>N/A</v>
      </c>
      <c r="CD30" s="86" t="str">
        <f>IFERROR(VLOOKUP($B30,'LOD 300 - COLO1'!$B:BX,75,FALSE),"N/A")</f>
        <v>N/A</v>
      </c>
      <c r="CE30" s="86" t="str">
        <f>IFERROR(VLOOKUP($B30,'LOD 300 - COLO1'!$B:CA,78,FALSE),"N/A")</f>
        <v>N/A</v>
      </c>
      <c r="CF30" s="87" t="str">
        <f>IFERROR(VLOOKUP($B30,'LOD 300 - COLO1'!$B:CD,81,FALSE),"N/A")</f>
        <v>N/A</v>
      </c>
      <c r="CG30" s="86" t="str">
        <f>IFERROR(VLOOKUP($B30,'LOD 300 - COLO1'!$B:CG,84,FALSE),"N/A")</f>
        <v>N/A</v>
      </c>
      <c r="CH30" s="87" t="str">
        <f>IFERROR(VLOOKUP($B30,'LOD 300 - COLO1'!$B:CJ,87,FALSE),"N/A")</f>
        <v>N/A</v>
      </c>
      <c r="CI30" s="88" t="str">
        <f>IFERROR(VLOOKUP($B30,'LOD 300 - COLO1'!$B:CM,90,FALSE),"N/A")</f>
        <v>N/A</v>
      </c>
      <c r="CJ30" s="88" t="str">
        <f>IFERROR(VLOOKUP($B30,'LOD 300 - COLO1'!$B:CP,93,FALSE),"N/A")</f>
        <v>N/A</v>
      </c>
      <c r="CK30" s="88" t="str">
        <f>IFERROR(VLOOKUP($B30,'LOD 300 - COLO1'!$B:CS,96,FALSE),"N/A")</f>
        <v>N/A</v>
      </c>
      <c r="CL30" s="88" t="str">
        <f>IFERROR(VLOOKUP($B30,'LOD 300 - COLO1'!$B:CV,99,FALSE),"N/A")</f>
        <v>N/A</v>
      </c>
      <c r="CM30" s="88" t="str">
        <f>IFERROR(VLOOKUP($B30,'LOD 300 - COLO1'!$B:CY,102,FALSE),"N/A")</f>
        <v>N/A</v>
      </c>
      <c r="CN30" s="89" t="str">
        <f>IFERROR(VLOOKUP($B30,'LOD 300 - COLO1'!$B:DB,105,FALSE),"N/A")</f>
        <v>N/A</v>
      </c>
      <c r="CO30" s="87" t="str">
        <f>IFERROR(VLOOKUP($B30,'LOD 300 - COLO1'!$B:EE,108,FALSE),"N/A")</f>
        <v>N/A</v>
      </c>
      <c r="CP30" s="87" t="str">
        <f>IFERROR(VLOOKUP($B30,'LOD 300 - COLO1'!$B:EH,111,FALSE),"N/A")</f>
        <v>N/A</v>
      </c>
      <c r="CQ30" s="87" t="str">
        <f>IFERROR(VLOOKUP($B30,'LOD 300 - COLO1'!$B:EK,114,FALSE),"N/A")</f>
        <v>N/A</v>
      </c>
      <c r="CR30" s="87" t="str">
        <f>IFERROR(VLOOKUP($B30,'LOD 300 - COLO1'!$B:EN,117,FALSE),"N/A")</f>
        <v>N/A</v>
      </c>
      <c r="CS30" s="87" t="str">
        <f>IFERROR(VLOOKUP($B30,'LOD 300 - COLO1'!$B:EQ,120,FALSE),"N/A")</f>
        <v>N/A</v>
      </c>
      <c r="CT30" s="87" t="str">
        <f>IFERROR(VLOOKUP($B30,'LOD 300 - COLO1'!$B:ET,123,FALSE),"N/A")</f>
        <v>N/A</v>
      </c>
      <c r="CU30" s="87" t="str">
        <f>IFERROR(VLOOKUP($B30,'LOD 300 - COLO1'!$B:EW,126,FALSE),"N/A")</f>
        <v>N/A</v>
      </c>
      <c r="CV30" s="87" t="str">
        <f>IFERROR(VLOOKUP($B30,'LOD 300 - COLO1'!$B:EZ,129,FALSE),"N/A")</f>
        <v>N/A</v>
      </c>
      <c r="CW30" s="87" t="str">
        <f>IFERROR(VLOOKUP($B30,'LOD 300 - COLO1'!$B:FC,132,FALSE),"N/A")</f>
        <v>N/A</v>
      </c>
      <c r="CX30" s="96" t="str">
        <f>IFERROR(__xludf.DUMMYFUNCTION("IFERROR(
  MAX(FILTER(BK30:CW30, ISNUMBER(BK30:CW30))),
  CW30
)"),"N/A")</f>
        <v>N/A</v>
      </c>
      <c r="CY30" s="104" t="str">
        <f>IFERROR(VLOOKUP($B30,'LOD 300 - COLO2'!$B:S,18,FALSE),"N/A")</f>
        <v>N/A</v>
      </c>
      <c r="CZ30" s="117" t="str">
        <f>IFERROR(VLOOKUP($B30,'LOD 300 - COLO2'!$B:V,21,FALSE),"N/A")</f>
        <v>N/A</v>
      </c>
      <c r="DA30" s="117" t="str">
        <f>IFERROR(VLOOKUP($B30,'LOD 300 - COLO2'!$B:Y,24,FALSE),"N/A")</f>
        <v>N/A</v>
      </c>
      <c r="DB30" s="117" t="str">
        <f>IFERROR(VLOOKUP($B30,'LOD 300 - COLO2'!$B:AB,27,FALSE),"N/A")</f>
        <v>N/A</v>
      </c>
      <c r="DC30" s="92" t="str">
        <f>IFERROR(VLOOKUP($B30,'LOD 300 - COLO2'!$B:AE,30,FALSE),"N/A")</f>
        <v>N/A</v>
      </c>
      <c r="DD30" s="120" t="str">
        <f>IFERROR(VLOOKUP($B30,'LOD 300 - COLO2'!$B:AH,33,FALSE),"N/A")</f>
        <v>N/A</v>
      </c>
      <c r="DE30" s="117" t="str">
        <f>IFERROR(VLOOKUP($B30,'LOD 300 - COLO2'!$B:AK,36,FALSE),"N/A")</f>
        <v>N/A</v>
      </c>
      <c r="DF30" s="117" t="str">
        <f>IFERROR(VLOOKUP($B30,'LOD 300 - COLO2'!$B:AN,39,FALSE),"N/A")</f>
        <v>N/A</v>
      </c>
      <c r="DG30" s="119" t="str">
        <f>IFERROR(VLOOKUP($B30,'LOD 300 - COLO2'!$B:AQ,42,FALSE),"N/A")</f>
        <v>N/A</v>
      </c>
      <c r="DH30" s="87" t="str">
        <f>IFERROR(VLOOKUP($B30,'LOD 300 - COLO2'!$B:AT,45,FALSE),"N/A")</f>
        <v>N/A</v>
      </c>
      <c r="DI30" s="94" t="str">
        <f>IFERROR(VLOOKUP($B30,'LOD 300 - COLO2'!$B:AW,48,FALSE),"N/A")</f>
        <v>N/A</v>
      </c>
      <c r="DJ30" s="95" t="str">
        <f>IFERROR(VLOOKUP($B30,'LOD 300 - COLO2'!$B:AZ,51,FALSE),"N/A")</f>
        <v>N/A</v>
      </c>
      <c r="DK30" s="86" t="str">
        <f>IFERROR(VLOOKUP($B30,'LOD 300 - COLO2'!$B:BC,54,FALSE),"N/A")</f>
        <v>N/A</v>
      </c>
      <c r="DL30" s="86" t="str">
        <f>IFERROR(VLOOKUP($B30,'LOD 300 - COLO2'!$B:BF,57,FALSE),"N/A")</f>
        <v>N/A</v>
      </c>
      <c r="DM30" s="86" t="str">
        <f>IFERROR(VLOOKUP($B30,'LOD 300 - COLO2'!$B:BI,60,FALSE),"N/A")</f>
        <v>N/A</v>
      </c>
      <c r="DN30" s="86" t="str">
        <f>IFERROR(VLOOKUP($B30,'LOD 300 - COLO2'!$B:BL,63,FALSE),"N/A")</f>
        <v>N/A</v>
      </c>
      <c r="DO30" s="86" t="str">
        <f>IFERROR(VLOOKUP($B30,'LOD 300 - COLO2'!$B:BO,66,FALSE),"N/A")</f>
        <v>N/A</v>
      </c>
      <c r="DP30" s="87" t="str">
        <f>IFERROR(VLOOKUP($B30,'LOD 300 - COLO2'!$B:BR,69,FALSE),"N/A")</f>
        <v>N/A</v>
      </c>
      <c r="DQ30" s="87" t="str">
        <f>IFERROR(VLOOKUP($B30,'LOD 300 - COLO2'!$B:BU,72,FALSE),"N/A")</f>
        <v>N/A</v>
      </c>
      <c r="DR30" s="87" t="str">
        <f>IFERROR(VLOOKUP($B30,'LOD 300 - COLO2'!$B:BX,75,FALSE),"N/A")</f>
        <v>N/A</v>
      </c>
      <c r="DS30" s="98" t="str">
        <f>IFERROR(VLOOKUP($B30,'LOD 300 - COLO2'!$B:CA,78,FALSE),"N/A")</f>
        <v>N/A</v>
      </c>
      <c r="DT30" s="98" t="str">
        <f>IFERROR(VLOOKUP($B30,'LOD 300 - COLO2'!$B:CD,81,FALSE),"N/A")</f>
        <v>N/A</v>
      </c>
      <c r="DU30" s="98" t="str">
        <f>IFERROR(VLOOKUP($B30,'LOD 300 - COLO2'!$B:CG,84,FALSE),"N/A")</f>
        <v>N/A</v>
      </c>
      <c r="DV30" s="98" t="str">
        <f>IFERROR(VLOOKUP($B30,'LOD 300 - COLO2'!$B:CJ,87,FALSE),"N/A")</f>
        <v>N/A</v>
      </c>
      <c r="DW30" s="98" t="str">
        <f>IFERROR(VLOOKUP($B30,'LOD 300 - COLO2'!$B:CM,90,FALSE),"N/A")</f>
        <v>N/A</v>
      </c>
      <c r="DX30" s="98" t="str">
        <f>IFERROR(VLOOKUP($B30,'LOD 300 - COLO2'!$B:CP,93,FALSE),"N/A")</f>
        <v>N/A</v>
      </c>
      <c r="DY30" s="87" t="str">
        <f>IFERROR(VLOOKUP($B30,'LOD 300 - COLO2'!$B:CS,96,FALSE),"N/A")</f>
        <v>N/A</v>
      </c>
      <c r="DZ30" s="87" t="str">
        <f>IFERROR(VLOOKUP($B30,'LOD 300 - COLO2'!$B:CV,99,FALSE),"N/A")</f>
        <v>N/A</v>
      </c>
      <c r="EA30" s="87" t="str">
        <f>IFERROR(VLOOKUP($B30,'LOD 300 - COLO2'!$B:DB,105,FALSE),"N/A")</f>
        <v>N/A</v>
      </c>
      <c r="EB30" s="87" t="str">
        <f>IFERROR(VLOOKUP($B30,'LOD 300 - COLO2'!$B:DB,105,FALSE),"N/A")</f>
        <v>N/A</v>
      </c>
      <c r="EC30" s="87" t="str">
        <f>IFERROR(VLOOKUP($B30,'LOD 300 - COLO2'!$B:DE,108,FALSE),"N/A")</f>
        <v>N/A</v>
      </c>
      <c r="ED30" s="87" t="str">
        <f>IFERROR(VLOOKUP($B30,'LOD 300 - COLO2'!$B:DH,111,FALSE),"N/A")</f>
        <v>N/A</v>
      </c>
      <c r="EE30" s="87" t="str">
        <f>IFERROR(VLOOKUP($B30,'LOD 300 - COLO2'!$B:DK,114,FALSE),"N/A")</f>
        <v>N/A</v>
      </c>
      <c r="EF30" s="87" t="str">
        <f>IFERROR(VLOOKUP($B30,'LOD 300 - COLO2'!$B:DN,117,FALSE),"N/A")</f>
        <v>N/A</v>
      </c>
      <c r="EG30" s="87" t="str">
        <f>IFERROR(VLOOKUP($B30,'LOD 300 - COLO2'!$B:DQ,120,FALSE),"N/A")</f>
        <v>N/A</v>
      </c>
      <c r="EH30" s="99" t="str">
        <f>IFERROR(__xludf.DUMMYFUNCTION("IFERROR(
  MAX(FILTER(CZ30:EG30, ISNUMBER(CZ30:EG30))),
  EG30
)"),"N/A")</f>
        <v>N/A</v>
      </c>
      <c r="EI30" s="100" t="str">
        <f>IFERROR(VLOOKUP($B30,'LOD 300 - COLO3'!$B:R,17,FALSE),"N/A")</f>
        <v>N/A</v>
      </c>
      <c r="EJ30" s="127" t="str">
        <f>IFERROR(VLOOKUP($B30,'LOD 300 - COLO3'!$B:U,20,FALSE),"N/A")</f>
        <v>N/A</v>
      </c>
      <c r="EK30" s="127" t="str">
        <f>IFERROR(VLOOKUP($B30,'LOD 300 - COLO3'!$B:X,23,FALSE),"N/A")</f>
        <v>N/A</v>
      </c>
      <c r="EL30" s="127" t="str">
        <f>IFERROR(VLOOKUP($B30,'LOD 300 - COLO3'!$B:AA,26,FALSE),"N/A")</f>
        <v>N/A</v>
      </c>
      <c r="EM30" s="127" t="str">
        <f>IFERROR(VLOOKUP($B30,'LOD 300 - COLO3'!$B:AD,29,FALSE),"N/A")</f>
        <v>N/A</v>
      </c>
      <c r="EN30" s="127" t="str">
        <f>IFERROR(VLOOKUP($B30,'LOD 300 - COLO3'!$B:AG,32,FALSE),"N/A")</f>
        <v>N/A</v>
      </c>
      <c r="EO30" s="127" t="str">
        <f>IFERROR(VLOOKUP($B30,'LOD 300 - COLO3'!$B:AJ,35,FALSE),"N/A")</f>
        <v>N/A</v>
      </c>
      <c r="EP30" s="100" t="str">
        <f>IFERROR(VLOOKUP($B30,'LOD 300 - COLO3'!$B:AM,38,FALSE),"N/A")</f>
        <v>N/A</v>
      </c>
      <c r="EQ30" s="100" t="str">
        <f>IFERROR(VLOOKUP($B30,'LOD 300 - COLO3'!$B:AP,41,FALSE),"N/A")</f>
        <v>N/A</v>
      </c>
      <c r="ER30" s="100" t="str">
        <f>IFERROR(VLOOKUP($B30,'LOD 300 - COLO3'!$B:AS,44,FALSE),"N/A")</f>
        <v>N/A</v>
      </c>
      <c r="ES30" s="100" t="str">
        <f>IFERROR(VLOOKUP($B30,'LOD 300 - COLO3'!$B:AV,47,FALSE),"N/A")</f>
        <v>N/A</v>
      </c>
      <c r="ET30" s="100" t="str">
        <f>IFERROR(VLOOKUP($B30,'LOD 300 - COLO3'!$B:AY,50,FALSE),"N/A")</f>
        <v>N/A</v>
      </c>
      <c r="EU30" s="100" t="str">
        <f>IFERROR(VLOOKUP($B30,'LOD 300 - COLO3'!$B:BB,53,FALSE),"N/A")</f>
        <v>N/A</v>
      </c>
      <c r="EV30" s="100" t="str">
        <f>IFERROR(VLOOKUP($B30,'LOD 300 - COLO3'!$B:BE,56,FALSE),"N/A")</f>
        <v>N/A</v>
      </c>
      <c r="EW30" s="100" t="str">
        <f>IFERROR(VLOOKUP($B30,'LOD 300 - COLO3'!$B:BL,59,FALSE),"N/A")</f>
        <v>N/A</v>
      </c>
      <c r="EX30" s="100" t="str">
        <f>IFERROR(VLOOKUP($B30,'LOD 300 - COLO3'!$B:BO,62,FALSE),"N/A")</f>
        <v>N/A</v>
      </c>
      <c r="EY30" s="103" t="str">
        <f>IFERROR(__xludf.DUMMYFUNCTION("IFERROR(
  MAX(FILTER(EI30:EX30, ISNUMBER(EI30:EX30))),
  EX30
)"),"N/A")</f>
        <v>N/A</v>
      </c>
      <c r="EZ30" s="104" t="str">
        <f>IFERROR(VLOOKUP($B30,'LOD 300 - COLO4'!$B:BT,17,FALSE),"N/A")</f>
        <v>N/A</v>
      </c>
      <c r="FA30" s="103" t="str">
        <f>IFERROR(__xludf.DUMMYFUNCTION("IFERROR(
  MAX(FILTER(EZ30, ISNUMBER(EZ30))),
  EZ30
)"),"N/A")</f>
        <v>N/A</v>
      </c>
      <c r="FB30" s="121" t="str">
        <f>IFERROR(VLOOKUP($B30,'LOD 300 - SITE'!$B:S,18,FALSE),"N/A")</f>
        <v>NOT PUBLISHED</v>
      </c>
      <c r="FC30" s="122" t="str">
        <f>IFERROR(VLOOKUP($B30,'LOD 300 - SITE'!$B:V,21,FALSE),"N/A")</f>
        <v>NOT PUBLISHED</v>
      </c>
      <c r="FD30" s="122" t="str">
        <f>IFERROR(VLOOKUP($B30,'LOD 300 - SITE'!$B:Y,24,FALSE),"N/A")</f>
        <v>NOT PUBLISHED</v>
      </c>
      <c r="FE30" s="122" t="str">
        <f>IFERROR(VLOOKUP($B30,'LOD 300 - SITE'!$B:AB,27,FALSE),"N/A")</f>
        <v>NOT PUBLISHED</v>
      </c>
      <c r="FF30" s="122" t="str">
        <f>IFERROR(VLOOKUP($B30,'LOD 300 - SITE'!$B:AE,30,FALSE),"N/A")</f>
        <v>NOT PUBLISHED</v>
      </c>
      <c r="FG30" s="122" t="str">
        <f>IFERROR(VLOOKUP($B30,'LOD 300 - SITE'!$B:AH,33,FALSE),"N/A")</f>
        <v>NOT PUBLISHED</v>
      </c>
      <c r="FH30" s="122" t="str">
        <f>IFERROR(VLOOKUP($B30,'LOD 300 - SITE'!$B:AK,36,FALSE),"N/A")</f>
        <v>NOT PUBLISHED</v>
      </c>
      <c r="FI30" s="122" t="str">
        <f>IFERROR(VLOOKUP($B30,'LOD 300 - SITE'!$B:AN,39,FALSE),"N/A")</f>
        <v>NOT PUBLISHED</v>
      </c>
      <c r="FJ30" s="122" t="str">
        <f>IFERROR(VLOOKUP($B30,'LOD 300 - SITE'!$B:AQ,42,FALSE),"N/A")</f>
        <v>NOT PUBLISHED</v>
      </c>
      <c r="FK30" s="122" t="str">
        <f>IFERROR(VLOOKUP($B30,'LOD 300 - SITE'!$B:AT,45,FALSE),"N/A")</f>
        <v>NOT PUBLISHED</v>
      </c>
      <c r="FL30" s="123" t="str">
        <f>IFERROR(VLOOKUP($B30,'LOD 300 - SITE'!$B:AW,48,FALSE),"N/A")</f>
        <v>NOT PUBLISHED</v>
      </c>
      <c r="FM30" s="87" t="str">
        <f>IFERROR(VLOOKUP($B30,'LOD 300 - SITE'!$B:AZ,51,FALSE),"N/A")</f>
        <v>NOT PUBLISHED</v>
      </c>
      <c r="FN30" s="94" t="str">
        <f>IFERROR(VLOOKUP($B30,'LOD 300 - SITE'!$B:BC,54,FALSE),"N/A")</f>
        <v>NOT PUBLISHED</v>
      </c>
      <c r="FO30" s="95" t="str">
        <f>IFERROR(VLOOKUP($B30,'LOD 300 - SITE'!$B:BF,57,FALSE),"N/A")</f>
        <v>NOT PUBLISHED</v>
      </c>
      <c r="FP30" s="86" t="str">
        <f>IFERROR(VLOOKUP($B30,'LOD 300 - SITE'!$B:BI,60,FALSE),"N/A")</f>
        <v>NOT PUBLISHED</v>
      </c>
      <c r="FQ30" s="86" t="str">
        <f>IFERROR(VLOOKUP($B30,'LOD 300 - SITE'!$B:BL,63,FALSE),"N/A")</f>
        <v>NOT PUBLISHED</v>
      </c>
      <c r="FR30" s="86" t="str">
        <f>IFERROR(VLOOKUP($B30,'LOD 300 - SITE'!$B:BO,66,FALSE),"N/A")</f>
        <v>NEXT ROUND</v>
      </c>
      <c r="FS30" s="86" t="str">
        <f>IFERROR(VLOOKUP($B30,'LOD 300 - SITE'!$B:BR,69,FALSE),"N/A")</f>
        <v>NEXT ROUND</v>
      </c>
      <c r="FT30" s="86" t="str">
        <f>IFERROR(VLOOKUP($B30,'LOD 300 - SITE'!$B:BU,72,FALSE),"N/A")</f>
        <v>NEXT ROUND</v>
      </c>
      <c r="FU30" s="86" t="str">
        <f>IFERROR(VLOOKUP($B30,'LOD 300 - SITE'!$B:BX,75,FALSE),"N/A")</f>
        <v>NEXT ROUND</v>
      </c>
      <c r="FV30" s="86">
        <f>IFERROR(VLOOKUP($B30,'LOD 300 - SITE'!$B:CA,78,FALSE),"N/A")</f>
        <v>0.79</v>
      </c>
      <c r="FW30" s="87" t="str">
        <f>IFERROR(VLOOKUP($B30,'LOD 300 - SITE'!$B:CD,81,FALSE),"N/A")</f>
        <v>NEXT ROUND</v>
      </c>
      <c r="FX30" s="108">
        <f>IFERROR(VLOOKUP($B30,'LOD 300 - SITE'!$B:CG,84,FALSE),"N/A")</f>
        <v>0.86</v>
      </c>
      <c r="FY30" s="108" t="str">
        <f>IFERROR(VLOOKUP($B30,'LOD 300 - SITE'!$B:CJ,87,FALSE),"N/A")</f>
        <v>IMPROPER</v>
      </c>
      <c r="FZ30" s="108" t="str">
        <f>IFERROR(VLOOKUP($B30,'LOD 300 - SITE'!$B:CM,90,FALSE),"N/A")</f>
        <v>OUTDATED MODEL</v>
      </c>
      <c r="GA30" s="108" t="str">
        <f>IFERROR(VLOOKUP($B30,'LOD 300 - SITE'!$B:CP,93,FALSE),"N/A")</f>
        <v>NEXT ROUND</v>
      </c>
      <c r="GB30" s="108">
        <f>IFERROR(VLOOKUP($B30,'LOD 300 - SITE'!$B:CS,96,FALSE),"N/A")</f>
        <v>0.79</v>
      </c>
      <c r="GC30" s="109" t="str">
        <f>IFERROR(VLOOKUP($B30,'LOD 300 - SITE'!$B:CV,99,FALSE),"N/A")</f>
        <v>NEXT ROUND</v>
      </c>
      <c r="GD30" s="87" t="str">
        <f>IFERROR(VLOOKUP($B30,'LOD 300 - SITE'!$B:CY,102,FALSE),"N/A")</f>
        <v>NEXT ROUND</v>
      </c>
      <c r="GE30" s="87" t="str">
        <f>IFERROR(VLOOKUP($B30,'LOD 300 - SITE'!$B:DB,105,FALSE),"N/A")</f>
        <v>NEXT ROUND</v>
      </c>
      <c r="GF30" s="87" t="str">
        <f>IFERROR(VLOOKUP($B30,'LOD 300 - SITE'!$B:DE,108,FALSE),"N/A")</f>
        <v>NEXT ROUND</v>
      </c>
      <c r="GG30" s="87">
        <f>IFERROR(VLOOKUP($B30,'LOD 300 - SITE'!$B:DH,111,FALSE),"N/A")</f>
        <v>1</v>
      </c>
      <c r="GH30" s="87">
        <f>IFERROR(VLOOKUP($B30,'LOD 300 - SITE'!$B:DK,114,FALSE),"N/A")</f>
        <v>1</v>
      </c>
      <c r="GI30" s="87">
        <f>IFERROR(VLOOKUP($B30,'LOD 300 - SITE'!$B:DN,117,FALSE),"N/A")</f>
        <v>1</v>
      </c>
      <c r="GJ30" s="87">
        <f>IFERROR(VLOOKUP($B30,'LOD 300 - SITE'!$B:DQ,120,FALSE),"N/A")</f>
        <v>1</v>
      </c>
      <c r="GK30" s="87">
        <f>IFERROR(VLOOKUP($B30,'LOD 300 - SITE'!$B:DT,123,FALSE),"N/A")</f>
        <v>1</v>
      </c>
      <c r="GL30" s="87">
        <f>IFERROR(VLOOKUP($B30,'LOD 300 - SITE'!$B:DW,126,FALSE),"N/A")</f>
        <v>1</v>
      </c>
      <c r="GM30" s="110">
        <f>IFERROR(__xludf.DUMMYFUNCTION("IFERROR(
  MAX(FILTER(FB30:GL30, ISNUMBER(FB30:GL30))),
  GL30
)"),1.0)</f>
        <v>1</v>
      </c>
      <c r="GO30" s="111"/>
      <c r="GP30" s="111"/>
    </row>
    <row r="31" ht="15.0" hidden="1" customHeight="1">
      <c r="A31" s="60">
        <v>34.0</v>
      </c>
      <c r="B31" s="158" t="s">
        <v>166</v>
      </c>
      <c r="C31" s="159"/>
      <c r="D31" s="160"/>
      <c r="E31" s="160"/>
      <c r="F31" s="13"/>
      <c r="G31" s="160"/>
      <c r="H31" s="161"/>
      <c r="I31" s="162"/>
      <c r="J31" s="162"/>
      <c r="K31" s="160"/>
      <c r="L31" s="160"/>
      <c r="M31" s="163"/>
      <c r="N31" s="163"/>
      <c r="O31" s="163"/>
      <c r="P31" s="164"/>
      <c r="Q31" s="163"/>
      <c r="R31" s="163"/>
      <c r="S31" s="79" t="str">
        <f>IF(OR($D31="C345",$D31="C12A",$D31="DATA"),
   VLOOKUP($B31,'LOD 300 - COLO4'!B:S,14,FALSE),"N/A")</f>
        <v>N/A</v>
      </c>
      <c r="T31" s="76" t="str">
        <f>IF(OR($D31="C345",$D31="C12A",$D31="DATA"),
   VLOOKUP($B31,'LOD 300 - COLO3'!B:T,13,FALSE),"N/A")</f>
        <v>N/A</v>
      </c>
      <c r="U31" s="163"/>
      <c r="V31" s="160"/>
      <c r="W31" s="165"/>
      <c r="X31" s="166"/>
      <c r="Y31" s="166"/>
      <c r="Z31" s="166"/>
      <c r="AA31" s="166"/>
      <c r="AB31" s="166"/>
      <c r="AC31" s="166"/>
      <c r="AD31" s="166"/>
      <c r="AE31" s="166"/>
      <c r="AF31" s="166"/>
      <c r="AG31" s="166"/>
      <c r="AH31" s="166"/>
      <c r="AI31" s="166"/>
      <c r="AJ31" s="167"/>
      <c r="AK31" s="167"/>
      <c r="AL31" s="168"/>
      <c r="AM31" s="167"/>
      <c r="AN31" s="167"/>
      <c r="AO31" s="167"/>
      <c r="AP31" s="167"/>
      <c r="AQ31" s="167"/>
      <c r="AR31" s="167"/>
      <c r="AS31" s="167"/>
      <c r="AT31" s="167"/>
      <c r="AU31" s="167"/>
      <c r="AV31" s="168"/>
      <c r="AW31" s="168"/>
      <c r="AX31" s="168"/>
      <c r="AY31" s="168"/>
      <c r="AZ31" s="168"/>
      <c r="BA31" s="167"/>
      <c r="BB31" s="168"/>
      <c r="BC31" s="169"/>
      <c r="BD31" s="169"/>
      <c r="BE31" s="169"/>
      <c r="BF31" s="169"/>
      <c r="BG31" s="169"/>
      <c r="BH31" s="169"/>
      <c r="BI31" s="169"/>
      <c r="BJ31" s="170"/>
      <c r="BK31" s="171"/>
      <c r="BL31" s="171"/>
      <c r="BM31" s="171"/>
      <c r="BN31" s="171"/>
      <c r="BO31" s="171"/>
      <c r="BP31" s="171"/>
      <c r="BQ31" s="171"/>
      <c r="BR31" s="171"/>
      <c r="BS31" s="171"/>
      <c r="BT31" s="171"/>
      <c r="BU31" s="171"/>
      <c r="BV31" s="171"/>
      <c r="BW31" s="171"/>
      <c r="BX31" s="172"/>
      <c r="BY31" s="172"/>
      <c r="BZ31" s="173"/>
      <c r="CA31" s="174"/>
      <c r="CB31" s="174"/>
      <c r="CC31" s="174"/>
      <c r="CD31" s="174"/>
      <c r="CE31" s="174"/>
      <c r="CF31" s="167"/>
      <c r="CG31" s="173"/>
      <c r="CH31" s="167"/>
      <c r="CI31" s="167"/>
      <c r="CJ31" s="173"/>
      <c r="CK31" s="173"/>
      <c r="CL31" s="173"/>
      <c r="CM31" s="173"/>
      <c r="CN31" s="173"/>
      <c r="CO31" s="167"/>
      <c r="CP31" s="175"/>
      <c r="CQ31" s="173"/>
      <c r="CR31" s="173"/>
      <c r="CS31" s="173"/>
      <c r="CT31" s="173"/>
      <c r="CU31" s="173"/>
      <c r="CV31" s="173"/>
      <c r="CW31" s="173"/>
      <c r="CX31" s="170"/>
      <c r="CY31" s="176"/>
      <c r="CZ31" s="177"/>
      <c r="DA31" s="177"/>
      <c r="DB31" s="177"/>
      <c r="DC31" s="178"/>
      <c r="DD31" s="179"/>
      <c r="DE31" s="176"/>
      <c r="DF31" s="176"/>
      <c r="DG31" s="180"/>
      <c r="DH31" s="167"/>
      <c r="DI31" s="172"/>
      <c r="DJ31" s="173"/>
      <c r="DK31" s="174"/>
      <c r="DL31" s="174"/>
      <c r="DM31" s="174"/>
      <c r="DN31" s="174"/>
      <c r="DO31" s="174"/>
      <c r="DP31" s="167"/>
      <c r="DQ31" s="167"/>
      <c r="DR31" s="167"/>
      <c r="DS31" s="181"/>
      <c r="DT31" s="182"/>
      <c r="DU31" s="182"/>
      <c r="DV31" s="182"/>
      <c r="DW31" s="182"/>
      <c r="DX31" s="182"/>
      <c r="DY31" s="167"/>
      <c r="DZ31" s="168"/>
      <c r="EA31" s="169"/>
      <c r="EB31" s="169"/>
      <c r="EC31" s="169"/>
      <c r="ED31" s="169"/>
      <c r="EE31" s="169"/>
      <c r="EF31" s="169"/>
      <c r="EG31" s="169"/>
      <c r="EH31" s="169"/>
      <c r="EI31" s="167"/>
      <c r="EJ31" s="167"/>
      <c r="EK31" s="167"/>
      <c r="EL31" s="167"/>
      <c r="EM31" s="167"/>
      <c r="EN31" s="167"/>
      <c r="EO31" s="167"/>
      <c r="EP31" s="167"/>
      <c r="EQ31" s="167"/>
      <c r="ER31" s="174"/>
      <c r="ES31" s="174"/>
      <c r="ET31" s="174"/>
      <c r="EU31" s="174"/>
      <c r="EV31" s="174"/>
      <c r="EW31" s="174"/>
      <c r="EX31" s="174"/>
      <c r="EY31" s="174"/>
      <c r="EZ31" s="183"/>
      <c r="FA31" s="183"/>
      <c r="FB31" s="166"/>
      <c r="FC31" s="166"/>
      <c r="FD31" s="166"/>
      <c r="FE31" s="166"/>
      <c r="FF31" s="166"/>
      <c r="FG31" s="166"/>
      <c r="FH31" s="166"/>
      <c r="FI31" s="166"/>
      <c r="FJ31" s="166"/>
      <c r="FK31" s="166"/>
      <c r="FL31" s="184"/>
      <c r="FM31" s="167"/>
      <c r="FN31" s="172"/>
      <c r="FO31" s="173"/>
      <c r="FP31" s="174"/>
      <c r="FQ31" s="174"/>
      <c r="FR31" s="174"/>
      <c r="FS31" s="174"/>
      <c r="FT31" s="174"/>
      <c r="FU31" s="174"/>
      <c r="FV31" s="174"/>
      <c r="FW31" s="167"/>
      <c r="FX31" s="172"/>
      <c r="FY31" s="173"/>
      <c r="FZ31" s="173"/>
      <c r="GA31" s="173"/>
      <c r="GB31" s="173"/>
      <c r="GC31" s="173"/>
      <c r="GD31" s="167"/>
      <c r="GE31" s="175"/>
      <c r="GF31" s="173"/>
      <c r="GG31" s="173"/>
      <c r="GH31" s="173"/>
      <c r="GI31" s="173"/>
      <c r="GJ31" s="173"/>
      <c r="GK31" s="173"/>
      <c r="GL31" s="173"/>
      <c r="GM31" s="185"/>
      <c r="GN31" s="186"/>
      <c r="GO31" s="186"/>
      <c r="GP31" s="186"/>
    </row>
    <row r="32" ht="15.0" customHeight="1" outlineLevel="1">
      <c r="A32" s="60">
        <v>35.0</v>
      </c>
      <c r="B32" s="140" t="s">
        <v>167</v>
      </c>
      <c r="C32" s="70" t="s">
        <v>168</v>
      </c>
      <c r="D32" s="71" t="s">
        <v>85</v>
      </c>
      <c r="E32" s="146" t="s">
        <v>169</v>
      </c>
      <c r="F32" s="13">
        <v>1112.0</v>
      </c>
      <c r="G32" s="139" t="s">
        <v>170</v>
      </c>
      <c r="H32" s="139">
        <v>1129.0</v>
      </c>
      <c r="I32" s="74" t="str">
        <f>IFERROR(VLOOKUP(C29:C171,'R22 RELATÓRIO ACC'!B:F,5,FALSE),"NOT PUBLISHED")</f>
        <v>V40</v>
      </c>
      <c r="J32" s="74" t="str">
        <f>IFERROR(VLOOKUP(C29:C171,'R22 RELATÓRIO ACC'!B:P,15,FALSE),"NOT PUBLISHED")</f>
        <v>10/04/2026</v>
      </c>
      <c r="K32" s="141" t="str">
        <f>IFERROR(VLOOKUP(B29:B220,'RELATÓRIO ACC'!B:F,5,FALSE),"NOT PUBLISHED")</f>
        <v>V3</v>
      </c>
      <c r="L32" s="142" t="str">
        <f>IFERROR(VLOOKUP(B29:B220,'RELATÓRIO ACC'!B:P,15,FALSE),"NOT PUBLISHED")</f>
        <v>13/07/2026</v>
      </c>
      <c r="M32" s="76" t="str">
        <f>IF(OR($D32="UTLS",$D32="GUAR",$D32="STIR",$D32="PUMP",$D32="SITE"),
   VLOOKUP($B32,'LOD 300 - SITE'!B:M,12,FALSE),
   VLOOKUP($B32,'LOD 300 - ADMN'!B:M,12,FALSE)
)</f>
        <v>V26</v>
      </c>
      <c r="N32" s="77" t="str">
        <f>IF(OR($D32="UTLS",$D32="GUAR",$D32="STIR",$D32="PUMP",$D32="SITE"),
   VLOOKUP($B32,'LOD 300 - SITE'!B:N,13,FALSE),
   VLOOKUP($B32,'LOD 300 - ADMN'!B:N,13,FALSE)
)</f>
        <v>03/10/2025</v>
      </c>
      <c r="O32" s="78" t="str">
        <f>IF(OR($D32="UTLS",$D32="GUAR",$D32="STIR",$D32="PUMP",$D32="SITE"),
   VLOOKUP($B32,'LOD 300 - SITE'!B:O,14,FALSE),
   VLOOKUP($B32,'LOD 300 - ADMN'!B:O,14,FALSE)
)</f>
        <v>R22</v>
      </c>
      <c r="P32" s="79" t="str">
        <f>IF(OR($D32="C345",$D32="C12A",$D32="DATA"),
   VLOOKUP($B32,'LOD 300 - COLO3'!B:M,12,FALSE),"N/A")</f>
        <v>V39</v>
      </c>
      <c r="Q32" s="80">
        <f>IF(OR($D32="C345",$D32="C12A",$D32="DATA"),
   VLOOKUP($B32,'LOD 300 - COLO3'!B:N,13,FALSE),"N/A")</f>
        <v>46112</v>
      </c>
      <c r="R32" s="76" t="str">
        <f>IF(OR($D32="C345",$D32="C12A",$D32="DATA"),
   VLOOKUP($B32,'LOD 300 - COLO3'!B:O,14,FALSE),"N/A")</f>
        <v>R22</v>
      </c>
      <c r="S32" s="79" t="str">
        <f>IF(OR($D32="C345",$D32="C12A",$D32="DATA"),
   VLOOKUP($B32,'LOD 300 - COLO4'!B:M,12,FALSE),"N/A")</f>
        <v>N/A</v>
      </c>
      <c r="T32" s="76" t="str">
        <f>IF(OR($D32="C345",$D32="C12A",$D32="DATA"),
   VLOOKUP($B32,'LOD 300 - COLO4'!B:T,13,FALSE),"N/A")</f>
        <v>N/A</v>
      </c>
      <c r="U32" s="81">
        <f>IF(OR($D32="C345",$D32="C12A",$D32="DATA"),
   VLOOKUP($B32,'LOD 300 - COLO4'!B:U,17,FALSE),"N/A")</f>
        <v>0</v>
      </c>
      <c r="V32" s="126" t="s">
        <v>102</v>
      </c>
      <c r="W32" s="144">
        <f>IFERROR(VLOOKUP($B32,'LOD 300 - ADMN'!$B:S,18,FALSE),"N/A")</f>
        <v>0.33</v>
      </c>
      <c r="X32" s="122">
        <f>IFERROR(VLOOKUP($B32,'LOD 300 - ADMN'!$B:V,21,FALSE),"N/A")</f>
        <v>0.98</v>
      </c>
      <c r="Y32" s="122">
        <f>IFERROR(VLOOKUP($B32,'LOD 300 - ADMN'!$B:Y,24,FALSE),"N/A")</f>
        <v>1</v>
      </c>
      <c r="Z32" s="122">
        <f>IFERROR(VLOOKUP($B32,'LOD 300 - ADMN'!$B:AB,27,FALSE),"N/A")</f>
        <v>1</v>
      </c>
      <c r="AA32" s="122">
        <f>IFERROR(VLOOKUP($B32,'LOD 300 - ADMN'!$B:AE,30,FALSE),"N/A")</f>
        <v>1</v>
      </c>
      <c r="AB32" s="145">
        <f>IFERROR(VLOOKUP($B32,'LOD 300 - ADMN'!$B:AH,33,FALSE),"N/A")</f>
        <v>1</v>
      </c>
      <c r="AC32" s="145">
        <f>IFERROR(VLOOKUP($B32,'LOD 300 - ADMN'!$B:AK,36,FALSE),"N/A")</f>
        <v>1</v>
      </c>
      <c r="AD32" s="122">
        <f>IFERROR(VLOOKUP($B32,'LOD 300 - ADMN'!$B:AN,39,FALSE),"N/A")</f>
        <v>1</v>
      </c>
      <c r="AE32" s="122">
        <f>IFERROR(VLOOKUP($B32,'LOD 300 - ADMN'!$B:AQ,42,FALSE),"N/A")</f>
        <v>1</v>
      </c>
      <c r="AF32" s="122">
        <f>IFERROR(VLOOKUP($B32,'LOD 300 - ADMN'!$B:AT,45,FALSE),"N/A")</f>
        <v>1</v>
      </c>
      <c r="AG32" s="122">
        <f>IFERROR(VLOOKUP($B32,'LOD 300 - ADMN'!$B:AW,48,FALSE),"N/A")</f>
        <v>1</v>
      </c>
      <c r="AH32" s="122">
        <f>IFERROR(VLOOKUP($B32,'LOD 300 - ADMN'!$B:AZ,51,FALSE),"N/A")</f>
        <v>1</v>
      </c>
      <c r="AI32" s="122">
        <f>IFERROR(VLOOKUP($B32,'LOD 300 - ADMN'!$B:BC,54,FALSE),"N/A")</f>
        <v>1</v>
      </c>
      <c r="AJ32" s="87">
        <f>IFERROR(VLOOKUP($B32,'LOD 300 - ADMN'!$B:BF,57,FALSE),"N/A")</f>
        <v>1</v>
      </c>
      <c r="AK32" s="87">
        <f>IFERROR(VLOOKUP($B32,'LOD 300 - ADMN'!$B:EP,60,FALSE),"N/A")</f>
        <v>1</v>
      </c>
      <c r="AL32" s="87">
        <f>IFERROR(VLOOKUP($B32,'LOD 300 - ADMN'!$B:EQ,63,FALSE),"N/A")</f>
        <v>1</v>
      </c>
      <c r="AM32" s="87">
        <f>IFERROR(VLOOKUP($B32,'LOD 300 - ADMN'!$B:BO,66,FALSE),"N/A")</f>
        <v>1</v>
      </c>
      <c r="AN32" s="87">
        <f>IFERROR(VLOOKUP($B32,'LOD 300 - ADMN'!$B:BR,69,FALSE),"N/A")</f>
        <v>1</v>
      </c>
      <c r="AO32" s="87">
        <f>IFERROR(VLOOKUP($B32,'LOD 300 - ADMN'!$B:BU,72,FALSE),"N/A")</f>
        <v>1</v>
      </c>
      <c r="AP32" s="87">
        <f>IFERROR(VLOOKUP($B32,'LOD 300 - ADMN'!$B:BX,75,FALSE),"N/A")</f>
        <v>1</v>
      </c>
      <c r="AQ32" s="87">
        <f>IFERROR(VLOOKUP($B32,'LOD 300 - ADMN'!$B:CA,78,FALSE),"N/A")</f>
        <v>1</v>
      </c>
      <c r="AR32" s="87">
        <f>IFERROR(VLOOKUP($B32,'LOD 300 - ADMN'!$B:CD,81,FALSE),"N/A")</f>
        <v>1</v>
      </c>
      <c r="AS32" s="87">
        <f>IFERROR(VLOOKUP($B32,'LOD 300 - ADMN'!$B:CG,84,FALSE),"N/A")</f>
        <v>1</v>
      </c>
      <c r="AT32" s="87">
        <f>IFERROR(VLOOKUP($B32,'LOD 300 - ADMN'!$B:CJ,87,FALSE),"N/A")</f>
        <v>1</v>
      </c>
      <c r="AU32" s="88">
        <f>IFERROR(VLOOKUP($B32,'LOD 300 - ADMN'!$B:CM,90,FALSE),"N/A")</f>
        <v>1</v>
      </c>
      <c r="AV32" s="88">
        <f>IFERROR(VLOOKUP($B32,'LOD 300 - ADMN'!$B:CP,93,FALSE),"N/A")</f>
        <v>1</v>
      </c>
      <c r="AW32" s="88">
        <f>IFERROR(VLOOKUP($B32,'LOD 300 - ADMN'!$B:CS,96,FALSE),"N/A")</f>
        <v>1</v>
      </c>
      <c r="AX32" s="88">
        <f>IFERROR(VLOOKUP($B32,'LOD 300 - ADMN'!$B:CV,99,FALSE),"N/A")</f>
        <v>1</v>
      </c>
      <c r="AY32" s="88">
        <f>IFERROR(VLOOKUP($B32,'LOD 300 - ADMN'!$B:CY,102,FALSE),"N/A")</f>
        <v>1</v>
      </c>
      <c r="AZ32" s="88">
        <f>IFERROR(VLOOKUP($B32,'LOD 300 - ADMN'!$B:DB,105,FALSE),"N/A")</f>
        <v>1</v>
      </c>
      <c r="BA32" s="87">
        <f>IFERROR(VLOOKUP($B32,'LOD 300 - ADMN'!$B:DE,108,FALSE),"N/A")</f>
        <v>1</v>
      </c>
      <c r="BB32" s="87">
        <f>IFERROR(VLOOKUP($B32,'LOD 300 - ADMN'!$B:DH,111,FALSE),"N/A")</f>
        <v>1</v>
      </c>
      <c r="BC32" s="87">
        <f>IFERROR(VLOOKUP($B32,'LOD 300 - ADMN'!$B:DK,114,FALSE),"N/A")</f>
        <v>1</v>
      </c>
      <c r="BD32" s="87">
        <f>IFERROR(VLOOKUP($B32,'LOD 300 - ADMN'!$B:DN,117,FALSE),"N/A")</f>
        <v>1</v>
      </c>
      <c r="BE32" s="87">
        <f>IFERROR(VLOOKUP($B32,'LOD 300 - ADMN'!$B:DQ,120,FALSE),"N/A")</f>
        <v>1</v>
      </c>
      <c r="BF32" s="87">
        <f>IFERROR(VLOOKUP($B32,'LOD 300 - ADMN'!$B:DT,123,FALSE),"N/A")</f>
        <v>1</v>
      </c>
      <c r="BG32" s="87">
        <f>IFERROR(VLOOKUP($B32,'LOD 300 - ADMN'!$B:DW,126,FALSE),"N/A")</f>
        <v>1</v>
      </c>
      <c r="BH32" s="87">
        <f>IFERROR(VLOOKUP($B32,'LOD 300 - ADMN'!$B:DZ,129,FALSE),"N/A")</f>
        <v>1</v>
      </c>
      <c r="BI32" s="87">
        <f>IFERROR(VLOOKUP($B32,'LOD 300 - ADMN'!$B:EC,132,FALSE),"N/A")</f>
        <v>1</v>
      </c>
      <c r="BJ32" s="90">
        <f>IFERROR(__xludf.DUMMYFUNCTION("IFERROR(
  MAX(FILTER(X32:BI32, ISNUMBER(X32:BI32))),
  BI32
)"),1.0)</f>
        <v>1</v>
      </c>
      <c r="BK32" s="91">
        <f>IFERROR(VLOOKUP($B32,'LOD 300 - COLO1'!$B:S,18,FALSE),"N/A")</f>
        <v>0.33</v>
      </c>
      <c r="BL32" s="92">
        <f>IFERROR(VLOOKUP($B32,'LOD 300 - COLO1'!$B:V,21,FALSE),"N/A")</f>
        <v>0.93</v>
      </c>
      <c r="BM32" s="92">
        <f>IFERROR(VLOOKUP($B32,'LOD 300 - COLO1'!$B:Y,24,FALSE),"N/A")</f>
        <v>1</v>
      </c>
      <c r="BN32" s="92">
        <f>IFERROR(VLOOKUP($B32,'LOD 300 - COLO1'!$B:AB,27,FALSE),"N/A")</f>
        <v>1</v>
      </c>
      <c r="BO32" s="92">
        <f>IFERROR(VLOOKUP($B32,'LOD 300 - COLO1'!$B:AE,30,FALSE),"N/A")</f>
        <v>1</v>
      </c>
      <c r="BP32" s="92">
        <f>IFERROR(VLOOKUP($B32,'LOD 300 - COLO1'!$B:AH,33,FALSE),"N/A")</f>
        <v>1</v>
      </c>
      <c r="BQ32" s="92">
        <f>IFERROR(VLOOKUP($B32,'LOD 300 - COLO1'!$B:AK,36,FALSE),"N/A")</f>
        <v>1</v>
      </c>
      <c r="BR32" s="92">
        <f>IFERROR(VLOOKUP($B32,'LOD 300 - COLO1'!$B:AN,39,FALSE),"N/A")</f>
        <v>1</v>
      </c>
      <c r="BS32" s="92">
        <f>IFERROR(VLOOKUP($B32,'LOD 300 - COLO1'!$B:AQ,42,FALSE),"N/A")</f>
        <v>1</v>
      </c>
      <c r="BT32" s="92">
        <f>IFERROR(VLOOKUP($B32,'LOD 300 - COLO1'!$B:AT,45,FALSE),"N/A")</f>
        <v>1</v>
      </c>
      <c r="BU32" s="92">
        <f>IFERROR(VLOOKUP($B32,'LOD 300 - COLO1'!$B:AW,48,FALSE),"N/A")</f>
        <v>1</v>
      </c>
      <c r="BV32" s="92">
        <f>IFERROR(VLOOKUP($B32,'LOD 300 - COLO1'!$B:AZ,51,FALSE),"N/A")</f>
        <v>1</v>
      </c>
      <c r="BW32" s="92">
        <f>IFERROR(VLOOKUP($B32,'LOD 300 - COLO1'!$B:BC,54,FALSE),"N/A")</f>
        <v>1</v>
      </c>
      <c r="BX32" s="94">
        <f>IFERROR(VLOOKUP($B32,'LOD 300 - COLO1'!$B:BF,57,FALSE),"N/A")</f>
        <v>1</v>
      </c>
      <c r="BY32" s="94">
        <f>IFERROR(VLOOKUP($B32,'LOD 300 - COLO1'!$B:BI,60,FALSE),"N/A")</f>
        <v>1</v>
      </c>
      <c r="BZ32" s="95">
        <f>IFERROR(VLOOKUP($B32,'LOD 300 - COLO1'!$B:BL,63,FALSE),"N/A")</f>
        <v>1</v>
      </c>
      <c r="CA32" s="86">
        <f>IFERROR(VLOOKUP($B32,'LOD 300 - COLO1'!$B:BO,66,FALSE),"N/A")</f>
        <v>1</v>
      </c>
      <c r="CB32" s="86">
        <f>IFERROR(VLOOKUP($B32,'LOD 300 - COLO1'!$B:BR,69,FALSE),"N/A")</f>
        <v>1</v>
      </c>
      <c r="CC32" s="86">
        <f>IFERROR(VLOOKUP($B32,'LOD 300 - COLO1'!$B:BU,72,FALSE),"N/A")</f>
        <v>1</v>
      </c>
      <c r="CD32" s="86">
        <f>IFERROR(VLOOKUP($B32,'LOD 300 - COLO1'!$B:BX,75,FALSE),"N/A")</f>
        <v>1</v>
      </c>
      <c r="CE32" s="86">
        <f>IFERROR(VLOOKUP($B32,'LOD 300 - COLO1'!$B:CA,78,FALSE),"N/A")</f>
        <v>1</v>
      </c>
      <c r="CF32" s="87">
        <f>IFERROR(VLOOKUP($B32,'LOD 300 - COLO1'!$B:CD,81,FALSE),"N/A")</f>
        <v>1</v>
      </c>
      <c r="CG32" s="86">
        <f>IFERROR(VLOOKUP($B32,'LOD 300 - COLO1'!$B:CG,84,FALSE),"N/A")</f>
        <v>1</v>
      </c>
      <c r="CH32" s="87">
        <f>IFERROR(VLOOKUP($B32,'LOD 300 - COLO1'!$B:CJ,87,FALSE),"N/A")</f>
        <v>1</v>
      </c>
      <c r="CI32" s="88">
        <f>IFERROR(VLOOKUP($B32,'LOD 300 - COLO1'!$B:CM,90,FALSE),"N/A")</f>
        <v>1</v>
      </c>
      <c r="CJ32" s="88">
        <f>IFERROR(VLOOKUP($B32,'LOD 300 - COLO1'!$B:CP,93,FALSE),"N/A")</f>
        <v>1</v>
      </c>
      <c r="CK32" s="88">
        <f>IFERROR(VLOOKUP($B32,'LOD 300 - COLO1'!$B:CS,96,FALSE),"N/A")</f>
        <v>1</v>
      </c>
      <c r="CL32" s="88">
        <f>IFERROR(VLOOKUP($B32,'LOD 300 - COLO1'!$B:CV,99,FALSE),"N/A")</f>
        <v>1</v>
      </c>
      <c r="CM32" s="88">
        <f>IFERROR(VLOOKUP($B32,'LOD 300 - COLO1'!$B:CY,102,FALSE),"N/A")</f>
        <v>1</v>
      </c>
      <c r="CN32" s="89">
        <f>IFERROR(VLOOKUP($B32,'LOD 300 - COLO1'!$B:DB,105,FALSE),"N/A")</f>
        <v>1</v>
      </c>
      <c r="CO32" s="87">
        <f>IFERROR(VLOOKUP($B32,'LOD 300 - COLO1'!$B:EE,108,FALSE),"N/A")</f>
        <v>1</v>
      </c>
      <c r="CP32" s="87">
        <f>IFERROR(VLOOKUP($B32,'LOD 300 - COLO1'!$B:EH,111,FALSE),"N/A")</f>
        <v>1</v>
      </c>
      <c r="CQ32" s="87">
        <f>IFERROR(VLOOKUP($B32,'LOD 300 - COLO1'!$B:EK,114,FALSE),"N/A")</f>
        <v>1</v>
      </c>
      <c r="CR32" s="87">
        <f>IFERROR(VLOOKUP($B32,'LOD 300 - COLO1'!$B:EN,117,FALSE),"N/A")</f>
        <v>1</v>
      </c>
      <c r="CS32" s="87">
        <f>IFERROR(VLOOKUP($B32,'LOD 300 - COLO1'!$B:EQ,120,FALSE),"N/A")</f>
        <v>1</v>
      </c>
      <c r="CT32" s="87">
        <f>IFERROR(VLOOKUP($B32,'LOD 300 - COLO1'!$B:ET,123,FALSE),"N/A")</f>
        <v>1</v>
      </c>
      <c r="CU32" s="87">
        <f>IFERROR(VLOOKUP($B32,'LOD 300 - COLO1'!$B:EW,126,FALSE),"N/A")</f>
        <v>1</v>
      </c>
      <c r="CV32" s="87">
        <f>IFERROR(VLOOKUP($B32,'LOD 300 - COLO1'!$B:EZ,129,FALSE),"N/A")</f>
        <v>1</v>
      </c>
      <c r="CW32" s="87">
        <f>IFERROR(VLOOKUP($B32,'LOD 300 - COLO1'!$B:FC,132,FALSE),"N/A")</f>
        <v>1</v>
      </c>
      <c r="CX32" s="96">
        <f>IFERROR(__xludf.DUMMYFUNCTION("IFERROR(
  MAX(FILTER(BK32:CW32, ISNUMBER(BK32:CW32))),
  CW32
)"),1.0)</f>
        <v>1</v>
      </c>
      <c r="CY32" s="104">
        <f>IFERROR(VLOOKUP($B32,'LOD 300 - COLO2'!$B:S,18,FALSE),"N/A")</f>
        <v>0.72</v>
      </c>
      <c r="CZ32" s="117" t="str">
        <f>IFERROR(VLOOKUP($B32,'LOD 300 - COLO2'!$B:V,21,FALSE),"N/A")</f>
        <v>OUTDATED MODEL</v>
      </c>
      <c r="DA32" s="117" t="str">
        <f>IFERROR(VLOOKUP($B32,'LOD 300 - COLO2'!$B:Y,24,FALSE),"N/A")</f>
        <v>OUTDATED MODEL</v>
      </c>
      <c r="DB32" s="117">
        <f>IFERROR(VLOOKUP($B32,'LOD 300 - COLO2'!$B:AB,27,FALSE),"N/A")</f>
        <v>1</v>
      </c>
      <c r="DC32" s="92">
        <f>IFERROR(VLOOKUP($B32,'LOD 300 - COLO2'!$B:AE,30,FALSE),"N/A")</f>
        <v>1</v>
      </c>
      <c r="DD32" s="120">
        <f>IFERROR(VLOOKUP($B32,'LOD 300 - COLO2'!$B:AH,33,FALSE),"N/A")</f>
        <v>1</v>
      </c>
      <c r="DE32" s="117">
        <f>IFERROR(VLOOKUP($B32,'LOD 300 - COLO2'!$B:AK,36,FALSE),"N/A")</f>
        <v>1</v>
      </c>
      <c r="DF32" s="117">
        <f>IFERROR(VLOOKUP($B32,'LOD 300 - COLO2'!$B:AN,39,FALSE),"N/A")</f>
        <v>1</v>
      </c>
      <c r="DG32" s="119">
        <f>IFERROR(VLOOKUP($B32,'LOD 300 - COLO2'!$B:AQ,42,FALSE),"N/A")</f>
        <v>1</v>
      </c>
      <c r="DH32" s="87">
        <f>IFERROR(VLOOKUP($B32,'LOD 300 - COLO2'!$B:AT,45,FALSE),"N/A")</f>
        <v>1</v>
      </c>
      <c r="DI32" s="94">
        <f>IFERROR(VLOOKUP($B32,'LOD 300 - COLO2'!$B:AW,48,FALSE),"N/A")</f>
        <v>1</v>
      </c>
      <c r="DJ32" s="95">
        <f>IFERROR(VLOOKUP($B32,'LOD 300 - COLO2'!$B:AZ,51,FALSE),"N/A")</f>
        <v>1</v>
      </c>
      <c r="DK32" s="86">
        <f>IFERROR(VLOOKUP($B32,'LOD 300 - COLO2'!$B:BC,54,FALSE),"N/A")</f>
        <v>1</v>
      </c>
      <c r="DL32" s="86">
        <f>IFERROR(VLOOKUP($B32,'LOD 300 - COLO2'!$B:BF,57,FALSE),"N/A")</f>
        <v>1</v>
      </c>
      <c r="DM32" s="86">
        <f>IFERROR(VLOOKUP($B32,'LOD 300 - COLO2'!$B:BI,60,FALSE),"N/A")</f>
        <v>1</v>
      </c>
      <c r="DN32" s="86">
        <f>IFERROR(VLOOKUP($B32,'LOD 300 - COLO2'!$B:BL,63,FALSE),"N/A")</f>
        <v>1</v>
      </c>
      <c r="DO32" s="86">
        <f>IFERROR(VLOOKUP($B32,'LOD 300 - COLO2'!$B:BO,66,FALSE),"N/A")</f>
        <v>1</v>
      </c>
      <c r="DP32" s="87">
        <f>IFERROR(VLOOKUP($B32,'LOD 300 - COLO2'!$B:BR,69,FALSE),"N/A")</f>
        <v>1</v>
      </c>
      <c r="DQ32" s="87">
        <f>IFERROR(VLOOKUP($B32,'LOD 300 - COLO2'!$B:BU,72,FALSE),"N/A")</f>
        <v>1</v>
      </c>
      <c r="DR32" s="87">
        <f>IFERROR(VLOOKUP($B32,'LOD 300 - COLO2'!$B:BX,75,FALSE),"N/A")</f>
        <v>1</v>
      </c>
      <c r="DS32" s="98">
        <f>IFERROR(VLOOKUP($B32,'LOD 300 - COLO2'!$B:CA,78,FALSE),"N/A")</f>
        <v>1</v>
      </c>
      <c r="DT32" s="98">
        <f>IFERROR(VLOOKUP($B32,'LOD 300 - COLO2'!$B:CD,81,FALSE),"N/A")</f>
        <v>1</v>
      </c>
      <c r="DU32" s="98">
        <f>IFERROR(VLOOKUP($B32,'LOD 300 - COLO2'!$B:CG,84,FALSE),"N/A")</f>
        <v>1</v>
      </c>
      <c r="DV32" s="98">
        <f>IFERROR(VLOOKUP($B32,'LOD 300 - COLO2'!$B:CJ,87,FALSE),"N/A")</f>
        <v>1</v>
      </c>
      <c r="DW32" s="98">
        <f>IFERROR(VLOOKUP($B32,'LOD 300 - COLO2'!$B:CM,90,FALSE),"N/A")</f>
        <v>1</v>
      </c>
      <c r="DX32" s="98">
        <f>IFERROR(VLOOKUP($B32,'LOD 300 - COLO2'!$B:CP,93,FALSE),"N/A")</f>
        <v>1</v>
      </c>
      <c r="DY32" s="87">
        <f>IFERROR(VLOOKUP($B32,'LOD 300 - COLO2'!$B:CS,96,FALSE),"N/A")</f>
        <v>1</v>
      </c>
      <c r="DZ32" s="87">
        <f>IFERROR(VLOOKUP($B32,'LOD 300 - COLO2'!$B:CV,99,FALSE),"N/A")</f>
        <v>1</v>
      </c>
      <c r="EA32" s="87">
        <f>IFERROR(VLOOKUP($B32,'LOD 300 - COLO2'!$B:DB,105,FALSE),"N/A")</f>
        <v>1</v>
      </c>
      <c r="EB32" s="87">
        <f>IFERROR(VLOOKUP($B32,'LOD 300 - COLO2'!$B:DB,105,FALSE),"N/A")</f>
        <v>1</v>
      </c>
      <c r="EC32" s="87">
        <f>IFERROR(VLOOKUP($B32,'LOD 300 - COLO2'!$B:DE,108,FALSE),"N/A")</f>
        <v>1</v>
      </c>
      <c r="ED32" s="87">
        <f>IFERROR(VLOOKUP($B32,'LOD 300 - COLO2'!$B:DH,111,FALSE),"N/A")</f>
        <v>1</v>
      </c>
      <c r="EE32" s="87">
        <f>IFERROR(VLOOKUP($B32,'LOD 300 - COLO2'!$B:DK,114,FALSE),"N/A")</f>
        <v>1</v>
      </c>
      <c r="EF32" s="87">
        <f>IFERROR(VLOOKUP($B32,'LOD 300 - COLO2'!$B:DN,117,FALSE),"N/A")</f>
        <v>1</v>
      </c>
      <c r="EG32" s="87">
        <f>IFERROR(VLOOKUP($B32,'LOD 300 - COLO2'!$B:DQ,120,FALSE),"N/A")</f>
        <v>1</v>
      </c>
      <c r="EH32" s="99">
        <f>IFERROR(__xludf.DUMMYFUNCTION("IFERROR(
  MAX(FILTER(CZ32:EG32, ISNUMBER(CZ32:EG32))),
  EG32
)"),1.0)</f>
        <v>1</v>
      </c>
      <c r="EI32" s="100">
        <f>IFERROR(VLOOKUP($B32,'LOD 300 - COLO3'!$B:R,17,FALSE),"N/A")</f>
        <v>0</v>
      </c>
      <c r="EJ32" s="127">
        <f>IFERROR(VLOOKUP($B32,'LOD 300 - COLO3'!$B:U,20,FALSE),"N/A")</f>
        <v>1</v>
      </c>
      <c r="EK32" s="127">
        <f>IFERROR(VLOOKUP($B32,'LOD 300 - COLO3'!$B:X,23,FALSE),"N/A")</f>
        <v>1</v>
      </c>
      <c r="EL32" s="127">
        <f>IFERROR(VLOOKUP($B32,'LOD 300 - COLO3'!$B:AA,26,FALSE),"N/A")</f>
        <v>1</v>
      </c>
      <c r="EM32" s="127">
        <f>IFERROR(VLOOKUP($B32,'LOD 300 - COLO3'!$B:AD,29,FALSE),"N/A")</f>
        <v>1</v>
      </c>
      <c r="EN32" s="127">
        <f>IFERROR(VLOOKUP($B32,'LOD 300 - COLO3'!$B:AG,32,FALSE),"N/A")</f>
        <v>1</v>
      </c>
      <c r="EO32" s="127">
        <f>IFERROR(VLOOKUP($B32,'LOD 300 - COLO3'!$B:AJ,35,FALSE),"N/A")</f>
        <v>1</v>
      </c>
      <c r="EP32" s="100">
        <f>IFERROR(VLOOKUP($B32,'LOD 300 - COLO3'!$B:AM,38,FALSE),"N/A")</f>
        <v>1</v>
      </c>
      <c r="EQ32" s="100">
        <f>IFERROR(VLOOKUP($B32,'LOD 300 - COLO3'!$B:AP,41,FALSE),"N/A")</f>
        <v>1</v>
      </c>
      <c r="ER32" s="100">
        <f>IFERROR(VLOOKUP($B32,'LOD 300 - COLO3'!$B:AS,44,FALSE),"N/A")</f>
        <v>1</v>
      </c>
      <c r="ES32" s="100">
        <f>IFERROR(VLOOKUP($B32,'LOD 300 - COLO3'!$B:AV,47,FALSE),"N/A")</f>
        <v>1</v>
      </c>
      <c r="ET32" s="100">
        <f>IFERROR(VLOOKUP($B32,'LOD 300 - COLO3'!$B:AY,50,FALSE),"N/A")</f>
        <v>1</v>
      </c>
      <c r="EU32" s="100">
        <f>IFERROR(VLOOKUP($B32,'LOD 300 - COLO3'!$B:BB,53,FALSE),"N/A")</f>
        <v>1</v>
      </c>
      <c r="EV32" s="100">
        <f>IFERROR(VLOOKUP($B32,'LOD 300 - COLO3'!$B:BE,56,FALSE),"N/A")</f>
        <v>1</v>
      </c>
      <c r="EW32" s="100">
        <f>IFERROR(VLOOKUP($B32,'LOD 300 - COLO3'!$B:BL,59,FALSE),"N/A")</f>
        <v>1</v>
      </c>
      <c r="EX32" s="100">
        <f>IFERROR(VLOOKUP($B32,'LOD 300 - COLO3'!$B:BO,62,FALSE),"N/A")</f>
        <v>1</v>
      </c>
      <c r="EY32" s="103">
        <f>IFERROR(__xludf.DUMMYFUNCTION("IFERROR(
  MAX(FILTER(EI32:EX32, ISNUMBER(EI32:EX32))),
  EX32
)"),1.0)</f>
        <v>1</v>
      </c>
      <c r="EZ32" s="104">
        <f>IFERROR(VLOOKUP($B32,'LOD 300 - COLO4'!$B:BT,17,FALSE),"N/A")</f>
        <v>0</v>
      </c>
      <c r="FA32" s="103">
        <f>IFERROR(__xludf.DUMMYFUNCTION("IFERROR(
  MAX(FILTER(EZ32, ISNUMBER(EZ32))),
  EZ32
)"),0.0)</f>
        <v>0</v>
      </c>
      <c r="FB32" s="121" t="str">
        <f>IFERROR(VLOOKUP($B32,'LOD 300 - SITE'!$B:S,18,FALSE),"N/A")</f>
        <v>N/A</v>
      </c>
      <c r="FC32" s="122" t="str">
        <f>IFERROR(VLOOKUP($B32,'LOD 300 - SITE'!$B:V,21,FALSE),"N/A")</f>
        <v>N/A</v>
      </c>
      <c r="FD32" s="122" t="str">
        <f>IFERROR(VLOOKUP($B32,'LOD 300 - SITE'!$B:Y,24,FALSE),"N/A")</f>
        <v>N/A</v>
      </c>
      <c r="FE32" s="122" t="str">
        <f>IFERROR(VLOOKUP($B32,'LOD 300 - SITE'!$B:AB,27,FALSE),"N/A")</f>
        <v>N/A</v>
      </c>
      <c r="FF32" s="122" t="str">
        <f>IFERROR(VLOOKUP($B32,'LOD 300 - SITE'!$B:AE,30,FALSE),"N/A")</f>
        <v>N/A</v>
      </c>
      <c r="FG32" s="122" t="str">
        <f>IFERROR(VLOOKUP($B32,'LOD 300 - SITE'!$B:AH,33,FALSE),"N/A")</f>
        <v>N/A</v>
      </c>
      <c r="FH32" s="122" t="str">
        <f>IFERROR(VLOOKUP($B32,'LOD 300 - SITE'!$B:AK,36,FALSE),"N/A")</f>
        <v>N/A</v>
      </c>
      <c r="FI32" s="122" t="str">
        <f>IFERROR(VLOOKUP($B32,'LOD 300 - SITE'!$B:AN,39,FALSE),"N/A")</f>
        <v>N/A</v>
      </c>
      <c r="FJ32" s="122" t="str">
        <f>IFERROR(VLOOKUP($B32,'LOD 300 - SITE'!$B:AQ,42,FALSE),"N/A")</f>
        <v>N/A</v>
      </c>
      <c r="FK32" s="122" t="str">
        <f>IFERROR(VLOOKUP($B32,'LOD 300 - SITE'!$B:AT,45,FALSE),"N/A")</f>
        <v>N/A</v>
      </c>
      <c r="FL32" s="123" t="str">
        <f>IFERROR(VLOOKUP($B32,'LOD 300 - SITE'!$B:AW,48,FALSE),"N/A")</f>
        <v>N/A</v>
      </c>
      <c r="FM32" s="87" t="str">
        <f>IFERROR(VLOOKUP($B32,'LOD 300 - SITE'!$B:AZ,51,FALSE),"N/A")</f>
        <v>N/A</v>
      </c>
      <c r="FN32" s="94" t="str">
        <f>IFERROR(VLOOKUP($B32,'LOD 300 - SITE'!$B:BC,54,FALSE),"N/A")</f>
        <v>N/A</v>
      </c>
      <c r="FO32" s="95" t="str">
        <f>IFERROR(VLOOKUP($B32,'LOD 300 - SITE'!$B:BF,57,FALSE),"N/A")</f>
        <v>N/A</v>
      </c>
      <c r="FP32" s="86" t="str">
        <f>IFERROR(VLOOKUP($B32,'LOD 300 - SITE'!$B:BI,60,FALSE),"N/A")</f>
        <v>N/A</v>
      </c>
      <c r="FQ32" s="86" t="str">
        <f>IFERROR(VLOOKUP($B32,'LOD 300 - SITE'!$B:BL,63,FALSE),"N/A")</f>
        <v>N/A</v>
      </c>
      <c r="FR32" s="86" t="str">
        <f>IFERROR(VLOOKUP($B32,'LOD 300 - SITE'!$B:BO,66,FALSE),"N/A")</f>
        <v>N/A</v>
      </c>
      <c r="FS32" s="86" t="str">
        <f>IFERROR(VLOOKUP($B32,'LOD 300 - SITE'!$B:BR,69,FALSE),"N/A")</f>
        <v>N/A</v>
      </c>
      <c r="FT32" s="86" t="str">
        <f>IFERROR(VLOOKUP($B32,'LOD 300 - SITE'!$B:BU,72,FALSE),"N/A")</f>
        <v>N/A</v>
      </c>
      <c r="FU32" s="86" t="str">
        <f>IFERROR(VLOOKUP($B32,'LOD 300 - SITE'!$B:BX,75,FALSE),"N/A")</f>
        <v>N/A</v>
      </c>
      <c r="FV32" s="86" t="str">
        <f>IFERROR(VLOOKUP($B32,'LOD 300 - SITE'!$B:CA,78,FALSE),"N/A")</f>
        <v>N/A</v>
      </c>
      <c r="FW32" s="87" t="str">
        <f>IFERROR(VLOOKUP($B32,'LOD 300 - SITE'!$B:CD,81,FALSE),"N/A")</f>
        <v>N/A</v>
      </c>
      <c r="FX32" s="108" t="str">
        <f>IFERROR(VLOOKUP($B32,'LOD 300 - SITE'!$B:CG,84,FALSE),"N/A")</f>
        <v>N/A</v>
      </c>
      <c r="FY32" s="108" t="str">
        <f>IFERROR(VLOOKUP($B32,'LOD 300 - SITE'!$B:CJ,87,FALSE),"N/A")</f>
        <v>N/A</v>
      </c>
      <c r="FZ32" s="108" t="str">
        <f>IFERROR(VLOOKUP($B32,'LOD 300 - SITE'!$B:CM,90,FALSE),"N/A")</f>
        <v>N/A</v>
      </c>
      <c r="GA32" s="108" t="str">
        <f>IFERROR(VLOOKUP($B32,'LOD 300 - SITE'!$B:CP,93,FALSE),"N/A")</f>
        <v>N/A</v>
      </c>
      <c r="GB32" s="108" t="str">
        <f>IFERROR(VLOOKUP($B32,'LOD 300 - SITE'!$B:CS,96,FALSE),"N/A")</f>
        <v>N/A</v>
      </c>
      <c r="GC32" s="109" t="str">
        <f>IFERROR(VLOOKUP($B32,'LOD 300 - SITE'!$B:CV,99,FALSE),"N/A")</f>
        <v>N/A</v>
      </c>
      <c r="GD32" s="87" t="str">
        <f>IFERROR(VLOOKUP($B32,'LOD 300 - SITE'!$B:CY,102,FALSE),"N/A")</f>
        <v>N/A</v>
      </c>
      <c r="GE32" s="87" t="str">
        <f>IFERROR(VLOOKUP($B32,'LOD 300 - SITE'!$B:DB,105,FALSE),"N/A")</f>
        <v>N/A</v>
      </c>
      <c r="GF32" s="87" t="str">
        <f>IFERROR(VLOOKUP($B32,'LOD 300 - SITE'!$B:DE,108,FALSE),"N/A")</f>
        <v>N/A</v>
      </c>
      <c r="GG32" s="87" t="str">
        <f>IFERROR(VLOOKUP($B32,'LOD 300 - SITE'!$B:DH,111,FALSE),"N/A")</f>
        <v>N/A</v>
      </c>
      <c r="GH32" s="87" t="str">
        <f>IFERROR(VLOOKUP($B32,'LOD 300 - SITE'!$B:DK,114,FALSE),"N/A")</f>
        <v>N/A</v>
      </c>
      <c r="GI32" s="87" t="str">
        <f>IFERROR(VLOOKUP($B32,'LOD 300 - SITE'!$B:DN,117,FALSE),"N/A")</f>
        <v>N/A</v>
      </c>
      <c r="GJ32" s="87" t="str">
        <f>IFERROR(VLOOKUP($B32,'LOD 300 - SITE'!$B:DQ,120,FALSE),"N/A")</f>
        <v>N/A</v>
      </c>
      <c r="GK32" s="87" t="str">
        <f>IFERROR(VLOOKUP($B32,'LOD 300 - SITE'!$B:DT,123,FALSE),"N/A")</f>
        <v>N/A</v>
      </c>
      <c r="GL32" s="87" t="str">
        <f>IFERROR(VLOOKUP($B32,'LOD 300 - SITE'!$B:DW,126,FALSE),"N/A")</f>
        <v>N/A</v>
      </c>
      <c r="GM32" s="110" t="str">
        <f>IFERROR(__xludf.DUMMYFUNCTION("IFERROR(
  MAX(FILTER(FB32:GL32, ISNUMBER(FB32:GL32))),
  GL32
)"),"N/A")</f>
        <v>N/A</v>
      </c>
      <c r="GN32" s="111"/>
      <c r="GO32" s="111"/>
      <c r="GP32" s="111"/>
    </row>
    <row r="33" ht="15.0" customHeight="1" outlineLevel="1">
      <c r="A33" s="60">
        <v>36.0</v>
      </c>
      <c r="B33" s="140" t="s">
        <v>171</v>
      </c>
      <c r="C33" s="70" t="s">
        <v>172</v>
      </c>
      <c r="D33" s="71" t="s">
        <v>90</v>
      </c>
      <c r="E33" s="146" t="s">
        <v>169</v>
      </c>
      <c r="F33" s="13">
        <v>1112.0</v>
      </c>
      <c r="G33" s="139" t="s">
        <v>170</v>
      </c>
      <c r="H33" s="139">
        <v>1129.0</v>
      </c>
      <c r="I33" s="74" t="str">
        <f>IFERROR(VLOOKUP(C30:C172,'R22 RELATÓRIO ACC'!B:F,5,FALSE),"NOT PUBLISHED")</f>
        <v>V39</v>
      </c>
      <c r="J33" s="74" t="str">
        <f>IFERROR(VLOOKUP(C30:C172,'R22 RELATÓRIO ACC'!B:P,15,FALSE),"NOT PUBLISHED")</f>
        <v>12/05/2026</v>
      </c>
      <c r="K33" s="141" t="str">
        <f>IFERROR(VLOOKUP(B29:B221,'RELATÓRIO ACC'!B:F,5,FALSE),"NOT PUBLISHED")</f>
        <v>V4</v>
      </c>
      <c r="L33" s="142" t="str">
        <f>IFERROR(VLOOKUP(B29:B221,'RELATÓRIO ACC'!B:P,15,FALSE),"NOT PUBLISHED")</f>
        <v>14/07/2026</v>
      </c>
      <c r="M33" s="76" t="str">
        <f>IF(OR($D33="UTLS",$D33="GUAR",$D33="STIR",$D33="PUMP",$D33="SITE"),
   VLOOKUP($B33,'LOD 300 - SITE'!B:M,12,FALSE),
   VLOOKUP($B33,'LOD 300 - ADMN'!B:M,12,FALSE)
)</f>
        <v>V23</v>
      </c>
      <c r="N33" s="80">
        <f>IF(OR($D33="UTLS",$D33="GUAR",$D33="STIR",$D33="PUMP",$D33="SITE"),
   VLOOKUP($B33,'LOD 300 - SITE'!B:N,13,FALSE),
   VLOOKUP($B33,'LOD 300 - ADMN'!B:N,13,FALSE)
)</f>
        <v>45889</v>
      </c>
      <c r="O33" s="143" t="str">
        <f>IF(OR($D33="UTLS",$D33="GUAR",$D33="STIR",$D33="PUMP",$D33="SITE"),
   VLOOKUP($B33,'LOD 300 - SITE'!B:O,14,FALSE),
   VLOOKUP($B33,'LOD 300 - ADMN'!B:O,14,FALSE)
)</f>
        <v>R22</v>
      </c>
      <c r="P33" s="79" t="str">
        <f>IF(OR($D33="C345",$D33="C12A",$D33="DATA"),
   VLOOKUP($B33,'LOD 300 - COLO3'!B:M,12,FALSE),"N/A")</f>
        <v>N/A</v>
      </c>
      <c r="Q33" s="76" t="str">
        <f>IF(OR($D33="C345",$D33="C12A",$D33="DATA"),
   VLOOKUP($B33,'LOD 300 - COLO3'!B:N,13,FALSE),"N/A")</f>
        <v>N/A</v>
      </c>
      <c r="R33" s="76" t="str">
        <f>IF(OR($D33="C345",$D33="C12A",$D33="DATA"),
   VLOOKUP($B33,'LOD 300 - COLO3'!B:O,14,FALSE),"N/A")</f>
        <v>N/A</v>
      </c>
      <c r="S33" s="79" t="str">
        <f>IF(OR($D33="C345",$D33="C12A",$D33="DATA"),
   VLOOKUP($B33,'LOD 300 - COLO4'!B:M,12,FALSE),"N/A")</f>
        <v>N/A</v>
      </c>
      <c r="T33" s="76" t="str">
        <f>IF(OR($D33="C345",$D33="C12A",$D33="DATA"),
   VLOOKUP($B33,'LOD 300 - COLO4'!B:T,13,FALSE),"N/A")</f>
        <v>N/A</v>
      </c>
      <c r="U33" s="76" t="str">
        <f>IF(OR($D33="C345",$D33="C12A",$D33="DATA"),
   VLOOKUP($B33,'LOD 300 - COLO4'!B:U,17,FALSE),"N/A")</f>
        <v>N/A</v>
      </c>
      <c r="V33" s="126" t="s">
        <v>129</v>
      </c>
      <c r="W33" s="144" t="str">
        <f>IFERROR(VLOOKUP($B33,'LOD 300 - ADMN'!$B:S,18,FALSE),"N/A")</f>
        <v>N/A</v>
      </c>
      <c r="X33" s="122" t="str">
        <f>IFERROR(VLOOKUP($B33,'LOD 300 - ADMN'!$B:V,21,FALSE),"N/A")</f>
        <v>N/A</v>
      </c>
      <c r="Y33" s="122" t="str">
        <f>IFERROR(VLOOKUP($B33,'LOD 300 - ADMN'!$B:Y,24,FALSE),"N/A")</f>
        <v>N/A</v>
      </c>
      <c r="Z33" s="122" t="str">
        <f>IFERROR(VLOOKUP($B33,'LOD 300 - ADMN'!$B:AB,27,FALSE),"N/A")</f>
        <v>N/A</v>
      </c>
      <c r="AA33" s="122" t="str">
        <f>IFERROR(VLOOKUP($B33,'LOD 300 - ADMN'!$B:AE,30,FALSE),"N/A")</f>
        <v>N/A</v>
      </c>
      <c r="AB33" s="145" t="str">
        <f>IFERROR(VLOOKUP($B33,'LOD 300 - ADMN'!$B:AH,33,FALSE),"N/A")</f>
        <v>N/A</v>
      </c>
      <c r="AC33" s="145" t="str">
        <f>IFERROR(VLOOKUP($B33,'LOD 300 - ADMN'!$B:AK,36,FALSE),"N/A")</f>
        <v>N/A</v>
      </c>
      <c r="AD33" s="122" t="str">
        <f>IFERROR(VLOOKUP($B33,'LOD 300 - ADMN'!$B:AN,39,FALSE),"N/A")</f>
        <v>N/A</v>
      </c>
      <c r="AE33" s="122" t="str">
        <f>IFERROR(VLOOKUP($B33,'LOD 300 - ADMN'!$B:AQ,42,FALSE),"N/A")</f>
        <v>N/A</v>
      </c>
      <c r="AF33" s="122" t="str">
        <f>IFERROR(VLOOKUP($B33,'LOD 300 - ADMN'!$B:AT,45,FALSE),"N/A")</f>
        <v>N/A</v>
      </c>
      <c r="AG33" s="122" t="str">
        <f>IFERROR(VLOOKUP($B33,'LOD 300 - ADMN'!$B:AW,48,FALSE),"N/A")</f>
        <v>N/A</v>
      </c>
      <c r="AH33" s="122" t="str">
        <f>IFERROR(VLOOKUP($B33,'LOD 300 - ADMN'!$B:AZ,51,FALSE),"N/A")</f>
        <v>N/A</v>
      </c>
      <c r="AI33" s="122" t="str">
        <f>IFERROR(VLOOKUP($B33,'LOD 300 - ADMN'!$B:BC,54,FALSE),"N/A")</f>
        <v>N/A</v>
      </c>
      <c r="AJ33" s="87" t="str">
        <f>IFERROR(VLOOKUP($B33,'LOD 300 - ADMN'!$B:BF,57,FALSE),"N/A")</f>
        <v>N/A</v>
      </c>
      <c r="AK33" s="87" t="str">
        <f>IFERROR(VLOOKUP($B33,'LOD 300 - ADMN'!$B:EP,60,FALSE),"N/A")</f>
        <v>N/A</v>
      </c>
      <c r="AL33" s="87" t="str">
        <f>IFERROR(VLOOKUP($B33,'LOD 300 - ADMN'!$B:EQ,63,FALSE),"N/A")</f>
        <v>N/A</v>
      </c>
      <c r="AM33" s="87" t="str">
        <f>IFERROR(VLOOKUP($B33,'LOD 300 - ADMN'!$B:BO,66,FALSE),"N/A")</f>
        <v>N/A</v>
      </c>
      <c r="AN33" s="87" t="str">
        <f>IFERROR(VLOOKUP($B33,'LOD 300 - ADMN'!$B:BR,69,FALSE),"N/A")</f>
        <v>N/A</v>
      </c>
      <c r="AO33" s="87" t="str">
        <f>IFERROR(VLOOKUP($B33,'LOD 300 - ADMN'!$B:BU,72,FALSE),"N/A")</f>
        <v>N/A</v>
      </c>
      <c r="AP33" s="87" t="str">
        <f>IFERROR(VLOOKUP($B33,'LOD 300 - ADMN'!$B:BX,75,FALSE),"N/A")</f>
        <v>N/A</v>
      </c>
      <c r="AQ33" s="87" t="str">
        <f>IFERROR(VLOOKUP($B33,'LOD 300 - ADMN'!$B:CA,78,FALSE),"N/A")</f>
        <v>N/A</v>
      </c>
      <c r="AR33" s="87" t="str">
        <f>IFERROR(VLOOKUP($B33,'LOD 300 - ADMN'!$B:CD,81,FALSE),"N/A")</f>
        <v>N/A</v>
      </c>
      <c r="AS33" s="87" t="str">
        <f>IFERROR(VLOOKUP($B33,'LOD 300 - ADMN'!$B:CG,84,FALSE),"N/A")</f>
        <v>N/A</v>
      </c>
      <c r="AT33" s="87" t="str">
        <f>IFERROR(VLOOKUP($B33,'LOD 300 - ADMN'!$B:CJ,87,FALSE),"N/A")</f>
        <v>N/A</v>
      </c>
      <c r="AU33" s="88" t="str">
        <f>IFERROR(VLOOKUP($B33,'LOD 300 - ADMN'!$B:CM,90,FALSE),"N/A")</f>
        <v>N/A</v>
      </c>
      <c r="AV33" s="88" t="str">
        <f>IFERROR(VLOOKUP($B33,'LOD 300 - ADMN'!$B:CP,93,FALSE),"N/A")</f>
        <v>N/A</v>
      </c>
      <c r="AW33" s="88" t="str">
        <f>IFERROR(VLOOKUP($B33,'LOD 300 - ADMN'!$B:CS,96,FALSE),"N/A")</f>
        <v>N/A</v>
      </c>
      <c r="AX33" s="88" t="str">
        <f>IFERROR(VLOOKUP($B33,'LOD 300 - ADMN'!$B:CV,99,FALSE),"N/A")</f>
        <v>N/A</v>
      </c>
      <c r="AY33" s="88" t="str">
        <f>IFERROR(VLOOKUP($B33,'LOD 300 - ADMN'!$B:CY,102,FALSE),"N/A")</f>
        <v>N/A</v>
      </c>
      <c r="AZ33" s="88" t="str">
        <f>IFERROR(VLOOKUP($B33,'LOD 300 - ADMN'!$B:DB,105,FALSE),"N/A")</f>
        <v>N/A</v>
      </c>
      <c r="BA33" s="87" t="str">
        <f>IFERROR(VLOOKUP($B33,'LOD 300 - ADMN'!$B:DE,108,FALSE),"N/A")</f>
        <v>N/A</v>
      </c>
      <c r="BB33" s="87" t="str">
        <f>IFERROR(VLOOKUP($B33,'LOD 300 - ADMN'!$B:DH,111,FALSE),"N/A")</f>
        <v>N/A</v>
      </c>
      <c r="BC33" s="87" t="str">
        <f>IFERROR(VLOOKUP($B33,'LOD 300 - ADMN'!$B:DK,114,FALSE),"N/A")</f>
        <v>N/A</v>
      </c>
      <c r="BD33" s="87" t="str">
        <f>IFERROR(VLOOKUP($B33,'LOD 300 - ADMN'!$B:DN,117,FALSE),"N/A")</f>
        <v>N/A</v>
      </c>
      <c r="BE33" s="87" t="str">
        <f>IFERROR(VLOOKUP($B33,'LOD 300 - ADMN'!$B:DQ,120,FALSE),"N/A")</f>
        <v>N/A</v>
      </c>
      <c r="BF33" s="87" t="str">
        <f>IFERROR(VLOOKUP($B33,'LOD 300 - ADMN'!$B:DT,123,FALSE),"N/A")</f>
        <v>N/A</v>
      </c>
      <c r="BG33" s="87" t="str">
        <f>IFERROR(VLOOKUP($B33,'LOD 300 - ADMN'!$B:DW,126,FALSE),"N/A")</f>
        <v>N/A</v>
      </c>
      <c r="BH33" s="87" t="str">
        <f>IFERROR(VLOOKUP($B33,'LOD 300 - ADMN'!$B:DZ,129,FALSE),"N/A")</f>
        <v>N/A</v>
      </c>
      <c r="BI33" s="87" t="str">
        <f>IFERROR(VLOOKUP($B33,'LOD 300 - ADMN'!$B:EC,132,FALSE),"N/A")</f>
        <v>N/A</v>
      </c>
      <c r="BJ33" s="90" t="str">
        <f>IFERROR(__xludf.DUMMYFUNCTION("IFERROR(
  MAX(FILTER(X33:BI33, ISNUMBER(X33:BI33))),
  BI33
)"),"N/A")</f>
        <v>N/A</v>
      </c>
      <c r="BK33" s="91" t="str">
        <f>IFERROR(VLOOKUP($B33,'LOD 300 - COLO1'!$B:S,18,FALSE),"N/A")</f>
        <v>N/A</v>
      </c>
      <c r="BL33" s="92" t="str">
        <f>IFERROR(VLOOKUP($B33,'LOD 300 - COLO1'!$B:V,21,FALSE),"N/A")</f>
        <v>N/A</v>
      </c>
      <c r="BM33" s="92" t="str">
        <f>IFERROR(VLOOKUP($B33,'LOD 300 - COLO1'!$B:Y,24,FALSE),"N/A")</f>
        <v>N/A</v>
      </c>
      <c r="BN33" s="92" t="str">
        <f>IFERROR(VLOOKUP($B33,'LOD 300 - COLO1'!$B:AB,27,FALSE),"N/A")</f>
        <v>N/A</v>
      </c>
      <c r="BO33" s="92" t="str">
        <f>IFERROR(VLOOKUP($B33,'LOD 300 - COLO1'!$B:AE,30,FALSE),"N/A")</f>
        <v>N/A</v>
      </c>
      <c r="BP33" s="92" t="str">
        <f>IFERROR(VLOOKUP($B33,'LOD 300 - COLO1'!$B:AH,33,FALSE),"N/A")</f>
        <v>N/A</v>
      </c>
      <c r="BQ33" s="92" t="str">
        <f>IFERROR(VLOOKUP($B33,'LOD 300 - COLO1'!$B:AK,36,FALSE),"N/A")</f>
        <v>N/A</v>
      </c>
      <c r="BR33" s="92" t="str">
        <f>IFERROR(VLOOKUP($B33,'LOD 300 - COLO1'!$B:AN,39,FALSE),"N/A")</f>
        <v>N/A</v>
      </c>
      <c r="BS33" s="92" t="str">
        <f>IFERROR(VLOOKUP($B33,'LOD 300 - COLO1'!$B:AQ,42,FALSE),"N/A")</f>
        <v>N/A</v>
      </c>
      <c r="BT33" s="92" t="str">
        <f>IFERROR(VLOOKUP($B33,'LOD 300 - COLO1'!$B:AT,45,FALSE),"N/A")</f>
        <v>N/A</v>
      </c>
      <c r="BU33" s="92" t="str">
        <f>IFERROR(VLOOKUP($B33,'LOD 300 - COLO1'!$B:AW,48,FALSE),"N/A")</f>
        <v>N/A</v>
      </c>
      <c r="BV33" s="92" t="str">
        <f>IFERROR(VLOOKUP($B33,'LOD 300 - COLO1'!$B:AZ,51,FALSE),"N/A")</f>
        <v>N/A</v>
      </c>
      <c r="BW33" s="92" t="str">
        <f>IFERROR(VLOOKUP($B33,'LOD 300 - COLO1'!$B:BC,54,FALSE),"N/A")</f>
        <v>N/A</v>
      </c>
      <c r="BX33" s="94" t="str">
        <f>IFERROR(VLOOKUP($B33,'LOD 300 - COLO1'!$B:BF,57,FALSE),"N/A")</f>
        <v>N/A</v>
      </c>
      <c r="BY33" s="94" t="str">
        <f>IFERROR(VLOOKUP($B33,'LOD 300 - COLO1'!$B:BI,60,FALSE),"N/A")</f>
        <v>N/A</v>
      </c>
      <c r="BZ33" s="95" t="str">
        <f>IFERROR(VLOOKUP($B33,'LOD 300 - COLO1'!$B:BL,63,FALSE),"N/A")</f>
        <v>N/A</v>
      </c>
      <c r="CA33" s="86" t="str">
        <f>IFERROR(VLOOKUP($B33,'LOD 300 - COLO1'!$B:BO,66,FALSE),"N/A")</f>
        <v>N/A</v>
      </c>
      <c r="CB33" s="86" t="str">
        <f>IFERROR(VLOOKUP($B33,'LOD 300 - COLO1'!$B:BR,69,FALSE),"N/A")</f>
        <v>N/A</v>
      </c>
      <c r="CC33" s="86" t="str">
        <f>IFERROR(VLOOKUP($B33,'LOD 300 - COLO1'!$B:BU,72,FALSE),"N/A")</f>
        <v>N/A</v>
      </c>
      <c r="CD33" s="86" t="str">
        <f>IFERROR(VLOOKUP($B33,'LOD 300 - COLO1'!$B:BX,75,FALSE),"N/A")</f>
        <v>N/A</v>
      </c>
      <c r="CE33" s="86" t="str">
        <f>IFERROR(VLOOKUP($B33,'LOD 300 - COLO1'!$B:CA,78,FALSE),"N/A")</f>
        <v>N/A</v>
      </c>
      <c r="CF33" s="87" t="str">
        <f>IFERROR(VLOOKUP($B33,'LOD 300 - COLO1'!$B:CD,81,FALSE),"N/A")</f>
        <v>N/A</v>
      </c>
      <c r="CG33" s="86" t="str">
        <f>IFERROR(VLOOKUP($B33,'LOD 300 - COLO1'!$B:CG,84,FALSE),"N/A")</f>
        <v>N/A</v>
      </c>
      <c r="CH33" s="87" t="str">
        <f>IFERROR(VLOOKUP($B33,'LOD 300 - COLO1'!$B:CJ,87,FALSE),"N/A")</f>
        <v>N/A</v>
      </c>
      <c r="CI33" s="88" t="str">
        <f>IFERROR(VLOOKUP($B33,'LOD 300 - COLO1'!$B:CM,90,FALSE),"N/A")</f>
        <v>N/A</v>
      </c>
      <c r="CJ33" s="88" t="str">
        <f>IFERROR(VLOOKUP($B33,'LOD 300 - COLO1'!$B:CP,93,FALSE),"N/A")</f>
        <v>N/A</v>
      </c>
      <c r="CK33" s="88" t="str">
        <f>IFERROR(VLOOKUP($B33,'LOD 300 - COLO1'!$B:CS,96,FALSE),"N/A")</f>
        <v>N/A</v>
      </c>
      <c r="CL33" s="88" t="str">
        <f>IFERROR(VLOOKUP($B33,'LOD 300 - COLO1'!$B:CV,99,FALSE),"N/A")</f>
        <v>N/A</v>
      </c>
      <c r="CM33" s="88" t="str">
        <f>IFERROR(VLOOKUP($B33,'LOD 300 - COLO1'!$B:CY,102,FALSE),"N/A")</f>
        <v>N/A</v>
      </c>
      <c r="CN33" s="89" t="str">
        <f>IFERROR(VLOOKUP($B33,'LOD 300 - COLO1'!$B:DB,105,FALSE),"N/A")</f>
        <v>N/A</v>
      </c>
      <c r="CO33" s="87" t="str">
        <f>IFERROR(VLOOKUP($B33,'LOD 300 - COLO1'!$B:EE,108,FALSE),"N/A")</f>
        <v>N/A</v>
      </c>
      <c r="CP33" s="87" t="str">
        <f>IFERROR(VLOOKUP($B33,'LOD 300 - COLO1'!$B:EH,111,FALSE),"N/A")</f>
        <v>N/A</v>
      </c>
      <c r="CQ33" s="87" t="str">
        <f>IFERROR(VLOOKUP($B33,'LOD 300 - COLO1'!$B:EK,114,FALSE),"N/A")</f>
        <v>N/A</v>
      </c>
      <c r="CR33" s="87" t="str">
        <f>IFERROR(VLOOKUP($B33,'LOD 300 - COLO1'!$B:EN,117,FALSE),"N/A")</f>
        <v>N/A</v>
      </c>
      <c r="CS33" s="87" t="str">
        <f>IFERROR(VLOOKUP($B33,'LOD 300 - COLO1'!$B:EQ,120,FALSE),"N/A")</f>
        <v>N/A</v>
      </c>
      <c r="CT33" s="87" t="str">
        <f>IFERROR(VLOOKUP($B33,'LOD 300 - COLO1'!$B:ET,123,FALSE),"N/A")</f>
        <v>N/A</v>
      </c>
      <c r="CU33" s="87" t="str">
        <f>IFERROR(VLOOKUP($B33,'LOD 300 - COLO1'!$B:EW,126,FALSE),"N/A")</f>
        <v>N/A</v>
      </c>
      <c r="CV33" s="87" t="str">
        <f>IFERROR(VLOOKUP($B33,'LOD 300 - COLO1'!$B:EZ,129,FALSE),"N/A")</f>
        <v>N/A</v>
      </c>
      <c r="CW33" s="87" t="str">
        <f>IFERROR(VLOOKUP($B33,'LOD 300 - COLO1'!$B:FC,132,FALSE),"N/A")</f>
        <v>N/A</v>
      </c>
      <c r="CX33" s="96" t="str">
        <f>IFERROR(__xludf.DUMMYFUNCTION("IFERROR(
  MAX(FILTER(BK33:CW33, ISNUMBER(BK33:CW33))),
  CW33
)"),"N/A")</f>
        <v>N/A</v>
      </c>
      <c r="CY33" s="104" t="str">
        <f>IFERROR(VLOOKUP($B33,'LOD 300 - COLO2'!$B:S,18,FALSE),"N/A")</f>
        <v>N/A</v>
      </c>
      <c r="CZ33" s="117" t="str">
        <f>IFERROR(VLOOKUP($B33,'LOD 300 - COLO2'!$B:V,21,FALSE),"N/A")</f>
        <v>N/A</v>
      </c>
      <c r="DA33" s="117" t="str">
        <f>IFERROR(VLOOKUP($B33,'LOD 300 - COLO2'!$B:Y,24,FALSE),"N/A")</f>
        <v>N/A</v>
      </c>
      <c r="DB33" s="117" t="str">
        <f>IFERROR(VLOOKUP($B33,'LOD 300 - COLO2'!$B:AB,27,FALSE),"N/A")</f>
        <v>N/A</v>
      </c>
      <c r="DC33" s="92" t="str">
        <f>IFERROR(VLOOKUP($B33,'LOD 300 - COLO2'!$B:AE,30,FALSE),"N/A")</f>
        <v>N/A</v>
      </c>
      <c r="DD33" s="120" t="str">
        <f>IFERROR(VLOOKUP($B33,'LOD 300 - COLO2'!$B:AH,33,FALSE),"N/A")</f>
        <v>N/A</v>
      </c>
      <c r="DE33" s="117" t="str">
        <f>IFERROR(VLOOKUP($B33,'LOD 300 - COLO2'!$B:AK,36,FALSE),"N/A")</f>
        <v>N/A</v>
      </c>
      <c r="DF33" s="117" t="str">
        <f>IFERROR(VLOOKUP($B33,'LOD 300 - COLO2'!$B:AN,39,FALSE),"N/A")</f>
        <v>N/A</v>
      </c>
      <c r="DG33" s="119" t="str">
        <f>IFERROR(VLOOKUP($B33,'LOD 300 - COLO2'!$B:AQ,42,FALSE),"N/A")</f>
        <v>N/A</v>
      </c>
      <c r="DH33" s="87" t="str">
        <f>IFERROR(VLOOKUP($B33,'LOD 300 - COLO2'!$B:AT,45,FALSE),"N/A")</f>
        <v>N/A</v>
      </c>
      <c r="DI33" s="94" t="str">
        <f>IFERROR(VLOOKUP($B33,'LOD 300 - COLO2'!$B:AW,48,FALSE),"N/A")</f>
        <v>N/A</v>
      </c>
      <c r="DJ33" s="95" t="str">
        <f>IFERROR(VLOOKUP($B33,'LOD 300 - COLO2'!$B:AZ,51,FALSE),"N/A")</f>
        <v>N/A</v>
      </c>
      <c r="DK33" s="86" t="str">
        <f>IFERROR(VLOOKUP($B33,'LOD 300 - COLO2'!$B:BC,54,FALSE),"N/A")</f>
        <v>N/A</v>
      </c>
      <c r="DL33" s="86" t="str">
        <f>IFERROR(VLOOKUP($B33,'LOD 300 - COLO2'!$B:BF,57,FALSE),"N/A")</f>
        <v>N/A</v>
      </c>
      <c r="DM33" s="86" t="str">
        <f>IFERROR(VLOOKUP($B33,'LOD 300 - COLO2'!$B:BI,60,FALSE),"N/A")</f>
        <v>N/A</v>
      </c>
      <c r="DN33" s="86" t="str">
        <f>IFERROR(VLOOKUP($B33,'LOD 300 - COLO2'!$B:BL,63,FALSE),"N/A")</f>
        <v>N/A</v>
      </c>
      <c r="DO33" s="86" t="str">
        <f>IFERROR(VLOOKUP($B33,'LOD 300 - COLO2'!$B:BO,66,FALSE),"N/A")</f>
        <v>N/A</v>
      </c>
      <c r="DP33" s="87" t="str">
        <f>IFERROR(VLOOKUP($B33,'LOD 300 - COLO2'!$B:BR,69,FALSE),"N/A")</f>
        <v>N/A</v>
      </c>
      <c r="DQ33" s="87" t="str">
        <f>IFERROR(VLOOKUP($B33,'LOD 300 - COLO2'!$B:BU,72,FALSE),"N/A")</f>
        <v>N/A</v>
      </c>
      <c r="DR33" s="87" t="str">
        <f>IFERROR(VLOOKUP($B33,'LOD 300 - COLO2'!$B:BX,75,FALSE),"N/A")</f>
        <v>N/A</v>
      </c>
      <c r="DS33" s="98" t="str">
        <f>IFERROR(VLOOKUP($B33,'LOD 300 - COLO2'!$B:CA,78,FALSE),"N/A")</f>
        <v>N/A</v>
      </c>
      <c r="DT33" s="98" t="str">
        <f>IFERROR(VLOOKUP($B33,'LOD 300 - COLO2'!$B:CD,81,FALSE),"N/A")</f>
        <v>N/A</v>
      </c>
      <c r="DU33" s="98" t="str">
        <f>IFERROR(VLOOKUP($B33,'LOD 300 - COLO2'!$B:CG,84,FALSE),"N/A")</f>
        <v>N/A</v>
      </c>
      <c r="DV33" s="98" t="str">
        <f>IFERROR(VLOOKUP($B33,'LOD 300 - COLO2'!$B:CJ,87,FALSE),"N/A")</f>
        <v>N/A</v>
      </c>
      <c r="DW33" s="98" t="str">
        <f>IFERROR(VLOOKUP($B33,'LOD 300 - COLO2'!$B:CM,90,FALSE),"N/A")</f>
        <v>N/A</v>
      </c>
      <c r="DX33" s="98" t="str">
        <f>IFERROR(VLOOKUP($B33,'LOD 300 - COLO2'!$B:CP,93,FALSE),"N/A")</f>
        <v>N/A</v>
      </c>
      <c r="DY33" s="87" t="str">
        <f>IFERROR(VLOOKUP($B33,'LOD 300 - COLO2'!$B:CS,96,FALSE),"N/A")</f>
        <v>N/A</v>
      </c>
      <c r="DZ33" s="87" t="str">
        <f>IFERROR(VLOOKUP($B33,'LOD 300 - COLO2'!$B:CV,99,FALSE),"N/A")</f>
        <v>N/A</v>
      </c>
      <c r="EA33" s="87" t="str">
        <f>IFERROR(VLOOKUP($B33,'LOD 300 - COLO2'!$B:DB,105,FALSE),"N/A")</f>
        <v>N/A</v>
      </c>
      <c r="EB33" s="87" t="str">
        <f>IFERROR(VLOOKUP($B33,'LOD 300 - COLO2'!$B:DB,105,FALSE),"N/A")</f>
        <v>N/A</v>
      </c>
      <c r="EC33" s="87" t="str">
        <f>IFERROR(VLOOKUP($B33,'LOD 300 - COLO2'!$B:DE,108,FALSE),"N/A")</f>
        <v>N/A</v>
      </c>
      <c r="ED33" s="87" t="str">
        <f>IFERROR(VLOOKUP($B33,'LOD 300 - COLO2'!$B:DH,111,FALSE),"N/A")</f>
        <v>N/A</v>
      </c>
      <c r="EE33" s="87" t="str">
        <f>IFERROR(VLOOKUP($B33,'LOD 300 - COLO2'!$B:DK,114,FALSE),"N/A")</f>
        <v>N/A</v>
      </c>
      <c r="EF33" s="87" t="str">
        <f>IFERROR(VLOOKUP($B33,'LOD 300 - COLO2'!$B:DN,117,FALSE),"N/A")</f>
        <v>N/A</v>
      </c>
      <c r="EG33" s="87" t="str">
        <f>IFERROR(VLOOKUP($B33,'LOD 300 - COLO2'!$B:DQ,120,FALSE),"N/A")</f>
        <v>N/A</v>
      </c>
      <c r="EH33" s="99" t="str">
        <f>IFERROR(__xludf.DUMMYFUNCTION("IFERROR(
  MAX(FILTER(CZ33:EG33, ISNUMBER(CZ33:EG33))),
  EG33
)"),"N/A")</f>
        <v>N/A</v>
      </c>
      <c r="EI33" s="100" t="str">
        <f>IFERROR(VLOOKUP($B33,'LOD 300 - COLO3'!$B:R,17,FALSE),"N/A")</f>
        <v>N/A</v>
      </c>
      <c r="EJ33" s="127" t="str">
        <f>IFERROR(VLOOKUP($B33,'LOD 300 - COLO3'!$B:U,20,FALSE),"N/A")</f>
        <v>N/A</v>
      </c>
      <c r="EK33" s="127" t="str">
        <f>IFERROR(VLOOKUP($B33,'LOD 300 - COLO3'!$B:X,23,FALSE),"N/A")</f>
        <v>N/A</v>
      </c>
      <c r="EL33" s="127" t="str">
        <f>IFERROR(VLOOKUP($B33,'LOD 300 - COLO3'!$B:AA,26,FALSE),"N/A")</f>
        <v>N/A</v>
      </c>
      <c r="EM33" s="127" t="str">
        <f>IFERROR(VLOOKUP($B33,'LOD 300 - COLO3'!$B:AD,29,FALSE),"N/A")</f>
        <v>N/A</v>
      </c>
      <c r="EN33" s="127" t="str">
        <f>IFERROR(VLOOKUP($B33,'LOD 300 - COLO3'!$B:AG,32,FALSE),"N/A")</f>
        <v>N/A</v>
      </c>
      <c r="EO33" s="127" t="str">
        <f>IFERROR(VLOOKUP($B33,'LOD 300 - COLO3'!$B:AJ,35,FALSE),"N/A")</f>
        <v>N/A</v>
      </c>
      <c r="EP33" s="100" t="str">
        <f>IFERROR(VLOOKUP($B33,'LOD 300 - COLO3'!$B:AM,38,FALSE),"N/A")</f>
        <v>N/A</v>
      </c>
      <c r="EQ33" s="100" t="str">
        <f>IFERROR(VLOOKUP($B33,'LOD 300 - COLO3'!$B:AP,41,FALSE),"N/A")</f>
        <v>N/A</v>
      </c>
      <c r="ER33" s="100" t="str">
        <f>IFERROR(VLOOKUP($B33,'LOD 300 - COLO3'!$B:AS,44,FALSE),"N/A")</f>
        <v>N/A</v>
      </c>
      <c r="ES33" s="100" t="str">
        <f>IFERROR(VLOOKUP($B33,'LOD 300 - COLO3'!$B:AV,47,FALSE),"N/A")</f>
        <v>N/A</v>
      </c>
      <c r="ET33" s="100" t="str">
        <f>IFERROR(VLOOKUP($B33,'LOD 300 - COLO3'!$B:AY,50,FALSE),"N/A")</f>
        <v>N/A</v>
      </c>
      <c r="EU33" s="100" t="str">
        <f>IFERROR(VLOOKUP($B33,'LOD 300 - COLO3'!$B:BB,53,FALSE),"N/A")</f>
        <v>N/A</v>
      </c>
      <c r="EV33" s="100" t="str">
        <f>IFERROR(VLOOKUP($B33,'LOD 300 - COLO3'!$B:BE,56,FALSE),"N/A")</f>
        <v>N/A</v>
      </c>
      <c r="EW33" s="100" t="str">
        <f>IFERROR(VLOOKUP($B33,'LOD 300 - COLO3'!$B:BL,59,FALSE),"N/A")</f>
        <v>N/A</v>
      </c>
      <c r="EX33" s="100" t="str">
        <f>IFERROR(VLOOKUP($B33,'LOD 300 - COLO3'!$B:BO,62,FALSE),"N/A")</f>
        <v>N/A</v>
      </c>
      <c r="EY33" s="103" t="str">
        <f>IFERROR(__xludf.DUMMYFUNCTION("IFERROR(
  MAX(FILTER(EI33:EX33, ISNUMBER(EI33:EX33))),
  EX33
)"),"N/A")</f>
        <v>N/A</v>
      </c>
      <c r="EZ33" s="104" t="str">
        <f>IFERROR(VLOOKUP($B33,'LOD 300 - COLO4'!$B:BT,17,FALSE),"N/A")</f>
        <v>N/A</v>
      </c>
      <c r="FA33" s="103" t="str">
        <f>IFERROR(__xludf.DUMMYFUNCTION("IFERROR(
  MAX(FILTER(EZ33, ISNUMBER(EZ33))),
  EZ33
)"),"N/A")</f>
        <v>N/A</v>
      </c>
      <c r="FB33" s="121">
        <f>IFERROR(VLOOKUP($B33,'LOD 300 - SITE'!$B:S,18,FALSE),"N/A")</f>
        <v>0.69</v>
      </c>
      <c r="FC33" s="122">
        <f>IFERROR(VLOOKUP($B33,'LOD 300 - SITE'!$B:V,21,FALSE),"N/A")</f>
        <v>1</v>
      </c>
      <c r="FD33" s="122">
        <f>IFERROR(VLOOKUP($B33,'LOD 300 - SITE'!$B:Y,24,FALSE),"N/A")</f>
        <v>1</v>
      </c>
      <c r="FE33" s="122">
        <f>IFERROR(VLOOKUP($B33,'LOD 300 - SITE'!$B:AB,27,FALSE),"N/A")</f>
        <v>1</v>
      </c>
      <c r="FF33" s="122">
        <f>IFERROR(VLOOKUP($B33,'LOD 300 - SITE'!$B:AE,30,FALSE),"N/A")</f>
        <v>1</v>
      </c>
      <c r="FG33" s="122">
        <f>IFERROR(VLOOKUP($B33,'LOD 300 - SITE'!$B:AH,33,FALSE),"N/A")</f>
        <v>1</v>
      </c>
      <c r="FH33" s="122">
        <f>IFERROR(VLOOKUP($B33,'LOD 300 - SITE'!$B:AK,36,FALSE),"N/A")</f>
        <v>1</v>
      </c>
      <c r="FI33" s="122">
        <f>IFERROR(VLOOKUP($B33,'LOD 300 - SITE'!$B:AN,39,FALSE),"N/A")</f>
        <v>1</v>
      </c>
      <c r="FJ33" s="122">
        <f>IFERROR(VLOOKUP($B33,'LOD 300 - SITE'!$B:AQ,42,FALSE),"N/A")</f>
        <v>1</v>
      </c>
      <c r="FK33" s="122">
        <f>IFERROR(VLOOKUP($B33,'LOD 300 - SITE'!$B:AT,45,FALSE),"N/A")</f>
        <v>1</v>
      </c>
      <c r="FL33" s="123">
        <f>IFERROR(VLOOKUP($B33,'LOD 300 - SITE'!$B:AW,48,FALSE),"N/A")</f>
        <v>1</v>
      </c>
      <c r="FM33" s="87">
        <f>IFERROR(VLOOKUP($B33,'LOD 300 - SITE'!$B:AZ,51,FALSE),"N/A")</f>
        <v>1</v>
      </c>
      <c r="FN33" s="94">
        <f>IFERROR(VLOOKUP($B33,'LOD 300 - SITE'!$B:BC,54,FALSE),"N/A")</f>
        <v>1</v>
      </c>
      <c r="FO33" s="95">
        <f>IFERROR(VLOOKUP($B33,'LOD 300 - SITE'!$B:BF,57,FALSE),"N/A")</f>
        <v>1</v>
      </c>
      <c r="FP33" s="86">
        <f>IFERROR(VLOOKUP($B33,'LOD 300 - SITE'!$B:BI,60,FALSE),"N/A")</f>
        <v>1</v>
      </c>
      <c r="FQ33" s="86">
        <f>IFERROR(VLOOKUP($B33,'LOD 300 - SITE'!$B:BL,63,FALSE),"N/A")</f>
        <v>1</v>
      </c>
      <c r="FR33" s="86">
        <f>IFERROR(VLOOKUP($B33,'LOD 300 - SITE'!$B:BO,66,FALSE),"N/A")</f>
        <v>1</v>
      </c>
      <c r="FS33" s="86">
        <f>IFERROR(VLOOKUP($B33,'LOD 300 - SITE'!$B:BR,69,FALSE),"N/A")</f>
        <v>1</v>
      </c>
      <c r="FT33" s="86">
        <f>IFERROR(VLOOKUP($B33,'LOD 300 - SITE'!$B:BU,72,FALSE),"N/A")</f>
        <v>1</v>
      </c>
      <c r="FU33" s="86">
        <f>IFERROR(VLOOKUP($B33,'LOD 300 - SITE'!$B:BX,75,FALSE),"N/A")</f>
        <v>1</v>
      </c>
      <c r="FV33" s="86">
        <f>IFERROR(VLOOKUP($B33,'LOD 300 - SITE'!$B:CA,78,FALSE),"N/A")</f>
        <v>1</v>
      </c>
      <c r="FW33" s="87">
        <f>IFERROR(VLOOKUP($B33,'LOD 300 - SITE'!$B:CD,81,FALSE),"N/A")</f>
        <v>1</v>
      </c>
      <c r="FX33" s="108">
        <f>IFERROR(VLOOKUP($B33,'LOD 300 - SITE'!$B:CG,84,FALSE),"N/A")</f>
        <v>1</v>
      </c>
      <c r="FY33" s="108">
        <f>IFERROR(VLOOKUP($B33,'LOD 300 - SITE'!$B:CJ,87,FALSE),"N/A")</f>
        <v>1</v>
      </c>
      <c r="FZ33" s="108">
        <f>IFERROR(VLOOKUP($B33,'LOD 300 - SITE'!$B:CM,90,FALSE),"N/A")</f>
        <v>1</v>
      </c>
      <c r="GA33" s="108">
        <f>IFERROR(VLOOKUP($B33,'LOD 300 - SITE'!$B:CP,93,FALSE),"N/A")</f>
        <v>1</v>
      </c>
      <c r="GB33" s="108">
        <f>IFERROR(VLOOKUP($B33,'LOD 300 - SITE'!$B:CS,96,FALSE),"N/A")</f>
        <v>1</v>
      </c>
      <c r="GC33" s="109">
        <f>IFERROR(VLOOKUP($B33,'LOD 300 - SITE'!$B:CV,99,FALSE),"N/A")</f>
        <v>1</v>
      </c>
      <c r="GD33" s="87">
        <f>IFERROR(VLOOKUP($B33,'LOD 300 - SITE'!$B:CY,102,FALSE),"N/A")</f>
        <v>1</v>
      </c>
      <c r="GE33" s="87">
        <f>IFERROR(VLOOKUP($B33,'LOD 300 - SITE'!$B:DB,105,FALSE),"N/A")</f>
        <v>1</v>
      </c>
      <c r="GF33" s="87">
        <f>IFERROR(VLOOKUP($B33,'LOD 300 - SITE'!$B:DE,108,FALSE),"N/A")</f>
        <v>1</v>
      </c>
      <c r="GG33" s="87">
        <f>IFERROR(VLOOKUP($B33,'LOD 300 - SITE'!$B:DH,111,FALSE),"N/A")</f>
        <v>1</v>
      </c>
      <c r="GH33" s="87">
        <f>IFERROR(VLOOKUP($B33,'LOD 300 - SITE'!$B:DK,114,FALSE),"N/A")</f>
        <v>1</v>
      </c>
      <c r="GI33" s="87">
        <f>IFERROR(VLOOKUP($B33,'LOD 300 - SITE'!$B:DN,117,FALSE),"N/A")</f>
        <v>1</v>
      </c>
      <c r="GJ33" s="87">
        <f>IFERROR(VLOOKUP($B33,'LOD 300 - SITE'!$B:DQ,120,FALSE),"N/A")</f>
        <v>1</v>
      </c>
      <c r="GK33" s="87">
        <f>IFERROR(VLOOKUP($B33,'LOD 300 - SITE'!$B:DT,123,FALSE),"N/A")</f>
        <v>1</v>
      </c>
      <c r="GL33" s="87">
        <f>IFERROR(VLOOKUP($B33,'LOD 300 - SITE'!$B:DW,126,FALSE),"N/A")</f>
        <v>1</v>
      </c>
      <c r="GM33" s="110">
        <f>IFERROR(__xludf.DUMMYFUNCTION("IFERROR(
  MAX(FILTER(FB33:GL33, ISNUMBER(FB33:GL33))),
  GL33
)"),1.0)</f>
        <v>1</v>
      </c>
      <c r="GN33" s="135"/>
      <c r="GO33" s="135"/>
      <c r="GP33" s="135"/>
    </row>
    <row r="34" ht="15.0" hidden="1" customHeight="1">
      <c r="A34" s="60">
        <v>37.0</v>
      </c>
      <c r="B34" s="187" t="s">
        <v>173</v>
      </c>
      <c r="C34" s="188"/>
      <c r="D34" s="189"/>
      <c r="E34" s="189"/>
      <c r="F34" s="13"/>
      <c r="G34" s="189"/>
      <c r="H34" s="190"/>
      <c r="I34" s="191"/>
      <c r="J34" s="191"/>
      <c r="K34" s="189"/>
      <c r="L34" s="189"/>
      <c r="M34" s="192"/>
      <c r="N34" s="192"/>
      <c r="O34" s="192"/>
      <c r="P34" s="193"/>
      <c r="Q34" s="192"/>
      <c r="R34" s="192"/>
      <c r="S34" s="79" t="str">
        <f>IF(OR($D34="C345",$D34="C12A",$D34="DATA"),
   VLOOKUP($B34,'LOD 300 - COLO4'!B:S,14,FALSE),"N/A")</f>
        <v>N/A</v>
      </c>
      <c r="T34" s="76" t="str">
        <f>IF(OR($D34="C345",$D34="C12A",$D34="DATA"),
   VLOOKUP($B34,'LOD 300 - COLO3'!B:T,13,FALSE),"N/A")</f>
        <v>N/A</v>
      </c>
      <c r="U34" s="192"/>
      <c r="V34" s="189"/>
      <c r="W34" s="194"/>
      <c r="X34" s="195"/>
      <c r="Y34" s="195"/>
      <c r="Z34" s="195"/>
      <c r="AA34" s="195"/>
      <c r="AB34" s="195"/>
      <c r="AC34" s="195"/>
      <c r="AD34" s="195"/>
      <c r="AE34" s="195"/>
      <c r="AF34" s="195"/>
      <c r="AG34" s="195"/>
      <c r="AH34" s="195"/>
      <c r="AI34" s="195"/>
      <c r="AJ34" s="196"/>
      <c r="AK34" s="196"/>
      <c r="AL34" s="197"/>
      <c r="AM34" s="196"/>
      <c r="AN34" s="196"/>
      <c r="AO34" s="196"/>
      <c r="AP34" s="196"/>
      <c r="AQ34" s="196"/>
      <c r="AR34" s="196"/>
      <c r="AS34" s="196"/>
      <c r="AT34" s="196"/>
      <c r="AU34" s="196"/>
      <c r="AV34" s="197"/>
      <c r="AW34" s="197"/>
      <c r="AX34" s="197"/>
      <c r="AY34" s="197"/>
      <c r="AZ34" s="197"/>
      <c r="BA34" s="196"/>
      <c r="BB34" s="197"/>
      <c r="BC34" s="198"/>
      <c r="BD34" s="198"/>
      <c r="BE34" s="198"/>
      <c r="BF34" s="198"/>
      <c r="BG34" s="198"/>
      <c r="BH34" s="198"/>
      <c r="BI34" s="198"/>
      <c r="BJ34" s="199"/>
      <c r="BK34" s="200"/>
      <c r="BL34" s="200"/>
      <c r="BM34" s="200"/>
      <c r="BN34" s="200"/>
      <c r="BO34" s="200"/>
      <c r="BP34" s="200"/>
      <c r="BQ34" s="200"/>
      <c r="BR34" s="200"/>
      <c r="BS34" s="200"/>
      <c r="BT34" s="200"/>
      <c r="BU34" s="200"/>
      <c r="BV34" s="200"/>
      <c r="BW34" s="200"/>
      <c r="BX34" s="201"/>
      <c r="BY34" s="201"/>
      <c r="BZ34" s="202"/>
      <c r="CA34" s="203"/>
      <c r="CB34" s="203"/>
      <c r="CC34" s="203"/>
      <c r="CD34" s="203"/>
      <c r="CE34" s="203"/>
      <c r="CF34" s="196"/>
      <c r="CG34" s="202"/>
      <c r="CH34" s="196"/>
      <c r="CI34" s="196"/>
      <c r="CJ34" s="202"/>
      <c r="CK34" s="202"/>
      <c r="CL34" s="202"/>
      <c r="CM34" s="202"/>
      <c r="CN34" s="202"/>
      <c r="CO34" s="196"/>
      <c r="CP34" s="204"/>
      <c r="CQ34" s="202"/>
      <c r="CR34" s="202"/>
      <c r="CS34" s="202"/>
      <c r="CT34" s="202"/>
      <c r="CU34" s="202"/>
      <c r="CV34" s="202"/>
      <c r="CW34" s="202"/>
      <c r="CX34" s="199"/>
      <c r="CY34" s="205"/>
      <c r="CZ34" s="206"/>
      <c r="DA34" s="206"/>
      <c r="DB34" s="206"/>
      <c r="DC34" s="207"/>
      <c r="DD34" s="208"/>
      <c r="DE34" s="205"/>
      <c r="DF34" s="205"/>
      <c r="DG34" s="209"/>
      <c r="DH34" s="196"/>
      <c r="DI34" s="201"/>
      <c r="DJ34" s="202"/>
      <c r="DK34" s="203"/>
      <c r="DL34" s="203"/>
      <c r="DM34" s="203"/>
      <c r="DN34" s="203"/>
      <c r="DO34" s="203"/>
      <c r="DP34" s="196"/>
      <c r="DQ34" s="196"/>
      <c r="DR34" s="196"/>
      <c r="DS34" s="210"/>
      <c r="DT34" s="211"/>
      <c r="DU34" s="211"/>
      <c r="DV34" s="211"/>
      <c r="DW34" s="211"/>
      <c r="DX34" s="211"/>
      <c r="DY34" s="196"/>
      <c r="DZ34" s="197"/>
      <c r="EA34" s="198"/>
      <c r="EB34" s="198"/>
      <c r="EC34" s="198"/>
      <c r="ED34" s="198"/>
      <c r="EE34" s="198"/>
      <c r="EF34" s="198"/>
      <c r="EG34" s="198"/>
      <c r="EH34" s="198"/>
      <c r="EI34" s="196"/>
      <c r="EJ34" s="196"/>
      <c r="EK34" s="196"/>
      <c r="EL34" s="196"/>
      <c r="EM34" s="196"/>
      <c r="EN34" s="196"/>
      <c r="EO34" s="196"/>
      <c r="EP34" s="196"/>
      <c r="EQ34" s="196"/>
      <c r="ER34" s="203"/>
      <c r="ES34" s="203"/>
      <c r="ET34" s="203"/>
      <c r="EU34" s="203"/>
      <c r="EV34" s="203"/>
      <c r="EW34" s="203"/>
      <c r="EX34" s="203"/>
      <c r="EY34" s="203"/>
      <c r="EZ34" s="212"/>
      <c r="FA34" s="212"/>
      <c r="FB34" s="195"/>
      <c r="FC34" s="195"/>
      <c r="FD34" s="195"/>
      <c r="FE34" s="195"/>
      <c r="FF34" s="195"/>
      <c r="FG34" s="195"/>
      <c r="FH34" s="195"/>
      <c r="FI34" s="195"/>
      <c r="FJ34" s="195"/>
      <c r="FK34" s="195"/>
      <c r="FL34" s="213"/>
      <c r="FM34" s="196"/>
      <c r="FN34" s="201"/>
      <c r="FO34" s="202"/>
      <c r="FP34" s="203"/>
      <c r="FQ34" s="203"/>
      <c r="FR34" s="203"/>
      <c r="FS34" s="203"/>
      <c r="FT34" s="203"/>
      <c r="FU34" s="203"/>
      <c r="FV34" s="203"/>
      <c r="FW34" s="196"/>
      <c r="FX34" s="201"/>
      <c r="FY34" s="202"/>
      <c r="FZ34" s="202"/>
      <c r="GA34" s="202"/>
      <c r="GB34" s="202"/>
      <c r="GC34" s="202"/>
      <c r="GD34" s="196"/>
      <c r="GE34" s="204"/>
      <c r="GF34" s="202"/>
      <c r="GG34" s="202"/>
      <c r="GH34" s="202"/>
      <c r="GI34" s="202"/>
      <c r="GJ34" s="202"/>
      <c r="GK34" s="202"/>
      <c r="GL34" s="202"/>
      <c r="GM34" s="214"/>
      <c r="GN34" s="215"/>
      <c r="GO34" s="215"/>
      <c r="GP34" s="215"/>
    </row>
    <row r="35" ht="15.0" customHeight="1" outlineLevel="1">
      <c r="A35" s="60">
        <v>38.0</v>
      </c>
      <c r="B35" s="140" t="s">
        <v>174</v>
      </c>
      <c r="C35" s="70" t="s">
        <v>175</v>
      </c>
      <c r="D35" s="71" t="s">
        <v>85</v>
      </c>
      <c r="E35" s="146" t="s">
        <v>176</v>
      </c>
      <c r="F35" s="13">
        <v>1113.0</v>
      </c>
      <c r="G35" s="139" t="s">
        <v>176</v>
      </c>
      <c r="H35" s="139">
        <v>1113.0</v>
      </c>
      <c r="I35" s="74" t="str">
        <f>IFERROR(VLOOKUP(C32:C174,'R22 RELATÓRIO ACC'!B:F,5,FALSE),"NOT PUBLISHED")</f>
        <v>V28</v>
      </c>
      <c r="J35" s="74" t="str">
        <f>IFERROR(VLOOKUP(C32:C174,'R22 RELATÓRIO ACC'!B:P,15,FALSE),"NOT PUBLISHED")</f>
        <v>16/04/2026</v>
      </c>
      <c r="K35" s="141" t="str">
        <f>IFERROR(VLOOKUP(B32:B223,'RELATÓRIO ACC'!B:F,5,FALSE),"NOT PUBLISHED")</f>
        <v>V4</v>
      </c>
      <c r="L35" s="142" t="str">
        <f>IFERROR(VLOOKUP(B32:B223,'RELATÓRIO ACC'!B:P,15,FALSE),"NOT PUBLISHED")</f>
        <v>26/06/2026</v>
      </c>
      <c r="M35" s="76" t="str">
        <f>IF(OR($D35="UTLS",$D35="GUAR",$D35="STIR",$D35="PUMP",$D35="SITE"),
   VLOOKUP($B35,'LOD 300 - SITE'!B:M,12,FALSE),
   VLOOKUP($B35,'LOD 300 - ADMN'!B:M,12,FALSE)
)</f>
        <v>V19</v>
      </c>
      <c r="N35" s="77" t="str">
        <f>IF(OR($D35="UTLS",$D35="GUAR",$D35="STIR",$D35="PUMP",$D35="SITE"),
   VLOOKUP($B35,'LOD 300 - SITE'!B:N,13,FALSE),
   VLOOKUP($B35,'LOD 300 - ADMN'!B:N,13,FALSE)
)</f>
        <v>01/10/2025</v>
      </c>
      <c r="O35" s="78" t="str">
        <f>IF(OR($D35="UTLS",$D35="GUAR",$D35="STIR",$D35="PUMP",$D35="SITE"),
   VLOOKUP($B35,'LOD 300 - SITE'!B:O,14,FALSE),
   VLOOKUP($B35,'LOD 300 - ADMN'!B:O,14,FALSE)
)</f>
        <v>R22</v>
      </c>
      <c r="P35" s="79" t="str">
        <f>IF(OR($D35="C345",$D35="C12A",$D35="DATA"),
   VLOOKUP($B35,'LOD 300 - COLO3'!B:M,12,FALSE),"N/A")</f>
        <v>V28</v>
      </c>
      <c r="Q35" s="77" t="str">
        <f>IF(OR($D35="C345",$D35="C12A",$D35="DATA"),
   VLOOKUP($B35,'LOD 300 - COLO3'!B:N,13,FALSE),"N/A")</f>
        <v>16/04/2026</v>
      </c>
      <c r="R35" s="76" t="str">
        <f>IF(OR($D35="C345",$D35="C12A",$D35="DATA"),
   VLOOKUP($B35,'LOD 300 - COLO3'!B:O,14,FALSE),"N/A")</f>
        <v>R22</v>
      </c>
      <c r="S35" s="79" t="str">
        <f>IF(OR($D35="C345",$D35="C12A",$D35="DATA"),
   VLOOKUP($B35,'LOD 300 - COLO4'!B:M,12,FALSE),"N/A")</f>
        <v>N/A</v>
      </c>
      <c r="T35" s="76" t="str">
        <f>IF(OR($D35="C345",$D35="C12A",$D35="DATA"),
   VLOOKUP($B35,'LOD 300 - COLO4'!B:T,13,FALSE),"N/A")</f>
        <v>N/A</v>
      </c>
      <c r="U35" s="81">
        <f>IF(OR($D35="C345",$D35="C12A",$D35="DATA"),
   VLOOKUP($B35,'LOD 300 - COLO4'!B:U,17,FALSE),"N/A")</f>
        <v>0</v>
      </c>
      <c r="V35" s="126" t="s">
        <v>129</v>
      </c>
      <c r="W35" s="144">
        <f>IFERROR(VLOOKUP($B35,'LOD 300 - ADMN'!$B:S,18,FALSE),"N/A")</f>
        <v>0.41</v>
      </c>
      <c r="X35" s="122">
        <f>IFERROR(VLOOKUP($B35,'LOD 300 - ADMN'!$B:V,21,FALSE),"N/A")</f>
        <v>0.41</v>
      </c>
      <c r="Y35" s="122">
        <f>IFERROR(VLOOKUP($B35,'LOD 300 - ADMN'!$B:Y,24,FALSE),"N/A")</f>
        <v>0.43</v>
      </c>
      <c r="Z35" s="122">
        <f>IFERROR(VLOOKUP($B35,'LOD 300 - ADMN'!$B:AB,27,FALSE),"N/A")</f>
        <v>0.88</v>
      </c>
      <c r="AA35" s="122" t="str">
        <f>IFERROR(VLOOKUP($B35,'LOD 300 - ADMN'!$B:AE,30,FALSE),"N/A")</f>
        <v>OUTDATED MODEL</v>
      </c>
      <c r="AB35" s="145">
        <f>IFERROR(VLOOKUP($B35,'LOD 300 - ADMN'!$B:AH,33,FALSE),"N/A")</f>
        <v>0.93</v>
      </c>
      <c r="AC35" s="145" t="str">
        <f>IFERROR(VLOOKUP($B35,'LOD 300 - ADMN'!$B:AK,36,FALSE),"N/A")</f>
        <v>OUTDATED MODEL</v>
      </c>
      <c r="AD35" s="122">
        <f>IFERROR(VLOOKUP($B35,'LOD 300 - ADMN'!$B:AN,39,FALSE),"N/A")</f>
        <v>1</v>
      </c>
      <c r="AE35" s="122">
        <f>IFERROR(VLOOKUP($B35,'LOD 300 - ADMN'!$B:AQ,42,FALSE),"N/A")</f>
        <v>1</v>
      </c>
      <c r="AF35" s="122">
        <f>IFERROR(VLOOKUP($B35,'LOD 300 - ADMN'!$B:AT,45,FALSE),"N/A")</f>
        <v>1</v>
      </c>
      <c r="AG35" s="122">
        <f>IFERROR(VLOOKUP($B35,'LOD 300 - ADMN'!$B:AW,48,FALSE),"N/A")</f>
        <v>1</v>
      </c>
      <c r="AH35" s="122">
        <f>IFERROR(VLOOKUP($B35,'LOD 300 - ADMN'!$B:AZ,51,FALSE),"N/A")</f>
        <v>1</v>
      </c>
      <c r="AI35" s="122">
        <f>IFERROR(VLOOKUP($B35,'LOD 300 - ADMN'!$B:BC,54,FALSE),"N/A")</f>
        <v>1</v>
      </c>
      <c r="AJ35" s="87">
        <f>IFERROR(VLOOKUP($B35,'LOD 300 - ADMN'!$B:BF,57,FALSE),"N/A")</f>
        <v>1</v>
      </c>
      <c r="AK35" s="87">
        <f>IFERROR(VLOOKUP($B35,'LOD 300 - ADMN'!$B:EP,60,FALSE),"N/A")</f>
        <v>1</v>
      </c>
      <c r="AL35" s="87">
        <f>IFERROR(VLOOKUP($B35,'LOD 300 - ADMN'!$B:EQ,63,FALSE),"N/A")</f>
        <v>1</v>
      </c>
      <c r="AM35" s="87">
        <f>IFERROR(VLOOKUP($B35,'LOD 300 - ADMN'!$B:BO,66,FALSE),"N/A")</f>
        <v>1</v>
      </c>
      <c r="AN35" s="87">
        <f>IFERROR(VLOOKUP($B35,'LOD 300 - ADMN'!$B:BR,69,FALSE),"N/A")</f>
        <v>1</v>
      </c>
      <c r="AO35" s="87">
        <f>IFERROR(VLOOKUP($B35,'LOD 300 - ADMN'!$B:BU,72,FALSE),"N/A")</f>
        <v>1</v>
      </c>
      <c r="AP35" s="87">
        <f>IFERROR(VLOOKUP($B35,'LOD 300 - ADMN'!$B:BX,75,FALSE),"N/A")</f>
        <v>1</v>
      </c>
      <c r="AQ35" s="87">
        <f>IFERROR(VLOOKUP($B35,'LOD 300 - ADMN'!$B:CA,78,FALSE),"N/A")</f>
        <v>1</v>
      </c>
      <c r="AR35" s="87">
        <f>IFERROR(VLOOKUP($B35,'LOD 300 - ADMN'!$B:CD,81,FALSE),"N/A")</f>
        <v>1</v>
      </c>
      <c r="AS35" s="87">
        <f>IFERROR(VLOOKUP($B35,'LOD 300 - ADMN'!$B:CG,84,FALSE),"N/A")</f>
        <v>1</v>
      </c>
      <c r="AT35" s="87">
        <f>IFERROR(VLOOKUP($B35,'LOD 300 - ADMN'!$B:CJ,87,FALSE),"N/A")</f>
        <v>1</v>
      </c>
      <c r="AU35" s="88">
        <f>IFERROR(VLOOKUP($B35,'LOD 300 - ADMN'!$B:CM,90,FALSE),"N/A")</f>
        <v>1</v>
      </c>
      <c r="AV35" s="88">
        <f>IFERROR(VLOOKUP($B35,'LOD 300 - ADMN'!$B:CP,93,FALSE),"N/A")</f>
        <v>1</v>
      </c>
      <c r="AW35" s="88">
        <f>IFERROR(VLOOKUP($B35,'LOD 300 - ADMN'!$B:CS,96,FALSE),"N/A")</f>
        <v>1</v>
      </c>
      <c r="AX35" s="88">
        <f>IFERROR(VLOOKUP($B35,'LOD 300 - ADMN'!$B:CV,99,FALSE),"N/A")</f>
        <v>1</v>
      </c>
      <c r="AY35" s="88">
        <f>IFERROR(VLOOKUP($B35,'LOD 300 - ADMN'!$B:CY,102,FALSE),"N/A")</f>
        <v>1</v>
      </c>
      <c r="AZ35" s="88">
        <f>IFERROR(VLOOKUP($B35,'LOD 300 - ADMN'!$B:DB,105,FALSE),"N/A")</f>
        <v>1</v>
      </c>
      <c r="BA35" s="87">
        <f>IFERROR(VLOOKUP($B35,'LOD 300 - ADMN'!$B:DE,108,FALSE),"N/A")</f>
        <v>1</v>
      </c>
      <c r="BB35" s="87">
        <f>IFERROR(VLOOKUP($B35,'LOD 300 - ADMN'!$B:DH,111,FALSE),"N/A")</f>
        <v>1</v>
      </c>
      <c r="BC35" s="87">
        <f>IFERROR(VLOOKUP($B35,'LOD 300 - ADMN'!$B:DK,114,FALSE),"N/A")</f>
        <v>1</v>
      </c>
      <c r="BD35" s="87">
        <f>IFERROR(VLOOKUP($B35,'LOD 300 - ADMN'!$B:DN,117,FALSE),"N/A")</f>
        <v>1</v>
      </c>
      <c r="BE35" s="87">
        <f>IFERROR(VLOOKUP($B35,'LOD 300 - ADMN'!$B:DQ,120,FALSE),"N/A")</f>
        <v>1</v>
      </c>
      <c r="BF35" s="87">
        <f>IFERROR(VLOOKUP($B35,'LOD 300 - ADMN'!$B:DT,123,FALSE),"N/A")</f>
        <v>1</v>
      </c>
      <c r="BG35" s="87">
        <f>IFERROR(VLOOKUP($B35,'LOD 300 - ADMN'!$B:DW,126,FALSE),"N/A")</f>
        <v>1</v>
      </c>
      <c r="BH35" s="87">
        <f>IFERROR(VLOOKUP($B35,'LOD 300 - ADMN'!$B:DZ,129,FALSE),"N/A")</f>
        <v>1</v>
      </c>
      <c r="BI35" s="87">
        <f>IFERROR(VLOOKUP($B35,'LOD 300 - ADMN'!$B:EC,132,FALSE),"N/A")</f>
        <v>1</v>
      </c>
      <c r="BJ35" s="90">
        <f>IFERROR(__xludf.DUMMYFUNCTION("IFERROR(
  MAX(FILTER(X35:BI35, ISNUMBER(X35:BI35))),
  BI35
)"),1.0)</f>
        <v>1</v>
      </c>
      <c r="BK35" s="91">
        <f>IFERROR(VLOOKUP($B35,'LOD 300 - COLO1'!$B:S,18,FALSE),"N/A")</f>
        <v>0.44</v>
      </c>
      <c r="BL35" s="92">
        <f>IFERROR(VLOOKUP($B35,'LOD 300 - COLO1'!$B:V,21,FALSE),"N/A")</f>
        <v>0.41</v>
      </c>
      <c r="BM35" s="92">
        <f>IFERROR(VLOOKUP($B35,'LOD 300 - COLO1'!$B:Y,24,FALSE),"N/A")</f>
        <v>0.43</v>
      </c>
      <c r="BN35" s="92">
        <f>IFERROR(VLOOKUP($B35,'LOD 300 - COLO1'!$B:AB,27,FALSE),"N/A")</f>
        <v>1</v>
      </c>
      <c r="BO35" s="92">
        <f>IFERROR(VLOOKUP($B35,'LOD 300 - COLO1'!$B:AE,30,FALSE),"N/A")</f>
        <v>1</v>
      </c>
      <c r="BP35" s="92">
        <f>IFERROR(VLOOKUP($B35,'LOD 300 - COLO1'!$B:AH,33,FALSE),"N/A")</f>
        <v>1</v>
      </c>
      <c r="BQ35" s="92">
        <f>IFERROR(VLOOKUP($B35,'LOD 300 - COLO1'!$B:AK,36,FALSE),"N/A")</f>
        <v>1</v>
      </c>
      <c r="BR35" s="92">
        <f>IFERROR(VLOOKUP($B35,'LOD 300 - COLO1'!$B:AN,39,FALSE),"N/A")</f>
        <v>1</v>
      </c>
      <c r="BS35" s="92">
        <f>IFERROR(VLOOKUP($B35,'LOD 300 - COLO1'!$B:AQ,42,FALSE),"N/A")</f>
        <v>1</v>
      </c>
      <c r="BT35" s="92">
        <f>IFERROR(VLOOKUP($B35,'LOD 300 - COLO1'!$B:AT,45,FALSE),"N/A")</f>
        <v>1</v>
      </c>
      <c r="BU35" s="92">
        <f>IFERROR(VLOOKUP($B35,'LOD 300 - COLO1'!$B:AW,48,FALSE),"N/A")</f>
        <v>1</v>
      </c>
      <c r="BV35" s="92">
        <f>IFERROR(VLOOKUP($B35,'LOD 300 - COLO1'!$B:AZ,51,FALSE),"N/A")</f>
        <v>1</v>
      </c>
      <c r="BW35" s="92">
        <f>IFERROR(VLOOKUP($B35,'LOD 300 - COLO1'!$B:BC,54,FALSE),"N/A")</f>
        <v>1</v>
      </c>
      <c r="BX35" s="94">
        <f>IFERROR(VLOOKUP($B35,'LOD 300 - COLO1'!$B:BF,57,FALSE),"N/A")</f>
        <v>1</v>
      </c>
      <c r="BY35" s="94">
        <f>IFERROR(VLOOKUP($B35,'LOD 300 - COLO1'!$B:BI,60,FALSE),"N/A")</f>
        <v>1</v>
      </c>
      <c r="BZ35" s="95">
        <f>IFERROR(VLOOKUP($B35,'LOD 300 - COLO1'!$B:BL,63,FALSE),"N/A")</f>
        <v>1</v>
      </c>
      <c r="CA35" s="86">
        <f>IFERROR(VLOOKUP($B35,'LOD 300 - COLO1'!$B:BO,66,FALSE),"N/A")</f>
        <v>1</v>
      </c>
      <c r="CB35" s="86">
        <f>IFERROR(VLOOKUP($B35,'LOD 300 - COLO1'!$B:BR,69,FALSE),"N/A")</f>
        <v>1</v>
      </c>
      <c r="CC35" s="86">
        <f>IFERROR(VLOOKUP($B35,'LOD 300 - COLO1'!$B:BU,72,FALSE),"N/A")</f>
        <v>1</v>
      </c>
      <c r="CD35" s="86">
        <f>IFERROR(VLOOKUP($B35,'LOD 300 - COLO1'!$B:BX,75,FALSE),"N/A")</f>
        <v>1</v>
      </c>
      <c r="CE35" s="86">
        <f>IFERROR(VLOOKUP($B35,'LOD 300 - COLO1'!$B:CA,78,FALSE),"N/A")</f>
        <v>1</v>
      </c>
      <c r="CF35" s="87">
        <f>IFERROR(VLOOKUP($B35,'LOD 300 - COLO1'!$B:CD,81,FALSE),"N/A")</f>
        <v>1</v>
      </c>
      <c r="CG35" s="86">
        <f>IFERROR(VLOOKUP($B35,'LOD 300 - COLO1'!$B:CG,84,FALSE),"N/A")</f>
        <v>1</v>
      </c>
      <c r="CH35" s="87">
        <f>IFERROR(VLOOKUP($B35,'LOD 300 - COLO1'!$B:CJ,87,FALSE),"N/A")</f>
        <v>1</v>
      </c>
      <c r="CI35" s="88">
        <f>IFERROR(VLOOKUP($B35,'LOD 300 - COLO1'!$B:CM,90,FALSE),"N/A")</f>
        <v>1</v>
      </c>
      <c r="CJ35" s="88">
        <f>IFERROR(VLOOKUP($B35,'LOD 300 - COLO1'!$B:CP,93,FALSE),"N/A")</f>
        <v>1</v>
      </c>
      <c r="CK35" s="88">
        <f>IFERROR(VLOOKUP($B35,'LOD 300 - COLO1'!$B:CS,96,FALSE),"N/A")</f>
        <v>1</v>
      </c>
      <c r="CL35" s="88">
        <f>IFERROR(VLOOKUP($B35,'LOD 300 - COLO1'!$B:CV,99,FALSE),"N/A")</f>
        <v>1</v>
      </c>
      <c r="CM35" s="88">
        <f>IFERROR(VLOOKUP($B35,'LOD 300 - COLO1'!$B:CY,102,FALSE),"N/A")</f>
        <v>1</v>
      </c>
      <c r="CN35" s="89">
        <f>IFERROR(VLOOKUP($B35,'LOD 300 - COLO1'!$B:DB,105,FALSE),"N/A")</f>
        <v>1</v>
      </c>
      <c r="CO35" s="87">
        <f>IFERROR(VLOOKUP($B35,'LOD 300 - COLO1'!$B:EE,108,FALSE),"N/A")</f>
        <v>1</v>
      </c>
      <c r="CP35" s="87">
        <f>IFERROR(VLOOKUP($B35,'LOD 300 - COLO1'!$B:EH,111,FALSE),"N/A")</f>
        <v>1</v>
      </c>
      <c r="CQ35" s="87">
        <f>IFERROR(VLOOKUP($B35,'LOD 300 - COLO1'!$B:EK,114,FALSE),"N/A")</f>
        <v>1</v>
      </c>
      <c r="CR35" s="87">
        <f>IFERROR(VLOOKUP($B35,'LOD 300 - COLO1'!$B:EN,117,FALSE),"N/A")</f>
        <v>1</v>
      </c>
      <c r="CS35" s="87">
        <f>IFERROR(VLOOKUP($B35,'LOD 300 - COLO1'!$B:EQ,120,FALSE),"N/A")</f>
        <v>1</v>
      </c>
      <c r="CT35" s="87">
        <f>IFERROR(VLOOKUP($B35,'LOD 300 - COLO1'!$B:ET,123,FALSE),"N/A")</f>
        <v>1</v>
      </c>
      <c r="CU35" s="87">
        <f>IFERROR(VLOOKUP($B35,'LOD 300 - COLO1'!$B:EW,126,FALSE),"N/A")</f>
        <v>1</v>
      </c>
      <c r="CV35" s="87">
        <f>IFERROR(VLOOKUP($B35,'LOD 300 - COLO1'!$B:EZ,129,FALSE),"N/A")</f>
        <v>1</v>
      </c>
      <c r="CW35" s="87">
        <f>IFERROR(VLOOKUP($B35,'LOD 300 - COLO1'!$B:FC,132,FALSE),"N/A")</f>
        <v>1</v>
      </c>
      <c r="CX35" s="96">
        <f>IFERROR(__xludf.DUMMYFUNCTION("IFERROR(
  MAX(FILTER(BK35:CW35, ISNUMBER(BK35:CW35))),
  CW35
)"),1.0)</f>
        <v>1</v>
      </c>
      <c r="CY35" s="104">
        <f>IFERROR(VLOOKUP($B35,'LOD 300 - COLO2'!$B:S,18,FALSE),"N/A")</f>
        <v>0.64</v>
      </c>
      <c r="CZ35" s="117">
        <f>IFERROR(VLOOKUP($B35,'LOD 300 - COLO2'!$B:V,21,FALSE),"N/A")</f>
        <v>0.79</v>
      </c>
      <c r="DA35" s="117" t="str">
        <f>IFERROR(VLOOKUP($B35,'LOD 300 - COLO2'!$B:Y,24,FALSE),"N/A")</f>
        <v>OUTDATED MODEL</v>
      </c>
      <c r="DB35" s="117">
        <f>IFERROR(VLOOKUP($B35,'LOD 300 - COLO2'!$B:AB,27,FALSE),"N/A")</f>
        <v>1</v>
      </c>
      <c r="DC35" s="92">
        <f>IFERROR(VLOOKUP($B35,'LOD 300 - COLO2'!$B:AE,30,FALSE),"N/A")</f>
        <v>1</v>
      </c>
      <c r="DD35" s="120">
        <f>IFERROR(VLOOKUP($B35,'LOD 300 - COLO2'!$B:AH,33,FALSE),"N/A")</f>
        <v>1</v>
      </c>
      <c r="DE35" s="117">
        <f>IFERROR(VLOOKUP($B35,'LOD 300 - COLO2'!$B:AK,36,FALSE),"N/A")</f>
        <v>1</v>
      </c>
      <c r="DF35" s="117">
        <f>IFERROR(VLOOKUP($B35,'LOD 300 - COLO2'!$B:AN,39,FALSE),"N/A")</f>
        <v>1</v>
      </c>
      <c r="DG35" s="119">
        <f>IFERROR(VLOOKUP($B35,'LOD 300 - COLO2'!$B:AQ,42,FALSE),"N/A")</f>
        <v>1</v>
      </c>
      <c r="DH35" s="87">
        <f>IFERROR(VLOOKUP($B35,'LOD 300 - COLO2'!$B:AT,45,FALSE),"N/A")</f>
        <v>1</v>
      </c>
      <c r="DI35" s="94">
        <f>IFERROR(VLOOKUP($B35,'LOD 300 - COLO2'!$B:AW,48,FALSE),"N/A")</f>
        <v>1</v>
      </c>
      <c r="DJ35" s="95">
        <f>IFERROR(VLOOKUP($B35,'LOD 300 - COLO2'!$B:AZ,51,FALSE),"N/A")</f>
        <v>1</v>
      </c>
      <c r="DK35" s="86">
        <f>IFERROR(VLOOKUP($B35,'LOD 300 - COLO2'!$B:BC,54,FALSE),"N/A")</f>
        <v>1</v>
      </c>
      <c r="DL35" s="86">
        <f>IFERROR(VLOOKUP($B35,'LOD 300 - COLO2'!$B:BF,57,FALSE),"N/A")</f>
        <v>1</v>
      </c>
      <c r="DM35" s="86">
        <f>IFERROR(VLOOKUP($B35,'LOD 300 - COLO2'!$B:BI,60,FALSE),"N/A")</f>
        <v>1</v>
      </c>
      <c r="DN35" s="86">
        <f>IFERROR(VLOOKUP($B35,'LOD 300 - COLO2'!$B:BL,63,FALSE),"N/A")</f>
        <v>1</v>
      </c>
      <c r="DO35" s="86">
        <f>IFERROR(VLOOKUP($B35,'LOD 300 - COLO2'!$B:BO,66,FALSE),"N/A")</f>
        <v>1</v>
      </c>
      <c r="DP35" s="87">
        <f>IFERROR(VLOOKUP($B35,'LOD 300 - COLO2'!$B:BR,69,FALSE),"N/A")</f>
        <v>1</v>
      </c>
      <c r="DQ35" s="87">
        <f>IFERROR(VLOOKUP($B35,'LOD 300 - COLO2'!$B:BU,72,FALSE),"N/A")</f>
        <v>1</v>
      </c>
      <c r="DR35" s="87">
        <f>IFERROR(VLOOKUP($B35,'LOD 300 - COLO2'!$B:BX,75,FALSE),"N/A")</f>
        <v>1</v>
      </c>
      <c r="DS35" s="98">
        <f>IFERROR(VLOOKUP($B35,'LOD 300 - COLO2'!$B:CA,78,FALSE),"N/A")</f>
        <v>1</v>
      </c>
      <c r="DT35" s="98">
        <f>IFERROR(VLOOKUP($B35,'LOD 300 - COLO2'!$B:CD,81,FALSE),"N/A")</f>
        <v>1</v>
      </c>
      <c r="DU35" s="98">
        <f>IFERROR(VLOOKUP($B35,'LOD 300 - COLO2'!$B:CG,84,FALSE),"N/A")</f>
        <v>1</v>
      </c>
      <c r="DV35" s="98">
        <f>IFERROR(VLOOKUP($B35,'LOD 300 - COLO2'!$B:CJ,87,FALSE),"N/A")</f>
        <v>1</v>
      </c>
      <c r="DW35" s="98">
        <f>IFERROR(VLOOKUP($B35,'LOD 300 - COLO2'!$B:CM,90,FALSE),"N/A")</f>
        <v>1</v>
      </c>
      <c r="DX35" s="98">
        <f>IFERROR(VLOOKUP($B35,'LOD 300 - COLO2'!$B:CP,93,FALSE),"N/A")</f>
        <v>1</v>
      </c>
      <c r="DY35" s="87">
        <f>IFERROR(VLOOKUP($B35,'LOD 300 - COLO2'!$B:CS,96,FALSE),"N/A")</f>
        <v>1</v>
      </c>
      <c r="DZ35" s="87">
        <f>IFERROR(VLOOKUP($B35,'LOD 300 - COLO2'!$B:CV,99,FALSE),"N/A")</f>
        <v>1</v>
      </c>
      <c r="EA35" s="87">
        <f>IFERROR(VLOOKUP($B35,'LOD 300 - COLO2'!$B:DB,105,FALSE),"N/A")</f>
        <v>1</v>
      </c>
      <c r="EB35" s="87">
        <f>IFERROR(VLOOKUP($B35,'LOD 300 - COLO2'!$B:DB,105,FALSE),"N/A")</f>
        <v>1</v>
      </c>
      <c r="EC35" s="87">
        <f>IFERROR(VLOOKUP($B35,'LOD 300 - COLO2'!$B:DE,108,FALSE),"N/A")</f>
        <v>1</v>
      </c>
      <c r="ED35" s="87">
        <f>IFERROR(VLOOKUP($B35,'LOD 300 - COLO2'!$B:DH,111,FALSE),"N/A")</f>
        <v>1</v>
      </c>
      <c r="EE35" s="87">
        <f>IFERROR(VLOOKUP($B35,'LOD 300 - COLO2'!$B:DK,114,FALSE),"N/A")</f>
        <v>1</v>
      </c>
      <c r="EF35" s="87">
        <f>IFERROR(VLOOKUP($B35,'LOD 300 - COLO2'!$B:DN,117,FALSE),"N/A")</f>
        <v>1</v>
      </c>
      <c r="EG35" s="87">
        <f>IFERROR(VLOOKUP($B35,'LOD 300 - COLO2'!$B:DQ,120,FALSE),"N/A")</f>
        <v>1</v>
      </c>
      <c r="EH35" s="99">
        <f>IFERROR(__xludf.DUMMYFUNCTION("IFERROR(
  MAX(FILTER(CZ35:EG35, ISNUMBER(CZ35:EG35))),
  EG35
)"),1.0)</f>
        <v>1</v>
      </c>
      <c r="EI35" s="100">
        <f>IFERROR(VLOOKUP($B35,'LOD 300 - COLO3'!$B:R,17,FALSE),"N/A")</f>
        <v>0</v>
      </c>
      <c r="EJ35" s="127" t="str">
        <f>IFERROR(VLOOKUP($B35,'LOD 300 - COLO3'!$B:U,20,FALSE),"N/A")</f>
        <v>NEXT ROUND</v>
      </c>
      <c r="EK35" s="127" t="str">
        <f>IFERROR(VLOOKUP($B35,'LOD 300 - COLO3'!$B:X,23,FALSE),"N/A")</f>
        <v>NEXT ROUND</v>
      </c>
      <c r="EL35" s="127">
        <f>IFERROR(VLOOKUP($B35,'LOD 300 - COLO3'!$B:AA,26,FALSE),"N/A")</f>
        <v>0.89</v>
      </c>
      <c r="EM35" s="127">
        <f>IFERROR(VLOOKUP($B35,'LOD 300 - COLO3'!$B:AD,29,FALSE),"N/A")</f>
        <v>1</v>
      </c>
      <c r="EN35" s="127">
        <f>IFERROR(VLOOKUP($B35,'LOD 300 - COLO3'!$B:AG,32,FALSE),"N/A")</f>
        <v>1</v>
      </c>
      <c r="EO35" s="127">
        <f>IFERROR(VLOOKUP($B35,'LOD 300 - COLO3'!$B:AJ,35,FALSE),"N/A")</f>
        <v>1</v>
      </c>
      <c r="EP35" s="100">
        <f>IFERROR(VLOOKUP($B35,'LOD 300 - COLO3'!$B:AM,38,FALSE),"N/A")</f>
        <v>1</v>
      </c>
      <c r="EQ35" s="100">
        <f>IFERROR(VLOOKUP($B35,'LOD 300 - COLO3'!$B:AP,41,FALSE),"N/A")</f>
        <v>1</v>
      </c>
      <c r="ER35" s="100">
        <f>IFERROR(VLOOKUP($B35,'LOD 300 - COLO3'!$B:AS,44,FALSE),"N/A")</f>
        <v>1</v>
      </c>
      <c r="ES35" s="100">
        <f>IFERROR(VLOOKUP($B35,'LOD 300 - COLO3'!$B:AV,47,FALSE),"N/A")</f>
        <v>1</v>
      </c>
      <c r="ET35" s="100">
        <f>IFERROR(VLOOKUP($B35,'LOD 300 - COLO3'!$B:AY,50,FALSE),"N/A")</f>
        <v>1</v>
      </c>
      <c r="EU35" s="100">
        <f>IFERROR(VLOOKUP($B35,'LOD 300 - COLO3'!$B:BB,53,FALSE),"N/A")</f>
        <v>1</v>
      </c>
      <c r="EV35" s="100">
        <f>IFERROR(VLOOKUP($B35,'LOD 300 - COLO3'!$B:BE,56,FALSE),"N/A")</f>
        <v>1</v>
      </c>
      <c r="EW35" s="100">
        <f>IFERROR(VLOOKUP($B35,'LOD 300 - COLO3'!$B:BL,59,FALSE),"N/A")</f>
        <v>1</v>
      </c>
      <c r="EX35" s="100">
        <f>IFERROR(VLOOKUP($B35,'LOD 300 - COLO3'!$B:BO,62,FALSE),"N/A")</f>
        <v>1</v>
      </c>
      <c r="EY35" s="103">
        <f>IFERROR(__xludf.DUMMYFUNCTION("IFERROR(
  MAX(FILTER(EI35:EX35, ISNUMBER(EI35:EX35))),
  EX35
)"),1.0)</f>
        <v>1</v>
      </c>
      <c r="EZ35" s="104">
        <f>IFERROR(VLOOKUP($B35,'LOD 300 - COLO4'!$B:BT,17,FALSE),"N/A")</f>
        <v>0</v>
      </c>
      <c r="FA35" s="103">
        <f>IFERROR(__xludf.DUMMYFUNCTION("IFERROR(
  MAX(FILTER(EZ35, ISNUMBER(EZ35))),
  EZ35
)"),0.0)</f>
        <v>0</v>
      </c>
      <c r="FB35" s="121" t="str">
        <f>IFERROR(VLOOKUP($B35,'LOD 300 - SITE'!$B:S,18,FALSE),"N/A")</f>
        <v>N/A</v>
      </c>
      <c r="FC35" s="122" t="str">
        <f>IFERROR(VLOOKUP($B35,'LOD 300 - SITE'!$B:V,21,FALSE),"N/A")</f>
        <v>N/A</v>
      </c>
      <c r="FD35" s="122" t="str">
        <f>IFERROR(VLOOKUP($B35,'LOD 300 - SITE'!$B:Y,24,FALSE),"N/A")</f>
        <v>N/A</v>
      </c>
      <c r="FE35" s="122" t="str">
        <f>IFERROR(VLOOKUP($B35,'LOD 300 - SITE'!$B:AB,27,FALSE),"N/A")</f>
        <v>N/A</v>
      </c>
      <c r="FF35" s="122" t="str">
        <f>IFERROR(VLOOKUP($B35,'LOD 300 - SITE'!$B:AE,30,FALSE),"N/A")</f>
        <v>N/A</v>
      </c>
      <c r="FG35" s="122" t="str">
        <f>IFERROR(VLOOKUP($B35,'LOD 300 - SITE'!$B:AH,33,FALSE),"N/A")</f>
        <v>N/A</v>
      </c>
      <c r="FH35" s="122" t="str">
        <f>IFERROR(VLOOKUP($B35,'LOD 300 - SITE'!$B:AK,36,FALSE),"N/A")</f>
        <v>N/A</v>
      </c>
      <c r="FI35" s="122" t="str">
        <f>IFERROR(VLOOKUP($B35,'LOD 300 - SITE'!$B:AN,39,FALSE),"N/A")</f>
        <v>N/A</v>
      </c>
      <c r="FJ35" s="122" t="str">
        <f>IFERROR(VLOOKUP($B35,'LOD 300 - SITE'!$B:AQ,42,FALSE),"N/A")</f>
        <v>N/A</v>
      </c>
      <c r="FK35" s="122" t="str">
        <f>IFERROR(VLOOKUP($B35,'LOD 300 - SITE'!$B:AT,45,FALSE),"N/A")</f>
        <v>N/A</v>
      </c>
      <c r="FL35" s="123" t="str">
        <f>IFERROR(VLOOKUP($B35,'LOD 300 - SITE'!$B:AW,48,FALSE),"N/A")</f>
        <v>N/A</v>
      </c>
      <c r="FM35" s="87" t="str">
        <f>IFERROR(VLOOKUP($B35,'LOD 300 - SITE'!$B:AZ,51,FALSE),"N/A")</f>
        <v>N/A</v>
      </c>
      <c r="FN35" s="94" t="str">
        <f>IFERROR(VLOOKUP($B35,'LOD 300 - SITE'!$B:BC,54,FALSE),"N/A")</f>
        <v>N/A</v>
      </c>
      <c r="FO35" s="95" t="str">
        <f>IFERROR(VLOOKUP($B35,'LOD 300 - SITE'!$B:BF,57,FALSE),"N/A")</f>
        <v>N/A</v>
      </c>
      <c r="FP35" s="86" t="str">
        <f>IFERROR(VLOOKUP($B35,'LOD 300 - SITE'!$B:BI,60,FALSE),"N/A")</f>
        <v>N/A</v>
      </c>
      <c r="FQ35" s="86" t="str">
        <f>IFERROR(VLOOKUP($B35,'LOD 300 - SITE'!$B:BL,63,FALSE),"N/A")</f>
        <v>N/A</v>
      </c>
      <c r="FR35" s="86" t="str">
        <f>IFERROR(VLOOKUP($B35,'LOD 300 - SITE'!$B:BO,66,FALSE),"N/A")</f>
        <v>N/A</v>
      </c>
      <c r="FS35" s="86" t="str">
        <f>IFERROR(VLOOKUP($B35,'LOD 300 - SITE'!$B:BR,69,FALSE),"N/A")</f>
        <v>N/A</v>
      </c>
      <c r="FT35" s="86" t="str">
        <f>IFERROR(VLOOKUP($B35,'LOD 300 - SITE'!$B:BU,72,FALSE),"N/A")</f>
        <v>N/A</v>
      </c>
      <c r="FU35" s="86" t="str">
        <f>IFERROR(VLOOKUP($B35,'LOD 300 - SITE'!$B:BX,75,FALSE),"N/A")</f>
        <v>N/A</v>
      </c>
      <c r="FV35" s="86" t="str">
        <f>IFERROR(VLOOKUP($B35,'LOD 300 - SITE'!$B:CA,78,FALSE),"N/A")</f>
        <v>N/A</v>
      </c>
      <c r="FW35" s="87" t="str">
        <f>IFERROR(VLOOKUP($B35,'LOD 300 - SITE'!$B:CD,81,FALSE),"N/A")</f>
        <v>N/A</v>
      </c>
      <c r="FX35" s="108" t="str">
        <f>IFERROR(VLOOKUP($B35,'LOD 300 - SITE'!$B:CG,84,FALSE),"N/A")</f>
        <v>N/A</v>
      </c>
      <c r="FY35" s="108" t="str">
        <f>IFERROR(VLOOKUP($B35,'LOD 300 - SITE'!$B:CJ,87,FALSE),"N/A")</f>
        <v>N/A</v>
      </c>
      <c r="FZ35" s="108" t="str">
        <f>IFERROR(VLOOKUP($B35,'LOD 300 - SITE'!$B:CM,90,FALSE),"N/A")</f>
        <v>N/A</v>
      </c>
      <c r="GA35" s="108" t="str">
        <f>IFERROR(VLOOKUP($B35,'LOD 300 - SITE'!$B:CP,93,FALSE),"N/A")</f>
        <v>N/A</v>
      </c>
      <c r="GB35" s="108" t="str">
        <f>IFERROR(VLOOKUP($B35,'LOD 300 - SITE'!$B:CS,96,FALSE),"N/A")</f>
        <v>N/A</v>
      </c>
      <c r="GC35" s="109" t="str">
        <f>IFERROR(VLOOKUP($B35,'LOD 300 - SITE'!$B:CV,99,FALSE),"N/A")</f>
        <v>N/A</v>
      </c>
      <c r="GD35" s="87" t="str">
        <f>IFERROR(VLOOKUP($B35,'LOD 300 - SITE'!$B:CY,102,FALSE),"N/A")</f>
        <v>N/A</v>
      </c>
      <c r="GE35" s="87" t="str">
        <f>IFERROR(VLOOKUP($B35,'LOD 300 - SITE'!$B:DB,105,FALSE),"N/A")</f>
        <v>N/A</v>
      </c>
      <c r="GF35" s="87" t="str">
        <f>IFERROR(VLOOKUP($B35,'LOD 300 - SITE'!$B:DE,108,FALSE),"N/A")</f>
        <v>N/A</v>
      </c>
      <c r="GG35" s="87" t="str">
        <f>IFERROR(VLOOKUP($B35,'LOD 300 - SITE'!$B:DH,111,FALSE),"N/A")</f>
        <v>N/A</v>
      </c>
      <c r="GH35" s="87" t="str">
        <f>IFERROR(VLOOKUP($B35,'LOD 300 - SITE'!$B:DK,114,FALSE),"N/A")</f>
        <v>N/A</v>
      </c>
      <c r="GI35" s="87" t="str">
        <f>IFERROR(VLOOKUP($B35,'LOD 300 - SITE'!$B:DN,117,FALSE),"N/A")</f>
        <v>N/A</v>
      </c>
      <c r="GJ35" s="87" t="str">
        <f>IFERROR(VLOOKUP($B35,'LOD 300 - SITE'!$B:DQ,120,FALSE),"N/A")</f>
        <v>N/A</v>
      </c>
      <c r="GK35" s="87" t="str">
        <f>IFERROR(VLOOKUP($B35,'LOD 300 - SITE'!$B:DT,123,FALSE),"N/A")</f>
        <v>N/A</v>
      </c>
      <c r="GL35" s="87" t="str">
        <f>IFERROR(VLOOKUP($B35,'LOD 300 - SITE'!$B:DW,126,FALSE),"N/A")</f>
        <v>N/A</v>
      </c>
      <c r="GM35" s="110" t="str">
        <f>IFERROR(__xludf.DUMMYFUNCTION("IFERROR(
  MAX(FILTER(FB35:GL35, ISNUMBER(FB35:GL35))),
  GL35
)"),"N/A")</f>
        <v>N/A</v>
      </c>
      <c r="GN35" s="111"/>
      <c r="GO35" s="111"/>
      <c r="GP35" s="111"/>
    </row>
    <row r="36" ht="13.5" hidden="1" customHeight="1">
      <c r="A36" s="60">
        <v>39.0</v>
      </c>
      <c r="B36" s="187" t="s">
        <v>177</v>
      </c>
      <c r="C36" s="188"/>
      <c r="D36" s="189"/>
      <c r="E36" s="189"/>
      <c r="F36" s="13"/>
      <c r="G36" s="189"/>
      <c r="H36" s="190"/>
      <c r="I36" s="191"/>
      <c r="J36" s="191"/>
      <c r="K36" s="189"/>
      <c r="L36" s="189"/>
      <c r="M36" s="192"/>
      <c r="N36" s="192"/>
      <c r="O36" s="192"/>
      <c r="P36" s="193"/>
      <c r="Q36" s="192"/>
      <c r="R36" s="192"/>
      <c r="S36" s="79" t="str">
        <f>IF(OR($D36="C345",$D36="C12A",$D36="DATA"),
   VLOOKUP($B36,'LOD 300 - COLO4'!B:S,14,FALSE),"N/A")</f>
        <v>N/A</v>
      </c>
      <c r="T36" s="76" t="str">
        <f>IF(OR($D36="C345",$D36="C12A",$D36="DATA"),
   VLOOKUP($B36,'LOD 300 - COLO3'!B:T,13,FALSE),"N/A")</f>
        <v>N/A</v>
      </c>
      <c r="U36" s="192"/>
      <c r="V36" s="189"/>
      <c r="W36" s="194"/>
      <c r="X36" s="195"/>
      <c r="Y36" s="195"/>
      <c r="Z36" s="195"/>
      <c r="AA36" s="195"/>
      <c r="AB36" s="195"/>
      <c r="AC36" s="195"/>
      <c r="AD36" s="195"/>
      <c r="AE36" s="195"/>
      <c r="AF36" s="195"/>
      <c r="AG36" s="195"/>
      <c r="AH36" s="195"/>
      <c r="AI36" s="195"/>
      <c r="AJ36" s="196"/>
      <c r="AK36" s="196"/>
      <c r="AL36" s="197"/>
      <c r="AM36" s="196"/>
      <c r="AN36" s="196"/>
      <c r="AO36" s="196"/>
      <c r="AP36" s="196"/>
      <c r="AQ36" s="196"/>
      <c r="AR36" s="196"/>
      <c r="AS36" s="196"/>
      <c r="AT36" s="196"/>
      <c r="AU36" s="196"/>
      <c r="AV36" s="197"/>
      <c r="AW36" s="197"/>
      <c r="AX36" s="197"/>
      <c r="AY36" s="197"/>
      <c r="AZ36" s="197"/>
      <c r="BA36" s="196"/>
      <c r="BB36" s="197"/>
      <c r="BC36" s="198"/>
      <c r="BD36" s="198"/>
      <c r="BE36" s="198"/>
      <c r="BF36" s="198"/>
      <c r="BG36" s="198"/>
      <c r="BH36" s="198"/>
      <c r="BI36" s="198"/>
      <c r="BJ36" s="199"/>
      <c r="BK36" s="200"/>
      <c r="BL36" s="200"/>
      <c r="BM36" s="200"/>
      <c r="BN36" s="200"/>
      <c r="BO36" s="200"/>
      <c r="BP36" s="200"/>
      <c r="BQ36" s="200"/>
      <c r="BR36" s="200"/>
      <c r="BS36" s="200"/>
      <c r="BT36" s="200"/>
      <c r="BU36" s="200"/>
      <c r="BV36" s="200"/>
      <c r="BW36" s="200"/>
      <c r="BX36" s="201"/>
      <c r="BY36" s="201"/>
      <c r="BZ36" s="202"/>
      <c r="CA36" s="203"/>
      <c r="CB36" s="203"/>
      <c r="CC36" s="203"/>
      <c r="CD36" s="203"/>
      <c r="CE36" s="203"/>
      <c r="CF36" s="196"/>
      <c r="CG36" s="202"/>
      <c r="CH36" s="196"/>
      <c r="CI36" s="196"/>
      <c r="CJ36" s="202"/>
      <c r="CK36" s="202"/>
      <c r="CL36" s="202"/>
      <c r="CM36" s="202"/>
      <c r="CN36" s="202"/>
      <c r="CO36" s="196"/>
      <c r="CP36" s="204"/>
      <c r="CQ36" s="202"/>
      <c r="CR36" s="202"/>
      <c r="CS36" s="202"/>
      <c r="CT36" s="202"/>
      <c r="CU36" s="202"/>
      <c r="CV36" s="202"/>
      <c r="CW36" s="202"/>
      <c r="CX36" s="199"/>
      <c r="CY36" s="205"/>
      <c r="CZ36" s="206"/>
      <c r="DA36" s="206"/>
      <c r="DB36" s="206"/>
      <c r="DC36" s="207"/>
      <c r="DD36" s="208"/>
      <c r="DE36" s="205"/>
      <c r="DF36" s="205"/>
      <c r="DG36" s="209"/>
      <c r="DH36" s="196"/>
      <c r="DI36" s="201"/>
      <c r="DJ36" s="202"/>
      <c r="DK36" s="203"/>
      <c r="DL36" s="203"/>
      <c r="DM36" s="203"/>
      <c r="DN36" s="203"/>
      <c r="DO36" s="203"/>
      <c r="DP36" s="196"/>
      <c r="DQ36" s="196"/>
      <c r="DR36" s="196"/>
      <c r="DS36" s="210"/>
      <c r="DT36" s="211"/>
      <c r="DU36" s="211"/>
      <c r="DV36" s="211"/>
      <c r="DW36" s="211"/>
      <c r="DX36" s="211"/>
      <c r="DY36" s="196"/>
      <c r="DZ36" s="197"/>
      <c r="EA36" s="198"/>
      <c r="EB36" s="198"/>
      <c r="EC36" s="198"/>
      <c r="ED36" s="198"/>
      <c r="EE36" s="198"/>
      <c r="EF36" s="198"/>
      <c r="EG36" s="198"/>
      <c r="EH36" s="198"/>
      <c r="EI36" s="196"/>
      <c r="EJ36" s="196"/>
      <c r="EK36" s="196"/>
      <c r="EL36" s="196"/>
      <c r="EM36" s="196"/>
      <c r="EN36" s="196"/>
      <c r="EO36" s="196"/>
      <c r="EP36" s="196"/>
      <c r="EQ36" s="196"/>
      <c r="ER36" s="203"/>
      <c r="ES36" s="203"/>
      <c r="ET36" s="203"/>
      <c r="EU36" s="203"/>
      <c r="EV36" s="203"/>
      <c r="EW36" s="203"/>
      <c r="EX36" s="203"/>
      <c r="EY36" s="203"/>
      <c r="EZ36" s="212"/>
      <c r="FA36" s="212"/>
      <c r="FB36" s="195"/>
      <c r="FC36" s="195"/>
      <c r="FD36" s="195"/>
      <c r="FE36" s="195"/>
      <c r="FF36" s="195"/>
      <c r="FG36" s="195"/>
      <c r="FH36" s="195"/>
      <c r="FI36" s="195"/>
      <c r="FJ36" s="195"/>
      <c r="FK36" s="195"/>
      <c r="FL36" s="213"/>
      <c r="FM36" s="196"/>
      <c r="FN36" s="201"/>
      <c r="FO36" s="202"/>
      <c r="FP36" s="203"/>
      <c r="FQ36" s="203"/>
      <c r="FR36" s="203"/>
      <c r="FS36" s="203"/>
      <c r="FT36" s="203"/>
      <c r="FU36" s="203"/>
      <c r="FV36" s="203"/>
      <c r="FW36" s="196"/>
      <c r="FX36" s="201"/>
      <c r="FY36" s="202"/>
      <c r="FZ36" s="202"/>
      <c r="GA36" s="202"/>
      <c r="GB36" s="202"/>
      <c r="GC36" s="202"/>
      <c r="GD36" s="196"/>
      <c r="GE36" s="204"/>
      <c r="GF36" s="202"/>
      <c r="GG36" s="202"/>
      <c r="GH36" s="202"/>
      <c r="GI36" s="202"/>
      <c r="GJ36" s="202"/>
      <c r="GK36" s="202"/>
      <c r="GL36" s="202"/>
      <c r="GM36" s="214"/>
      <c r="GN36" s="186"/>
      <c r="GO36" s="186"/>
      <c r="GP36" s="186"/>
    </row>
    <row r="37" ht="15.0" customHeight="1" outlineLevel="1">
      <c r="A37" s="60">
        <v>40.0</v>
      </c>
      <c r="B37" s="140" t="s">
        <v>178</v>
      </c>
      <c r="C37" s="70" t="s">
        <v>179</v>
      </c>
      <c r="D37" s="71" t="s">
        <v>85</v>
      </c>
      <c r="E37" s="146" t="s">
        <v>180</v>
      </c>
      <c r="F37" s="13">
        <v>1114.0</v>
      </c>
      <c r="G37" s="139" t="s">
        <v>180</v>
      </c>
      <c r="H37" s="139">
        <v>1114.0</v>
      </c>
      <c r="I37" s="74" t="str">
        <f>IFERROR(VLOOKUP(C34:C176,'R22 RELATÓRIO ACC'!B:F,5,FALSE),"NOT PUBLISHED")</f>
        <v>V15</v>
      </c>
      <c r="J37" s="74" t="str">
        <f>IFERROR(VLOOKUP(C34:C176,'R22 RELATÓRIO ACC'!B:P,15,FALSE),"NOT PUBLISHED")</f>
        <v>27/04/2026</v>
      </c>
      <c r="K37" s="141" t="str">
        <f>IFERROR(VLOOKUP(B34:B225,'RELATÓRIO ACC'!B:F,5,FALSE),"NOT PUBLISHED")</f>
        <v>V3</v>
      </c>
      <c r="L37" s="142" t="str">
        <f>IFERROR(VLOOKUP(B34:B225,'RELATÓRIO ACC'!B:P,15,FALSE),"NOT PUBLISHED")</f>
        <v>12/07/2026</v>
      </c>
      <c r="M37" s="76" t="str">
        <f>IF(OR($D37="UTLS",$D37="GUAR",$D37="STIR",$D37="PUMP",$D37="SITE"),
   VLOOKUP($B37,'LOD 300 - SITE'!B:M,12,FALSE),
   VLOOKUP($B37,'LOD 300 - ADMN'!B:M,12,FALSE)
)</f>
        <v>V11</v>
      </c>
      <c r="N37" s="77">
        <f>IF(OR($D37="UTLS",$D37="GUAR",$D37="STIR",$D37="PUMP",$D37="SITE"),
   VLOOKUP($B37,'LOD 300 - SITE'!B:N,13,FALSE),
   VLOOKUP($B37,'LOD 300 - ADMN'!B:N,13,FALSE)
)</f>
        <v>45929</v>
      </c>
      <c r="O37" s="78" t="str">
        <f>IF(OR($D37="UTLS",$D37="GUAR",$D37="STIR",$D37="PUMP",$D37="SITE"),
   VLOOKUP($B37,'LOD 300 - SITE'!B:O,14,FALSE),
   VLOOKUP($B37,'LOD 300 - ADMN'!B:O,14,FALSE)
)</f>
        <v>R22</v>
      </c>
      <c r="P37" s="79" t="str">
        <f>IF(OR($D37="C345",$D37="C12A",$D37="DATA"),
   VLOOKUP($B37,'LOD 300 - COLO3'!B:M,12,FALSE),"N/A")</f>
        <v>V14</v>
      </c>
      <c r="Q37" s="77" t="str">
        <f>IF(OR($D37="C345",$D37="C12A",$D37="DATA"),
   VLOOKUP($B37,'LOD 300 - COLO3'!B:N,13,FALSE),"N/A")</f>
        <v>23/03/2026</v>
      </c>
      <c r="R37" s="76" t="str">
        <f>IF(OR($D37="C345",$D37="C12A",$D37="DATA"),
   VLOOKUP($B37,'LOD 300 - COLO3'!B:O,14,FALSE),"N/A")</f>
        <v>R22</v>
      </c>
      <c r="S37" s="79" t="str">
        <f>IF(OR($D37="C345",$D37="C12A",$D37="DATA"),
   VLOOKUP($B37,'LOD 300 - COLO4'!B:M,12,FALSE),"N/A")</f>
        <v>N/A</v>
      </c>
      <c r="T37" s="76" t="str">
        <f>IF(OR($D37="C345",$D37="C12A",$D37="DATA"),
   VLOOKUP($B37,'LOD 300 - COLO4'!B:T,13,FALSE),"N/A")</f>
        <v>N/A</v>
      </c>
      <c r="U37" s="81">
        <f>IF(OR($D37="C345",$D37="C12A",$D37="DATA"),
   VLOOKUP($B37,'LOD 300 - COLO4'!B:U,17,FALSE),"N/A")</f>
        <v>0</v>
      </c>
      <c r="V37" s="126" t="s">
        <v>102</v>
      </c>
      <c r="W37" s="144">
        <f>IFERROR(VLOOKUP($B37,'LOD 300 - ADMN'!$B:S,18,FALSE),"N/A")</f>
        <v>0.7</v>
      </c>
      <c r="X37" s="122">
        <f>IFERROR(VLOOKUP($B37,'LOD 300 - ADMN'!$B:V,21,FALSE),"N/A")</f>
        <v>1</v>
      </c>
      <c r="Y37" s="122">
        <f>IFERROR(VLOOKUP($B37,'LOD 300 - ADMN'!$B:Y,24,FALSE),"N/A")</f>
        <v>0.9</v>
      </c>
      <c r="Z37" s="122">
        <f>IFERROR(VLOOKUP($B37,'LOD 300 - ADMN'!$B:AB,27,FALSE),"N/A")</f>
        <v>1</v>
      </c>
      <c r="AA37" s="122">
        <f>IFERROR(VLOOKUP($B37,'LOD 300 - ADMN'!$B:AE,30,FALSE),"N/A")</f>
        <v>1</v>
      </c>
      <c r="AB37" s="145">
        <f>IFERROR(VLOOKUP($B37,'LOD 300 - ADMN'!$B:AH,33,FALSE),"N/A")</f>
        <v>1</v>
      </c>
      <c r="AC37" s="145">
        <f>IFERROR(VLOOKUP($B37,'LOD 300 - ADMN'!$B:AK,36,FALSE),"N/A")</f>
        <v>1</v>
      </c>
      <c r="AD37" s="122">
        <f>IFERROR(VLOOKUP($B37,'LOD 300 - ADMN'!$B:AN,39,FALSE),"N/A")</f>
        <v>1</v>
      </c>
      <c r="AE37" s="122">
        <f>IFERROR(VLOOKUP($B37,'LOD 300 - ADMN'!$B:AQ,42,FALSE),"N/A")</f>
        <v>1</v>
      </c>
      <c r="AF37" s="122">
        <f>IFERROR(VLOOKUP($B37,'LOD 300 - ADMN'!$B:AT,45,FALSE),"N/A")</f>
        <v>1</v>
      </c>
      <c r="AG37" s="122">
        <f>IFERROR(VLOOKUP($B37,'LOD 300 - ADMN'!$B:AW,48,FALSE),"N/A")</f>
        <v>1</v>
      </c>
      <c r="AH37" s="122">
        <f>IFERROR(VLOOKUP($B37,'LOD 300 - ADMN'!$B:AZ,51,FALSE),"N/A")</f>
        <v>1</v>
      </c>
      <c r="AI37" s="122">
        <f>IFERROR(VLOOKUP($B37,'LOD 300 - ADMN'!$B:BC,54,FALSE),"N/A")</f>
        <v>1</v>
      </c>
      <c r="AJ37" s="87">
        <f>IFERROR(VLOOKUP($B37,'LOD 300 - ADMN'!$B:BF,57,FALSE),"N/A")</f>
        <v>1</v>
      </c>
      <c r="AK37" s="87">
        <f>IFERROR(VLOOKUP($B37,'LOD 300 - ADMN'!$B:EP,60,FALSE),"N/A")</f>
        <v>1</v>
      </c>
      <c r="AL37" s="87">
        <f>IFERROR(VLOOKUP($B37,'LOD 300 - ADMN'!$B:EQ,63,FALSE),"N/A")</f>
        <v>1</v>
      </c>
      <c r="AM37" s="87">
        <f>IFERROR(VLOOKUP($B37,'LOD 300 - ADMN'!$B:BO,66,FALSE),"N/A")</f>
        <v>1</v>
      </c>
      <c r="AN37" s="87">
        <f>IFERROR(VLOOKUP($B37,'LOD 300 - ADMN'!$B:BR,69,FALSE),"N/A")</f>
        <v>1</v>
      </c>
      <c r="AO37" s="87">
        <f>IFERROR(VLOOKUP($B37,'LOD 300 - ADMN'!$B:BU,72,FALSE),"N/A")</f>
        <v>1</v>
      </c>
      <c r="AP37" s="87">
        <f>IFERROR(VLOOKUP($B37,'LOD 300 - ADMN'!$B:BX,75,FALSE),"N/A")</f>
        <v>1</v>
      </c>
      <c r="AQ37" s="87">
        <f>IFERROR(VLOOKUP($B37,'LOD 300 - ADMN'!$B:CA,78,FALSE),"N/A")</f>
        <v>1</v>
      </c>
      <c r="AR37" s="87">
        <f>IFERROR(VLOOKUP($B37,'LOD 300 - ADMN'!$B:CD,81,FALSE),"N/A")</f>
        <v>1</v>
      </c>
      <c r="AS37" s="87">
        <f>IFERROR(VLOOKUP($B37,'LOD 300 - ADMN'!$B:CG,84,FALSE),"N/A")</f>
        <v>1</v>
      </c>
      <c r="AT37" s="87">
        <f>IFERROR(VLOOKUP($B37,'LOD 300 - ADMN'!$B:CJ,87,FALSE),"N/A")</f>
        <v>1</v>
      </c>
      <c r="AU37" s="88">
        <f>IFERROR(VLOOKUP($B37,'LOD 300 - ADMN'!$B:CM,90,FALSE),"N/A")</f>
        <v>1</v>
      </c>
      <c r="AV37" s="88">
        <f>IFERROR(VLOOKUP($B37,'LOD 300 - ADMN'!$B:CP,93,FALSE),"N/A")</f>
        <v>1</v>
      </c>
      <c r="AW37" s="88">
        <f>IFERROR(VLOOKUP($B37,'LOD 300 - ADMN'!$B:CS,96,FALSE),"N/A")</f>
        <v>1</v>
      </c>
      <c r="AX37" s="88">
        <f>IFERROR(VLOOKUP($B37,'LOD 300 - ADMN'!$B:CV,99,FALSE),"N/A")</f>
        <v>1</v>
      </c>
      <c r="AY37" s="88">
        <f>IFERROR(VLOOKUP($B37,'LOD 300 - ADMN'!$B:CY,102,FALSE),"N/A")</f>
        <v>1</v>
      </c>
      <c r="AZ37" s="88">
        <f>IFERROR(VLOOKUP($B37,'LOD 300 - ADMN'!$B:DB,105,FALSE),"N/A")</f>
        <v>1</v>
      </c>
      <c r="BA37" s="87">
        <f>IFERROR(VLOOKUP($B37,'LOD 300 - ADMN'!$B:DE,108,FALSE),"N/A")</f>
        <v>1</v>
      </c>
      <c r="BB37" s="87">
        <f>IFERROR(VLOOKUP($B37,'LOD 300 - ADMN'!$B:DH,111,FALSE),"N/A")</f>
        <v>1</v>
      </c>
      <c r="BC37" s="87">
        <f>IFERROR(VLOOKUP($B37,'LOD 300 - ADMN'!$B:DK,114,FALSE),"N/A")</f>
        <v>1</v>
      </c>
      <c r="BD37" s="87">
        <f>IFERROR(VLOOKUP($B37,'LOD 300 - ADMN'!$B:DN,117,FALSE),"N/A")</f>
        <v>1</v>
      </c>
      <c r="BE37" s="87">
        <f>IFERROR(VLOOKUP($B37,'LOD 300 - ADMN'!$B:DQ,120,FALSE),"N/A")</f>
        <v>1</v>
      </c>
      <c r="BF37" s="87">
        <f>IFERROR(VLOOKUP($B37,'LOD 300 - ADMN'!$B:DT,123,FALSE),"N/A")</f>
        <v>1</v>
      </c>
      <c r="BG37" s="87">
        <f>IFERROR(VLOOKUP($B37,'LOD 300 - ADMN'!$B:DW,126,FALSE),"N/A")</f>
        <v>1</v>
      </c>
      <c r="BH37" s="87">
        <f>IFERROR(VLOOKUP($B37,'LOD 300 - ADMN'!$B:DZ,129,FALSE),"N/A")</f>
        <v>1</v>
      </c>
      <c r="BI37" s="87">
        <f>IFERROR(VLOOKUP($B37,'LOD 300 - ADMN'!$B:EC,132,FALSE),"N/A")</f>
        <v>1</v>
      </c>
      <c r="BJ37" s="90">
        <f>IFERROR(__xludf.DUMMYFUNCTION("IFERROR(
  MAX(FILTER(X37:BI37, ISNUMBER(X37:BI37))),
  BI37
)"),1.0)</f>
        <v>1</v>
      </c>
      <c r="BK37" s="91">
        <f>IFERROR(VLOOKUP($B37,'LOD 300 - COLO1'!$B:S,18,FALSE),"N/A")</f>
        <v>0.6</v>
      </c>
      <c r="BL37" s="92">
        <f>IFERROR(VLOOKUP($B37,'LOD 300 - COLO1'!$B:V,21,FALSE),"N/A")</f>
        <v>0.9</v>
      </c>
      <c r="BM37" s="92">
        <f>IFERROR(VLOOKUP($B37,'LOD 300 - COLO1'!$B:Y,24,FALSE),"N/A")</f>
        <v>0.9</v>
      </c>
      <c r="BN37" s="92">
        <f>IFERROR(VLOOKUP($B37,'LOD 300 - COLO1'!$B:AB,27,FALSE),"N/A")</f>
        <v>1</v>
      </c>
      <c r="BO37" s="92">
        <f>IFERROR(VLOOKUP($B37,'LOD 300 - COLO1'!$B:AE,30,FALSE),"N/A")</f>
        <v>1</v>
      </c>
      <c r="BP37" s="92">
        <f>IFERROR(VLOOKUP($B37,'LOD 300 - COLO1'!$B:AH,33,FALSE),"N/A")</f>
        <v>1</v>
      </c>
      <c r="BQ37" s="92">
        <f>IFERROR(VLOOKUP($B37,'LOD 300 - COLO1'!$B:AK,36,FALSE),"N/A")</f>
        <v>1</v>
      </c>
      <c r="BR37" s="92">
        <f>IFERROR(VLOOKUP($B37,'LOD 300 - COLO1'!$B:AN,39,FALSE),"N/A")</f>
        <v>1</v>
      </c>
      <c r="BS37" s="92">
        <f>IFERROR(VLOOKUP($B37,'LOD 300 - COLO1'!$B:AQ,42,FALSE),"N/A")</f>
        <v>1</v>
      </c>
      <c r="BT37" s="92">
        <f>IFERROR(VLOOKUP($B37,'LOD 300 - COLO1'!$B:AT,45,FALSE),"N/A")</f>
        <v>1</v>
      </c>
      <c r="BU37" s="92">
        <f>IFERROR(VLOOKUP($B37,'LOD 300 - COLO1'!$B:AW,48,FALSE),"N/A")</f>
        <v>1</v>
      </c>
      <c r="BV37" s="92">
        <f>IFERROR(VLOOKUP($B37,'LOD 300 - COLO1'!$B:AZ,51,FALSE),"N/A")</f>
        <v>1</v>
      </c>
      <c r="BW37" s="92">
        <f>IFERROR(VLOOKUP($B37,'LOD 300 - COLO1'!$B:BC,54,FALSE),"N/A")</f>
        <v>1</v>
      </c>
      <c r="BX37" s="94">
        <f>IFERROR(VLOOKUP($B37,'LOD 300 - COLO1'!$B:BF,57,FALSE),"N/A")</f>
        <v>1</v>
      </c>
      <c r="BY37" s="94">
        <f>IFERROR(VLOOKUP($B37,'LOD 300 - COLO1'!$B:BI,60,FALSE),"N/A")</f>
        <v>1</v>
      </c>
      <c r="BZ37" s="95">
        <f>IFERROR(VLOOKUP($B37,'LOD 300 - COLO1'!$B:BL,63,FALSE),"N/A")</f>
        <v>1</v>
      </c>
      <c r="CA37" s="86">
        <f>IFERROR(VLOOKUP($B37,'LOD 300 - COLO1'!$B:BO,66,FALSE),"N/A")</f>
        <v>1</v>
      </c>
      <c r="CB37" s="86">
        <f>IFERROR(VLOOKUP($B37,'LOD 300 - COLO1'!$B:BR,69,FALSE),"N/A")</f>
        <v>1</v>
      </c>
      <c r="CC37" s="86">
        <f>IFERROR(VLOOKUP($B37,'LOD 300 - COLO1'!$B:BU,72,FALSE),"N/A")</f>
        <v>1</v>
      </c>
      <c r="CD37" s="86">
        <f>IFERROR(VLOOKUP($B37,'LOD 300 - COLO1'!$B:BX,75,FALSE),"N/A")</f>
        <v>1</v>
      </c>
      <c r="CE37" s="86">
        <f>IFERROR(VLOOKUP($B37,'LOD 300 - COLO1'!$B:CA,78,FALSE),"N/A")</f>
        <v>1</v>
      </c>
      <c r="CF37" s="87">
        <f>IFERROR(VLOOKUP($B37,'LOD 300 - COLO1'!$B:CD,81,FALSE),"N/A")</f>
        <v>1</v>
      </c>
      <c r="CG37" s="86">
        <f>IFERROR(VLOOKUP($B37,'LOD 300 - COLO1'!$B:CG,84,FALSE),"N/A")</f>
        <v>1</v>
      </c>
      <c r="CH37" s="87">
        <f>IFERROR(VLOOKUP($B37,'LOD 300 - COLO1'!$B:CJ,87,FALSE),"N/A")</f>
        <v>1</v>
      </c>
      <c r="CI37" s="88">
        <f>IFERROR(VLOOKUP($B37,'LOD 300 - COLO1'!$B:CM,90,FALSE),"N/A")</f>
        <v>1</v>
      </c>
      <c r="CJ37" s="88">
        <f>IFERROR(VLOOKUP($B37,'LOD 300 - COLO1'!$B:CP,93,FALSE),"N/A")</f>
        <v>1</v>
      </c>
      <c r="CK37" s="88">
        <f>IFERROR(VLOOKUP($B37,'LOD 300 - COLO1'!$B:CS,96,FALSE),"N/A")</f>
        <v>1</v>
      </c>
      <c r="CL37" s="88">
        <f>IFERROR(VLOOKUP($B37,'LOD 300 - COLO1'!$B:CV,99,FALSE),"N/A")</f>
        <v>1</v>
      </c>
      <c r="CM37" s="88">
        <f>IFERROR(VLOOKUP($B37,'LOD 300 - COLO1'!$B:CY,102,FALSE),"N/A")</f>
        <v>1</v>
      </c>
      <c r="CN37" s="89">
        <f>IFERROR(VLOOKUP($B37,'LOD 300 - COLO1'!$B:DB,105,FALSE),"N/A")</f>
        <v>1</v>
      </c>
      <c r="CO37" s="87">
        <f>IFERROR(VLOOKUP($B37,'LOD 300 - COLO1'!$B:EE,108,FALSE),"N/A")</f>
        <v>1</v>
      </c>
      <c r="CP37" s="87">
        <f>IFERROR(VLOOKUP($B37,'LOD 300 - COLO1'!$B:EH,111,FALSE),"N/A")</f>
        <v>1</v>
      </c>
      <c r="CQ37" s="87">
        <f>IFERROR(VLOOKUP($B37,'LOD 300 - COLO1'!$B:EK,114,FALSE),"N/A")</f>
        <v>1</v>
      </c>
      <c r="CR37" s="87">
        <f>IFERROR(VLOOKUP($B37,'LOD 300 - COLO1'!$B:EN,117,FALSE),"N/A")</f>
        <v>1</v>
      </c>
      <c r="CS37" s="87">
        <f>IFERROR(VLOOKUP($B37,'LOD 300 - COLO1'!$B:EQ,120,FALSE),"N/A")</f>
        <v>1</v>
      </c>
      <c r="CT37" s="87">
        <f>IFERROR(VLOOKUP($B37,'LOD 300 - COLO1'!$B:ET,123,FALSE),"N/A")</f>
        <v>1</v>
      </c>
      <c r="CU37" s="87">
        <f>IFERROR(VLOOKUP($B37,'LOD 300 - COLO1'!$B:EW,126,FALSE),"N/A")</f>
        <v>1</v>
      </c>
      <c r="CV37" s="87">
        <f>IFERROR(VLOOKUP($B37,'LOD 300 - COLO1'!$B:EZ,129,FALSE),"N/A")</f>
        <v>1</v>
      </c>
      <c r="CW37" s="87">
        <f>IFERROR(VLOOKUP($B37,'LOD 300 - COLO1'!$B:FC,132,FALSE),"N/A")</f>
        <v>1</v>
      </c>
      <c r="CX37" s="96">
        <f>IFERROR(__xludf.DUMMYFUNCTION("IFERROR(
  MAX(FILTER(BK37:CW37, ISNUMBER(BK37:CW37))),
  CW37
)"),1.0)</f>
        <v>1</v>
      </c>
      <c r="CY37" s="104">
        <f>IFERROR(VLOOKUP($B37,'LOD 300 - COLO2'!$B:S,18,FALSE),"N/A")</f>
        <v>0.9</v>
      </c>
      <c r="CZ37" s="117" t="str">
        <f>IFERROR(VLOOKUP($B37,'LOD 300 - COLO2'!$B:V,21,FALSE),"N/A")</f>
        <v>OUTDATED MODEL</v>
      </c>
      <c r="DA37" s="117">
        <f>IFERROR(VLOOKUP($B37,'LOD 300 - COLO2'!$B:Y,24,FALSE),"N/A")</f>
        <v>1</v>
      </c>
      <c r="DB37" s="117">
        <f>IFERROR(VLOOKUP($B37,'LOD 300 - COLO2'!$B:AB,27,FALSE),"N/A")</f>
        <v>1</v>
      </c>
      <c r="DC37" s="92">
        <f>IFERROR(VLOOKUP($B37,'LOD 300 - COLO2'!$B:AE,30,FALSE),"N/A")</f>
        <v>1</v>
      </c>
      <c r="DD37" s="120">
        <f>IFERROR(VLOOKUP($B37,'LOD 300 - COLO2'!$B:AH,33,FALSE),"N/A")</f>
        <v>1</v>
      </c>
      <c r="DE37" s="117">
        <f>IFERROR(VLOOKUP($B37,'LOD 300 - COLO2'!$B:AK,36,FALSE),"N/A")</f>
        <v>1</v>
      </c>
      <c r="DF37" s="117">
        <f>IFERROR(VLOOKUP($B37,'LOD 300 - COLO2'!$B:AN,39,FALSE),"N/A")</f>
        <v>1</v>
      </c>
      <c r="DG37" s="119">
        <f>IFERROR(VLOOKUP($B37,'LOD 300 - COLO2'!$B:AQ,42,FALSE),"N/A")</f>
        <v>1</v>
      </c>
      <c r="DH37" s="87">
        <f>IFERROR(VLOOKUP($B37,'LOD 300 - COLO2'!$B:AT,45,FALSE),"N/A")</f>
        <v>1</v>
      </c>
      <c r="DI37" s="94">
        <f>IFERROR(VLOOKUP($B37,'LOD 300 - COLO2'!$B:AW,48,FALSE),"N/A")</f>
        <v>1</v>
      </c>
      <c r="DJ37" s="95">
        <f>IFERROR(VLOOKUP($B37,'LOD 300 - COLO2'!$B:AZ,51,FALSE),"N/A")</f>
        <v>1</v>
      </c>
      <c r="DK37" s="86">
        <f>IFERROR(VLOOKUP($B37,'LOD 300 - COLO2'!$B:BC,54,FALSE),"N/A")</f>
        <v>1</v>
      </c>
      <c r="DL37" s="86">
        <f>IFERROR(VLOOKUP($B37,'LOD 300 - COLO2'!$B:BF,57,FALSE),"N/A")</f>
        <v>1</v>
      </c>
      <c r="DM37" s="86">
        <f>IFERROR(VLOOKUP($B37,'LOD 300 - COLO2'!$B:BI,60,FALSE),"N/A")</f>
        <v>1</v>
      </c>
      <c r="DN37" s="86">
        <f>IFERROR(VLOOKUP($B37,'LOD 300 - COLO2'!$B:BL,63,FALSE),"N/A")</f>
        <v>1</v>
      </c>
      <c r="DO37" s="86">
        <f>IFERROR(VLOOKUP($B37,'LOD 300 - COLO2'!$B:BO,66,FALSE),"N/A")</f>
        <v>1</v>
      </c>
      <c r="DP37" s="87">
        <f>IFERROR(VLOOKUP($B37,'LOD 300 - COLO2'!$B:BR,69,FALSE),"N/A")</f>
        <v>1</v>
      </c>
      <c r="DQ37" s="87">
        <f>IFERROR(VLOOKUP($B37,'LOD 300 - COLO2'!$B:BU,72,FALSE),"N/A")</f>
        <v>1</v>
      </c>
      <c r="DR37" s="87">
        <f>IFERROR(VLOOKUP($B37,'LOD 300 - COLO2'!$B:BX,75,FALSE),"N/A")</f>
        <v>1</v>
      </c>
      <c r="DS37" s="98">
        <f>IFERROR(VLOOKUP($B37,'LOD 300 - COLO2'!$B:CA,78,FALSE),"N/A")</f>
        <v>1</v>
      </c>
      <c r="DT37" s="98">
        <f>IFERROR(VLOOKUP($B37,'LOD 300 - COLO2'!$B:CD,81,FALSE),"N/A")</f>
        <v>1</v>
      </c>
      <c r="DU37" s="98">
        <f>IFERROR(VLOOKUP($B37,'LOD 300 - COLO2'!$B:CG,84,FALSE),"N/A")</f>
        <v>1</v>
      </c>
      <c r="DV37" s="98">
        <f>IFERROR(VLOOKUP($B37,'LOD 300 - COLO2'!$B:CJ,87,FALSE),"N/A")</f>
        <v>1</v>
      </c>
      <c r="DW37" s="98">
        <f>IFERROR(VLOOKUP($B37,'LOD 300 - COLO2'!$B:CM,90,FALSE),"N/A")</f>
        <v>1</v>
      </c>
      <c r="DX37" s="98">
        <f>IFERROR(VLOOKUP($B37,'LOD 300 - COLO2'!$B:CP,93,FALSE),"N/A")</f>
        <v>1</v>
      </c>
      <c r="DY37" s="87">
        <f>IFERROR(VLOOKUP($B37,'LOD 300 - COLO2'!$B:CS,96,FALSE),"N/A")</f>
        <v>1</v>
      </c>
      <c r="DZ37" s="87">
        <f>IFERROR(VLOOKUP($B37,'LOD 300 - COLO2'!$B:CV,99,FALSE),"N/A")</f>
        <v>1</v>
      </c>
      <c r="EA37" s="87">
        <f>IFERROR(VLOOKUP($B37,'LOD 300 - COLO2'!$B:DB,105,FALSE),"N/A")</f>
        <v>1</v>
      </c>
      <c r="EB37" s="87">
        <f>IFERROR(VLOOKUP($B37,'LOD 300 - COLO2'!$B:DB,105,FALSE),"N/A")</f>
        <v>1</v>
      </c>
      <c r="EC37" s="87">
        <f>IFERROR(VLOOKUP($B37,'LOD 300 - COLO2'!$B:DE,108,FALSE),"N/A")</f>
        <v>1</v>
      </c>
      <c r="ED37" s="87">
        <f>IFERROR(VLOOKUP($B37,'LOD 300 - COLO2'!$B:DH,111,FALSE),"N/A")</f>
        <v>1</v>
      </c>
      <c r="EE37" s="87">
        <f>IFERROR(VLOOKUP($B37,'LOD 300 - COLO2'!$B:DK,114,FALSE),"N/A")</f>
        <v>1</v>
      </c>
      <c r="EF37" s="87">
        <f>IFERROR(VLOOKUP($B37,'LOD 300 - COLO2'!$B:DN,117,FALSE),"N/A")</f>
        <v>1</v>
      </c>
      <c r="EG37" s="87">
        <f>IFERROR(VLOOKUP($B37,'LOD 300 - COLO2'!$B:DQ,120,FALSE),"N/A")</f>
        <v>1</v>
      </c>
      <c r="EH37" s="99">
        <f>IFERROR(__xludf.DUMMYFUNCTION("IFERROR(
  MAX(FILTER(CZ37:EG37, ISNUMBER(CZ37:EG37))),
  EG37
)"),1.0)</f>
        <v>1</v>
      </c>
      <c r="EI37" s="100">
        <f>IFERROR(VLOOKUP($B37,'LOD 300 - COLO3'!$B:R,17,FALSE),"N/A")</f>
        <v>0</v>
      </c>
      <c r="EJ37" s="127">
        <f>IFERROR(VLOOKUP($B37,'LOD 300 - COLO3'!$B:U,20,FALSE),"N/A")</f>
        <v>1</v>
      </c>
      <c r="EK37" s="127">
        <f>IFERROR(VLOOKUP($B37,'LOD 300 - COLO3'!$B:X,23,FALSE),"N/A")</f>
        <v>1</v>
      </c>
      <c r="EL37" s="127">
        <f>IFERROR(VLOOKUP($B37,'LOD 300 - COLO3'!$B:AA,26,FALSE),"N/A")</f>
        <v>1</v>
      </c>
      <c r="EM37" s="127">
        <f>IFERROR(VLOOKUP($B37,'LOD 300 - COLO3'!$B:AD,29,FALSE),"N/A")</f>
        <v>1</v>
      </c>
      <c r="EN37" s="127">
        <f>IFERROR(VLOOKUP($B37,'LOD 300 - COLO3'!$B:AG,32,FALSE),"N/A")</f>
        <v>1</v>
      </c>
      <c r="EO37" s="127">
        <f>IFERROR(VLOOKUP($B37,'LOD 300 - COLO3'!$B:AJ,35,FALSE),"N/A")</f>
        <v>1</v>
      </c>
      <c r="EP37" s="100">
        <f>IFERROR(VLOOKUP($B37,'LOD 300 - COLO3'!$B:AM,38,FALSE),"N/A")</f>
        <v>1</v>
      </c>
      <c r="EQ37" s="100">
        <f>IFERROR(VLOOKUP($B37,'LOD 300 - COLO3'!$B:AP,41,FALSE),"N/A")</f>
        <v>1</v>
      </c>
      <c r="ER37" s="100">
        <f>IFERROR(VLOOKUP($B37,'LOD 300 - COLO3'!$B:AS,44,FALSE),"N/A")</f>
        <v>1</v>
      </c>
      <c r="ES37" s="100">
        <f>IFERROR(VLOOKUP($B37,'LOD 300 - COLO3'!$B:AV,47,FALSE),"N/A")</f>
        <v>1</v>
      </c>
      <c r="ET37" s="100">
        <f>IFERROR(VLOOKUP($B37,'LOD 300 - COLO3'!$B:AY,50,FALSE),"N/A")</f>
        <v>1</v>
      </c>
      <c r="EU37" s="100">
        <f>IFERROR(VLOOKUP($B37,'LOD 300 - COLO3'!$B:BB,53,FALSE),"N/A")</f>
        <v>1</v>
      </c>
      <c r="EV37" s="100">
        <f>IFERROR(VLOOKUP($B37,'LOD 300 - COLO3'!$B:BE,56,FALSE),"N/A")</f>
        <v>1</v>
      </c>
      <c r="EW37" s="100">
        <f>IFERROR(VLOOKUP($B37,'LOD 300 - COLO3'!$B:BL,59,FALSE),"N/A")</f>
        <v>1</v>
      </c>
      <c r="EX37" s="100">
        <f>IFERROR(VLOOKUP($B37,'LOD 300 - COLO3'!$B:BO,62,FALSE),"N/A")</f>
        <v>1</v>
      </c>
      <c r="EY37" s="103">
        <f>IFERROR(__xludf.DUMMYFUNCTION("IFERROR(
  MAX(FILTER(EI37:EX37, ISNUMBER(EI37:EX37))),
  EX37
)"),1.0)</f>
        <v>1</v>
      </c>
      <c r="EZ37" s="104">
        <f>IFERROR(VLOOKUP($B37,'LOD 300 - COLO4'!$B:BT,17,FALSE),"N/A")</f>
        <v>0</v>
      </c>
      <c r="FA37" s="103">
        <f>IFERROR(__xludf.DUMMYFUNCTION("IFERROR(
  MAX(FILTER(EZ37, ISNUMBER(EZ37))),
  EZ37
)"),0.0)</f>
        <v>0</v>
      </c>
      <c r="FB37" s="121" t="str">
        <f>IFERROR(VLOOKUP($B37,'LOD 300 - SITE'!$B:S,18,FALSE),"N/A")</f>
        <v>N/A</v>
      </c>
      <c r="FC37" s="122" t="str">
        <f>IFERROR(VLOOKUP($B37,'LOD 300 - SITE'!$B:V,21,FALSE),"N/A")</f>
        <v>N/A</v>
      </c>
      <c r="FD37" s="122" t="str">
        <f>IFERROR(VLOOKUP($B37,'LOD 300 - SITE'!$B:Y,24,FALSE),"N/A")</f>
        <v>N/A</v>
      </c>
      <c r="FE37" s="122" t="str">
        <f>IFERROR(VLOOKUP($B37,'LOD 300 - SITE'!$B:AB,27,FALSE),"N/A")</f>
        <v>N/A</v>
      </c>
      <c r="FF37" s="122" t="str">
        <f>IFERROR(VLOOKUP($B37,'LOD 300 - SITE'!$B:AE,30,FALSE),"N/A")</f>
        <v>N/A</v>
      </c>
      <c r="FG37" s="122" t="str">
        <f>IFERROR(VLOOKUP($B37,'LOD 300 - SITE'!$B:AH,33,FALSE),"N/A")</f>
        <v>N/A</v>
      </c>
      <c r="FH37" s="122" t="str">
        <f>IFERROR(VLOOKUP($B37,'LOD 300 - SITE'!$B:AK,36,FALSE),"N/A")</f>
        <v>N/A</v>
      </c>
      <c r="FI37" s="122" t="str">
        <f>IFERROR(VLOOKUP($B37,'LOD 300 - SITE'!$B:AN,39,FALSE),"N/A")</f>
        <v>N/A</v>
      </c>
      <c r="FJ37" s="122" t="str">
        <f>IFERROR(VLOOKUP($B37,'LOD 300 - SITE'!$B:AQ,42,FALSE),"N/A")</f>
        <v>N/A</v>
      </c>
      <c r="FK37" s="122" t="str">
        <f>IFERROR(VLOOKUP($B37,'LOD 300 - SITE'!$B:AT,45,FALSE),"N/A")</f>
        <v>N/A</v>
      </c>
      <c r="FL37" s="123" t="str">
        <f>IFERROR(VLOOKUP($B37,'LOD 300 - SITE'!$B:AW,48,FALSE),"N/A")</f>
        <v>N/A</v>
      </c>
      <c r="FM37" s="87" t="str">
        <f>IFERROR(VLOOKUP($B37,'LOD 300 - SITE'!$B:AZ,51,FALSE),"N/A")</f>
        <v>N/A</v>
      </c>
      <c r="FN37" s="94" t="str">
        <f>IFERROR(VLOOKUP($B37,'LOD 300 - SITE'!$B:BC,54,FALSE),"N/A")</f>
        <v>N/A</v>
      </c>
      <c r="FO37" s="95" t="str">
        <f>IFERROR(VLOOKUP($B37,'LOD 300 - SITE'!$B:BF,57,FALSE),"N/A")</f>
        <v>N/A</v>
      </c>
      <c r="FP37" s="86" t="str">
        <f>IFERROR(VLOOKUP($B37,'LOD 300 - SITE'!$B:BI,60,FALSE),"N/A")</f>
        <v>N/A</v>
      </c>
      <c r="FQ37" s="86" t="str">
        <f>IFERROR(VLOOKUP($B37,'LOD 300 - SITE'!$B:BL,63,FALSE),"N/A")</f>
        <v>N/A</v>
      </c>
      <c r="FR37" s="86" t="str">
        <f>IFERROR(VLOOKUP($B37,'LOD 300 - SITE'!$B:BO,66,FALSE),"N/A")</f>
        <v>N/A</v>
      </c>
      <c r="FS37" s="86" t="str">
        <f>IFERROR(VLOOKUP($B37,'LOD 300 - SITE'!$B:BR,69,FALSE),"N/A")</f>
        <v>N/A</v>
      </c>
      <c r="FT37" s="86" t="str">
        <f>IFERROR(VLOOKUP($B37,'LOD 300 - SITE'!$B:BU,72,FALSE),"N/A")</f>
        <v>N/A</v>
      </c>
      <c r="FU37" s="86" t="str">
        <f>IFERROR(VLOOKUP($B37,'LOD 300 - SITE'!$B:BX,75,FALSE),"N/A")</f>
        <v>N/A</v>
      </c>
      <c r="FV37" s="86" t="str">
        <f>IFERROR(VLOOKUP($B37,'LOD 300 - SITE'!$B:CA,78,FALSE),"N/A")</f>
        <v>N/A</v>
      </c>
      <c r="FW37" s="87" t="str">
        <f>IFERROR(VLOOKUP($B37,'LOD 300 - SITE'!$B:CD,81,FALSE),"N/A")</f>
        <v>N/A</v>
      </c>
      <c r="FX37" s="108" t="str">
        <f>IFERROR(VLOOKUP($B37,'LOD 300 - SITE'!$B:CG,84,FALSE),"N/A")</f>
        <v>N/A</v>
      </c>
      <c r="FY37" s="108" t="str">
        <f>IFERROR(VLOOKUP($B37,'LOD 300 - SITE'!$B:CJ,87,FALSE),"N/A")</f>
        <v>N/A</v>
      </c>
      <c r="FZ37" s="108" t="str">
        <f>IFERROR(VLOOKUP($B37,'LOD 300 - SITE'!$B:CM,90,FALSE),"N/A")</f>
        <v>N/A</v>
      </c>
      <c r="GA37" s="108" t="str">
        <f>IFERROR(VLOOKUP($B37,'LOD 300 - SITE'!$B:CP,93,FALSE),"N/A")</f>
        <v>N/A</v>
      </c>
      <c r="GB37" s="108" t="str">
        <f>IFERROR(VLOOKUP($B37,'LOD 300 - SITE'!$B:CS,96,FALSE),"N/A")</f>
        <v>N/A</v>
      </c>
      <c r="GC37" s="109" t="str">
        <f>IFERROR(VLOOKUP($B37,'LOD 300 - SITE'!$B:CV,99,FALSE),"N/A")</f>
        <v>N/A</v>
      </c>
      <c r="GD37" s="87" t="str">
        <f>IFERROR(VLOOKUP($B37,'LOD 300 - SITE'!$B:CY,102,FALSE),"N/A")</f>
        <v>N/A</v>
      </c>
      <c r="GE37" s="87" t="str">
        <f>IFERROR(VLOOKUP($B37,'LOD 300 - SITE'!$B:DB,105,FALSE),"N/A")</f>
        <v>N/A</v>
      </c>
      <c r="GF37" s="87" t="str">
        <f>IFERROR(VLOOKUP($B37,'LOD 300 - SITE'!$B:DE,108,FALSE),"N/A")</f>
        <v>N/A</v>
      </c>
      <c r="GG37" s="87" t="str">
        <f>IFERROR(VLOOKUP($B37,'LOD 300 - SITE'!$B:DH,111,FALSE),"N/A")</f>
        <v>N/A</v>
      </c>
      <c r="GH37" s="87" t="str">
        <f>IFERROR(VLOOKUP($B37,'LOD 300 - SITE'!$B:DK,114,FALSE),"N/A")</f>
        <v>N/A</v>
      </c>
      <c r="GI37" s="87" t="str">
        <f>IFERROR(VLOOKUP($B37,'LOD 300 - SITE'!$B:DN,117,FALSE),"N/A")</f>
        <v>N/A</v>
      </c>
      <c r="GJ37" s="87" t="str">
        <f>IFERROR(VLOOKUP($B37,'LOD 300 - SITE'!$B:DQ,120,FALSE),"N/A")</f>
        <v>N/A</v>
      </c>
      <c r="GK37" s="87" t="str">
        <f>IFERROR(VLOOKUP($B37,'LOD 300 - SITE'!$B:DT,123,FALSE),"N/A")</f>
        <v>N/A</v>
      </c>
      <c r="GL37" s="87" t="str">
        <f>IFERROR(VLOOKUP($B37,'LOD 300 - SITE'!$B:DW,126,FALSE),"N/A")</f>
        <v>N/A</v>
      </c>
      <c r="GM37" s="110" t="str">
        <f>IFERROR(__xludf.DUMMYFUNCTION("IFERROR(
  MAX(FILTER(FB37:GL37, ISNUMBER(FB37:GL37))),
  GL37
)"),"N/A")</f>
        <v>N/A</v>
      </c>
      <c r="GN37" s="111"/>
      <c r="GO37" s="111"/>
      <c r="GP37" s="111"/>
    </row>
    <row r="38" ht="15.0" customHeight="1" outlineLevel="1">
      <c r="A38" s="60">
        <v>41.0</v>
      </c>
      <c r="B38" s="140" t="s">
        <v>181</v>
      </c>
      <c r="C38" s="70" t="s">
        <v>182</v>
      </c>
      <c r="D38" s="71" t="s">
        <v>90</v>
      </c>
      <c r="E38" s="146" t="s">
        <v>180</v>
      </c>
      <c r="F38" s="13">
        <v>1114.0</v>
      </c>
      <c r="G38" s="139" t="s">
        <v>180</v>
      </c>
      <c r="H38" s="139">
        <v>1114.0</v>
      </c>
      <c r="I38" s="74" t="str">
        <f>IFERROR(VLOOKUP(C35:C177,'R22 RELATÓRIO ACC'!B:F,5,FALSE),"NOT PUBLISHED")</f>
        <v>V11</v>
      </c>
      <c r="J38" s="74" t="str">
        <f>IFERROR(VLOOKUP(C35:C177,'R22 RELATÓRIO ACC'!B:P,15,FALSE),"NOT PUBLISHED")</f>
        <v>03/02/2026</v>
      </c>
      <c r="K38" s="141" t="str">
        <f>IFERROR(VLOOKUP(B35:B226,'RELATÓRIO ACC'!B:F,5,FALSE),"NOT PUBLISHED")</f>
        <v>V1</v>
      </c>
      <c r="L38" s="142" t="str">
        <f>IFERROR(VLOOKUP(B35:B226,'RELATÓRIO ACC'!B:P,15,FALSE),"NOT PUBLISHED")</f>
        <v>15/05/2026</v>
      </c>
      <c r="M38" s="76" t="str">
        <f>IF(OR($D38="UTLS",$D38="GUAR",$D38="STIR",$D38="PUMP",$D38="SITE"),
   VLOOKUP($B38,'LOD 300 - SITE'!B:M,12,FALSE),
   VLOOKUP($B38,'LOD 300 - ADMN'!B:M,12,FALSE)
)</f>
        <v>V8</v>
      </c>
      <c r="N38" s="77">
        <f>IF(OR($D38="UTLS",$D38="GUAR",$D38="STIR",$D38="PUMP",$D38="SITE"),
   VLOOKUP($B38,'LOD 300 - SITE'!B:N,13,FALSE),
   VLOOKUP($B38,'LOD 300 - ADMN'!B:N,13,FALSE)
)</f>
        <v>45896</v>
      </c>
      <c r="O38" s="114" t="str">
        <f>IF(OR($D38="UTLS",$D38="GUAR",$D38="STIR",$D38="PUMP",$D38="SITE"),
   VLOOKUP($B38,'LOD 300 - SITE'!B:O,14,FALSE),
   VLOOKUP($B38,'LOD 300 - ADMN'!B:O,14,FALSE)
)</f>
        <v>R22</v>
      </c>
      <c r="P38" s="79" t="str">
        <f>IF(OR($D38="C345",$D38="C12A",$D38="DATA"),
   VLOOKUP($B38,'LOD 300 - COLO3'!B:M,12,FALSE),"N/A")</f>
        <v>N/A</v>
      </c>
      <c r="Q38" s="76" t="str">
        <f>IF(OR($D38="C345",$D38="C12A",$D38="DATA"),
   VLOOKUP($B38,'LOD 300 - COLO3'!B:N,13,FALSE),"N/A")</f>
        <v>N/A</v>
      </c>
      <c r="R38" s="76" t="str">
        <f>IF(OR($D38="C345",$D38="C12A",$D38="DATA"),
   VLOOKUP($B38,'LOD 300 - COLO3'!B:O,14,FALSE),"N/A")</f>
        <v>N/A</v>
      </c>
      <c r="S38" s="79" t="str">
        <f>IF(OR($D38="C345",$D38="C12A",$D38="DATA"),
   VLOOKUP($B38,'LOD 300 - COLO4'!B:M,12,FALSE),"N/A")</f>
        <v>N/A</v>
      </c>
      <c r="T38" s="76" t="str">
        <f>IF(OR($D38="C345",$D38="C12A",$D38="DATA"),
   VLOOKUP($B38,'LOD 300 - COLO4'!B:T,13,FALSE),"N/A")</f>
        <v>N/A</v>
      </c>
      <c r="U38" s="76" t="str">
        <f>IF(OR($D38="C345",$D38="C12A",$D38="DATA"),
   VLOOKUP($B38,'LOD 300 - COLO4'!B:U,17,FALSE),"N/A")</f>
        <v>N/A</v>
      </c>
      <c r="V38" s="126" t="s">
        <v>87</v>
      </c>
      <c r="W38" s="144" t="str">
        <f>IFERROR(VLOOKUP($B38,'LOD 300 - ADMN'!$B:S,18,FALSE),"N/A")</f>
        <v>N/A</v>
      </c>
      <c r="X38" s="122" t="str">
        <f>IFERROR(VLOOKUP($B38,'LOD 300 - ADMN'!$B:V,21,FALSE),"N/A")</f>
        <v>N/A</v>
      </c>
      <c r="Y38" s="122" t="str">
        <f>IFERROR(VLOOKUP($B38,'LOD 300 - ADMN'!$B:Y,24,FALSE),"N/A")</f>
        <v>N/A</v>
      </c>
      <c r="Z38" s="122" t="str">
        <f>IFERROR(VLOOKUP($B38,'LOD 300 - ADMN'!$B:AB,27,FALSE),"N/A")</f>
        <v>N/A</v>
      </c>
      <c r="AA38" s="122" t="str">
        <f>IFERROR(VLOOKUP($B38,'LOD 300 - ADMN'!$B:AE,30,FALSE),"N/A")</f>
        <v>N/A</v>
      </c>
      <c r="AB38" s="145" t="str">
        <f>IFERROR(VLOOKUP($B38,'LOD 300 - ADMN'!$B:AH,33,FALSE),"N/A")</f>
        <v>N/A</v>
      </c>
      <c r="AC38" s="145" t="str">
        <f>IFERROR(VLOOKUP($B38,'LOD 300 - ADMN'!$B:AK,36,FALSE),"N/A")</f>
        <v>N/A</v>
      </c>
      <c r="AD38" s="122" t="str">
        <f>IFERROR(VLOOKUP($B38,'LOD 300 - ADMN'!$B:AN,39,FALSE),"N/A")</f>
        <v>N/A</v>
      </c>
      <c r="AE38" s="122" t="str">
        <f>IFERROR(VLOOKUP($B38,'LOD 300 - ADMN'!$B:AQ,42,FALSE),"N/A")</f>
        <v>N/A</v>
      </c>
      <c r="AF38" s="122" t="str">
        <f>IFERROR(VLOOKUP($B38,'LOD 300 - ADMN'!$B:AT,45,FALSE),"N/A")</f>
        <v>N/A</v>
      </c>
      <c r="AG38" s="122" t="str">
        <f>IFERROR(VLOOKUP($B38,'LOD 300 - ADMN'!$B:AW,48,FALSE),"N/A")</f>
        <v>N/A</v>
      </c>
      <c r="AH38" s="122" t="str">
        <f>IFERROR(VLOOKUP($B38,'LOD 300 - ADMN'!$B:AZ,51,FALSE),"N/A")</f>
        <v>N/A</v>
      </c>
      <c r="AI38" s="122" t="str">
        <f>IFERROR(VLOOKUP($B38,'LOD 300 - ADMN'!$B:BC,54,FALSE),"N/A")</f>
        <v>N/A</v>
      </c>
      <c r="AJ38" s="87" t="str">
        <f>IFERROR(VLOOKUP($B38,'LOD 300 - ADMN'!$B:BF,57,FALSE),"N/A")</f>
        <v>N/A</v>
      </c>
      <c r="AK38" s="87" t="str">
        <f>IFERROR(VLOOKUP($B38,'LOD 300 - ADMN'!$B:EP,60,FALSE),"N/A")</f>
        <v>N/A</v>
      </c>
      <c r="AL38" s="87" t="str">
        <f>IFERROR(VLOOKUP($B38,'LOD 300 - ADMN'!$B:EQ,63,FALSE),"N/A")</f>
        <v>N/A</v>
      </c>
      <c r="AM38" s="87" t="str">
        <f>IFERROR(VLOOKUP($B38,'LOD 300 - ADMN'!$B:BO,66,FALSE),"N/A")</f>
        <v>N/A</v>
      </c>
      <c r="AN38" s="87" t="str">
        <f>IFERROR(VLOOKUP($B38,'LOD 300 - ADMN'!$B:BR,69,FALSE),"N/A")</f>
        <v>N/A</v>
      </c>
      <c r="AO38" s="87" t="str">
        <f>IFERROR(VLOOKUP($B38,'LOD 300 - ADMN'!$B:BU,72,FALSE),"N/A")</f>
        <v>N/A</v>
      </c>
      <c r="AP38" s="87" t="str">
        <f>IFERROR(VLOOKUP($B38,'LOD 300 - ADMN'!$B:BX,75,FALSE),"N/A")</f>
        <v>N/A</v>
      </c>
      <c r="AQ38" s="87" t="str">
        <f>IFERROR(VLOOKUP($B38,'LOD 300 - ADMN'!$B:CA,78,FALSE),"N/A")</f>
        <v>N/A</v>
      </c>
      <c r="AR38" s="87" t="str">
        <f>IFERROR(VLOOKUP($B38,'LOD 300 - ADMN'!$B:CD,81,FALSE),"N/A")</f>
        <v>N/A</v>
      </c>
      <c r="AS38" s="87" t="str">
        <f>IFERROR(VLOOKUP($B38,'LOD 300 - ADMN'!$B:CG,84,FALSE),"N/A")</f>
        <v>N/A</v>
      </c>
      <c r="AT38" s="87" t="str">
        <f>IFERROR(VLOOKUP($B38,'LOD 300 - ADMN'!$B:CJ,87,FALSE),"N/A")</f>
        <v>N/A</v>
      </c>
      <c r="AU38" s="88" t="str">
        <f>IFERROR(VLOOKUP($B38,'LOD 300 - ADMN'!$B:CM,90,FALSE),"N/A")</f>
        <v>N/A</v>
      </c>
      <c r="AV38" s="88" t="str">
        <f>IFERROR(VLOOKUP($B38,'LOD 300 - ADMN'!$B:CP,93,FALSE),"N/A")</f>
        <v>N/A</v>
      </c>
      <c r="AW38" s="88" t="str">
        <f>IFERROR(VLOOKUP($B38,'LOD 300 - ADMN'!$B:CS,96,FALSE),"N/A")</f>
        <v>N/A</v>
      </c>
      <c r="AX38" s="88" t="str">
        <f>IFERROR(VLOOKUP($B38,'LOD 300 - ADMN'!$B:CV,99,FALSE),"N/A")</f>
        <v>N/A</v>
      </c>
      <c r="AY38" s="88" t="str">
        <f>IFERROR(VLOOKUP($B38,'LOD 300 - ADMN'!$B:CY,102,FALSE),"N/A")</f>
        <v>N/A</v>
      </c>
      <c r="AZ38" s="88" t="str">
        <f>IFERROR(VLOOKUP($B38,'LOD 300 - ADMN'!$B:DB,105,FALSE),"N/A")</f>
        <v>N/A</v>
      </c>
      <c r="BA38" s="87" t="str">
        <f>IFERROR(VLOOKUP($B38,'LOD 300 - ADMN'!$B:DE,108,FALSE),"N/A")</f>
        <v>N/A</v>
      </c>
      <c r="BB38" s="87" t="str">
        <f>IFERROR(VLOOKUP($B38,'LOD 300 - ADMN'!$B:DH,111,FALSE),"N/A")</f>
        <v>N/A</v>
      </c>
      <c r="BC38" s="87" t="str">
        <f>IFERROR(VLOOKUP($B38,'LOD 300 - ADMN'!$B:DK,114,FALSE),"N/A")</f>
        <v>N/A</v>
      </c>
      <c r="BD38" s="87" t="str">
        <f>IFERROR(VLOOKUP($B38,'LOD 300 - ADMN'!$B:DN,117,FALSE),"N/A")</f>
        <v>N/A</v>
      </c>
      <c r="BE38" s="87" t="str">
        <f>IFERROR(VLOOKUP($B38,'LOD 300 - ADMN'!$B:DQ,120,FALSE),"N/A")</f>
        <v>N/A</v>
      </c>
      <c r="BF38" s="87" t="str">
        <f>IFERROR(VLOOKUP($B38,'LOD 300 - ADMN'!$B:DT,123,FALSE),"N/A")</f>
        <v>N/A</v>
      </c>
      <c r="BG38" s="87" t="str">
        <f>IFERROR(VLOOKUP($B38,'LOD 300 - ADMN'!$B:DW,126,FALSE),"N/A")</f>
        <v>N/A</v>
      </c>
      <c r="BH38" s="87" t="str">
        <f>IFERROR(VLOOKUP($B38,'LOD 300 - ADMN'!$B:DZ,129,FALSE),"N/A")</f>
        <v>N/A</v>
      </c>
      <c r="BI38" s="87" t="str">
        <f>IFERROR(VLOOKUP($B38,'LOD 300 - ADMN'!$B:EC,132,FALSE),"N/A")</f>
        <v>N/A</v>
      </c>
      <c r="BJ38" s="90" t="str">
        <f>IFERROR(__xludf.DUMMYFUNCTION("IFERROR(
  MAX(FILTER(X38:BI38, ISNUMBER(X38:BI38))),
  BI38
)"),"N/A")</f>
        <v>N/A</v>
      </c>
      <c r="BK38" s="91" t="str">
        <f>IFERROR(VLOOKUP($B38,'LOD 300 - COLO1'!$B:S,18,FALSE),"N/A")</f>
        <v>N/A</v>
      </c>
      <c r="BL38" s="92" t="str">
        <f>IFERROR(VLOOKUP($B38,'LOD 300 - COLO1'!$B:V,21,FALSE),"N/A")</f>
        <v>N/A</v>
      </c>
      <c r="BM38" s="92" t="str">
        <f>IFERROR(VLOOKUP($B38,'LOD 300 - COLO1'!$B:Y,24,FALSE),"N/A")</f>
        <v>N/A</v>
      </c>
      <c r="BN38" s="92" t="str">
        <f>IFERROR(VLOOKUP($B38,'LOD 300 - COLO1'!$B:AB,27,FALSE),"N/A")</f>
        <v>N/A</v>
      </c>
      <c r="BO38" s="92" t="str">
        <f>IFERROR(VLOOKUP($B38,'LOD 300 - COLO1'!$B:AE,30,FALSE),"N/A")</f>
        <v>N/A</v>
      </c>
      <c r="BP38" s="92" t="str">
        <f>IFERROR(VLOOKUP($B38,'LOD 300 - COLO1'!$B:AH,33,FALSE),"N/A")</f>
        <v>N/A</v>
      </c>
      <c r="BQ38" s="92" t="str">
        <f>IFERROR(VLOOKUP($B38,'LOD 300 - COLO1'!$B:AK,36,FALSE),"N/A")</f>
        <v>N/A</v>
      </c>
      <c r="BR38" s="92" t="str">
        <f>IFERROR(VLOOKUP($B38,'LOD 300 - COLO1'!$B:AN,39,FALSE),"N/A")</f>
        <v>N/A</v>
      </c>
      <c r="BS38" s="92" t="str">
        <f>IFERROR(VLOOKUP($B38,'LOD 300 - COLO1'!$B:AQ,42,FALSE),"N/A")</f>
        <v>N/A</v>
      </c>
      <c r="BT38" s="92" t="str">
        <f>IFERROR(VLOOKUP($B38,'LOD 300 - COLO1'!$B:AT,45,FALSE),"N/A")</f>
        <v>N/A</v>
      </c>
      <c r="BU38" s="92" t="str">
        <f>IFERROR(VLOOKUP($B38,'LOD 300 - COLO1'!$B:AW,48,FALSE),"N/A")</f>
        <v>N/A</v>
      </c>
      <c r="BV38" s="92" t="str">
        <f>IFERROR(VLOOKUP($B38,'LOD 300 - COLO1'!$B:AZ,51,FALSE),"N/A")</f>
        <v>N/A</v>
      </c>
      <c r="BW38" s="92" t="str">
        <f>IFERROR(VLOOKUP($B38,'LOD 300 - COLO1'!$B:BC,54,FALSE),"N/A")</f>
        <v>N/A</v>
      </c>
      <c r="BX38" s="94" t="str">
        <f>IFERROR(VLOOKUP($B38,'LOD 300 - COLO1'!$B:BF,57,FALSE),"N/A")</f>
        <v>N/A</v>
      </c>
      <c r="BY38" s="94" t="str">
        <f>IFERROR(VLOOKUP($B38,'LOD 300 - COLO1'!$B:BI,60,FALSE),"N/A")</f>
        <v>N/A</v>
      </c>
      <c r="BZ38" s="95" t="str">
        <f>IFERROR(VLOOKUP($B38,'LOD 300 - COLO1'!$B:BL,63,FALSE),"N/A")</f>
        <v>N/A</v>
      </c>
      <c r="CA38" s="86" t="str">
        <f>IFERROR(VLOOKUP($B38,'LOD 300 - COLO1'!$B:BO,66,FALSE),"N/A")</f>
        <v>N/A</v>
      </c>
      <c r="CB38" s="86" t="str">
        <f>IFERROR(VLOOKUP($B38,'LOD 300 - COLO1'!$B:BR,69,FALSE),"N/A")</f>
        <v>N/A</v>
      </c>
      <c r="CC38" s="86" t="str">
        <f>IFERROR(VLOOKUP($B38,'LOD 300 - COLO1'!$B:BU,72,FALSE),"N/A")</f>
        <v>N/A</v>
      </c>
      <c r="CD38" s="86" t="str">
        <f>IFERROR(VLOOKUP($B38,'LOD 300 - COLO1'!$B:BX,75,FALSE),"N/A")</f>
        <v>N/A</v>
      </c>
      <c r="CE38" s="86" t="str">
        <f>IFERROR(VLOOKUP($B38,'LOD 300 - COLO1'!$B:CA,78,FALSE),"N/A")</f>
        <v>N/A</v>
      </c>
      <c r="CF38" s="87" t="str">
        <f>IFERROR(VLOOKUP($B38,'LOD 300 - COLO1'!$B:CD,81,FALSE),"N/A")</f>
        <v>N/A</v>
      </c>
      <c r="CG38" s="86" t="str">
        <f>IFERROR(VLOOKUP($B38,'LOD 300 - COLO1'!$B:CG,84,FALSE),"N/A")</f>
        <v>N/A</v>
      </c>
      <c r="CH38" s="87" t="str">
        <f>IFERROR(VLOOKUP($B38,'LOD 300 - COLO1'!$B:CJ,87,FALSE),"N/A")</f>
        <v>N/A</v>
      </c>
      <c r="CI38" s="88" t="str">
        <f>IFERROR(VLOOKUP($B38,'LOD 300 - COLO1'!$B:CM,90,FALSE),"N/A")</f>
        <v>N/A</v>
      </c>
      <c r="CJ38" s="88" t="str">
        <f>IFERROR(VLOOKUP($B38,'LOD 300 - COLO1'!$B:CP,93,FALSE),"N/A")</f>
        <v>N/A</v>
      </c>
      <c r="CK38" s="88" t="str">
        <f>IFERROR(VLOOKUP($B38,'LOD 300 - COLO1'!$B:CS,96,FALSE),"N/A")</f>
        <v>N/A</v>
      </c>
      <c r="CL38" s="88" t="str">
        <f>IFERROR(VLOOKUP($B38,'LOD 300 - COLO1'!$B:CV,99,FALSE),"N/A")</f>
        <v>N/A</v>
      </c>
      <c r="CM38" s="88" t="str">
        <f>IFERROR(VLOOKUP($B38,'LOD 300 - COLO1'!$B:CY,102,FALSE),"N/A")</f>
        <v>N/A</v>
      </c>
      <c r="CN38" s="89" t="str">
        <f>IFERROR(VLOOKUP($B38,'LOD 300 - COLO1'!$B:DB,105,FALSE),"N/A")</f>
        <v>N/A</v>
      </c>
      <c r="CO38" s="87" t="str">
        <f>IFERROR(VLOOKUP($B38,'LOD 300 - COLO1'!$B:EE,108,FALSE),"N/A")</f>
        <v>N/A</v>
      </c>
      <c r="CP38" s="87" t="str">
        <f>IFERROR(VLOOKUP($B38,'LOD 300 - COLO1'!$B:EH,111,FALSE),"N/A")</f>
        <v>N/A</v>
      </c>
      <c r="CQ38" s="87" t="str">
        <f>IFERROR(VLOOKUP($B38,'LOD 300 - COLO1'!$B:EK,114,FALSE),"N/A")</f>
        <v>N/A</v>
      </c>
      <c r="CR38" s="87" t="str">
        <f>IFERROR(VLOOKUP($B38,'LOD 300 - COLO1'!$B:EN,117,FALSE),"N/A")</f>
        <v>N/A</v>
      </c>
      <c r="CS38" s="87" t="str">
        <f>IFERROR(VLOOKUP($B38,'LOD 300 - COLO1'!$B:EQ,120,FALSE),"N/A")</f>
        <v>N/A</v>
      </c>
      <c r="CT38" s="87" t="str">
        <f>IFERROR(VLOOKUP($B38,'LOD 300 - COLO1'!$B:ET,123,FALSE),"N/A")</f>
        <v>N/A</v>
      </c>
      <c r="CU38" s="87" t="str">
        <f>IFERROR(VLOOKUP($B38,'LOD 300 - COLO1'!$B:EW,126,FALSE),"N/A")</f>
        <v>N/A</v>
      </c>
      <c r="CV38" s="87" t="str">
        <f>IFERROR(VLOOKUP($B38,'LOD 300 - COLO1'!$B:EZ,129,FALSE),"N/A")</f>
        <v>N/A</v>
      </c>
      <c r="CW38" s="87" t="str">
        <f>IFERROR(VLOOKUP($B38,'LOD 300 - COLO1'!$B:FC,132,FALSE),"N/A")</f>
        <v>N/A</v>
      </c>
      <c r="CX38" s="96" t="str">
        <f>IFERROR(__xludf.DUMMYFUNCTION("IFERROR(
  MAX(FILTER(BK38:CW38, ISNUMBER(BK38:CW38))),
  CW38
)"),"N/A")</f>
        <v>N/A</v>
      </c>
      <c r="CY38" s="104" t="str">
        <f>IFERROR(VLOOKUP($B38,'LOD 300 - COLO2'!$B:S,18,FALSE),"N/A")</f>
        <v>N/A</v>
      </c>
      <c r="CZ38" s="117" t="str">
        <f>IFERROR(VLOOKUP($B38,'LOD 300 - COLO2'!$B:V,21,FALSE),"N/A")</f>
        <v>N/A</v>
      </c>
      <c r="DA38" s="117" t="str">
        <f>IFERROR(VLOOKUP($B38,'LOD 300 - COLO2'!$B:Y,24,FALSE),"N/A")</f>
        <v>N/A</v>
      </c>
      <c r="DB38" s="117" t="str">
        <f>IFERROR(VLOOKUP($B38,'LOD 300 - COLO2'!$B:AB,27,FALSE),"N/A")</f>
        <v>N/A</v>
      </c>
      <c r="DC38" s="92" t="str">
        <f>IFERROR(VLOOKUP($B38,'LOD 300 - COLO2'!$B:AE,30,FALSE),"N/A")</f>
        <v>N/A</v>
      </c>
      <c r="DD38" s="120" t="str">
        <f>IFERROR(VLOOKUP($B38,'LOD 300 - COLO2'!$B:AH,33,FALSE),"N/A")</f>
        <v>N/A</v>
      </c>
      <c r="DE38" s="117" t="str">
        <f>IFERROR(VLOOKUP($B38,'LOD 300 - COLO2'!$B:AK,36,FALSE),"N/A")</f>
        <v>N/A</v>
      </c>
      <c r="DF38" s="117" t="str">
        <f>IFERROR(VLOOKUP($B38,'LOD 300 - COLO2'!$B:AN,39,FALSE),"N/A")</f>
        <v>N/A</v>
      </c>
      <c r="DG38" s="119" t="str">
        <f>IFERROR(VLOOKUP($B38,'LOD 300 - COLO2'!$B:AQ,42,FALSE),"N/A")</f>
        <v>N/A</v>
      </c>
      <c r="DH38" s="87" t="str">
        <f>IFERROR(VLOOKUP($B38,'LOD 300 - COLO2'!$B:AT,45,FALSE),"N/A")</f>
        <v>N/A</v>
      </c>
      <c r="DI38" s="94" t="str">
        <f>IFERROR(VLOOKUP($B38,'LOD 300 - COLO2'!$B:AW,48,FALSE),"N/A")</f>
        <v>N/A</v>
      </c>
      <c r="DJ38" s="95" t="str">
        <f>IFERROR(VLOOKUP($B38,'LOD 300 - COLO2'!$B:AZ,51,FALSE),"N/A")</f>
        <v>N/A</v>
      </c>
      <c r="DK38" s="86" t="str">
        <f>IFERROR(VLOOKUP($B38,'LOD 300 - COLO2'!$B:BC,54,FALSE),"N/A")</f>
        <v>N/A</v>
      </c>
      <c r="DL38" s="86" t="str">
        <f>IFERROR(VLOOKUP($B38,'LOD 300 - COLO2'!$B:BF,57,FALSE),"N/A")</f>
        <v>N/A</v>
      </c>
      <c r="DM38" s="86" t="str">
        <f>IFERROR(VLOOKUP($B38,'LOD 300 - COLO2'!$B:BI,60,FALSE),"N/A")</f>
        <v>N/A</v>
      </c>
      <c r="DN38" s="86" t="str">
        <f>IFERROR(VLOOKUP($B38,'LOD 300 - COLO2'!$B:BL,63,FALSE),"N/A")</f>
        <v>N/A</v>
      </c>
      <c r="DO38" s="86" t="str">
        <f>IFERROR(VLOOKUP($B38,'LOD 300 - COLO2'!$B:BO,66,FALSE),"N/A")</f>
        <v>N/A</v>
      </c>
      <c r="DP38" s="87" t="str">
        <f>IFERROR(VLOOKUP($B38,'LOD 300 - COLO2'!$B:BR,69,FALSE),"N/A")</f>
        <v>N/A</v>
      </c>
      <c r="DQ38" s="87" t="str">
        <f>IFERROR(VLOOKUP($B38,'LOD 300 - COLO2'!$B:BU,72,FALSE),"N/A")</f>
        <v>N/A</v>
      </c>
      <c r="DR38" s="87" t="str">
        <f>IFERROR(VLOOKUP($B38,'LOD 300 - COLO2'!$B:BX,75,FALSE),"N/A")</f>
        <v>N/A</v>
      </c>
      <c r="DS38" s="98" t="str">
        <f>IFERROR(VLOOKUP($B38,'LOD 300 - COLO2'!$B:CA,78,FALSE),"N/A")</f>
        <v>N/A</v>
      </c>
      <c r="DT38" s="98" t="str">
        <f>IFERROR(VLOOKUP($B38,'LOD 300 - COLO2'!$B:CD,81,FALSE),"N/A")</f>
        <v>N/A</v>
      </c>
      <c r="DU38" s="98" t="str">
        <f>IFERROR(VLOOKUP($B38,'LOD 300 - COLO2'!$B:CG,84,FALSE),"N/A")</f>
        <v>N/A</v>
      </c>
      <c r="DV38" s="98" t="str">
        <f>IFERROR(VLOOKUP($B38,'LOD 300 - COLO2'!$B:CJ,87,FALSE),"N/A")</f>
        <v>N/A</v>
      </c>
      <c r="DW38" s="98" t="str">
        <f>IFERROR(VLOOKUP($B38,'LOD 300 - COLO2'!$B:CM,90,FALSE),"N/A")</f>
        <v>N/A</v>
      </c>
      <c r="DX38" s="98" t="str">
        <f>IFERROR(VLOOKUP($B38,'LOD 300 - COLO2'!$B:CP,93,FALSE),"N/A")</f>
        <v>N/A</v>
      </c>
      <c r="DY38" s="87" t="str">
        <f>IFERROR(VLOOKUP($B38,'LOD 300 - COLO2'!$B:CS,96,FALSE),"N/A")</f>
        <v>N/A</v>
      </c>
      <c r="DZ38" s="87" t="str">
        <f>IFERROR(VLOOKUP($B38,'LOD 300 - COLO2'!$B:CV,99,FALSE),"N/A")</f>
        <v>N/A</v>
      </c>
      <c r="EA38" s="87" t="str">
        <f>IFERROR(VLOOKUP($B38,'LOD 300 - COLO2'!$B:DB,105,FALSE),"N/A")</f>
        <v>N/A</v>
      </c>
      <c r="EB38" s="87" t="str">
        <f>IFERROR(VLOOKUP($B38,'LOD 300 - COLO2'!$B:DB,105,FALSE),"N/A")</f>
        <v>N/A</v>
      </c>
      <c r="EC38" s="87" t="str">
        <f>IFERROR(VLOOKUP($B38,'LOD 300 - COLO2'!$B:DE,108,FALSE),"N/A")</f>
        <v>N/A</v>
      </c>
      <c r="ED38" s="87" t="str">
        <f>IFERROR(VLOOKUP($B38,'LOD 300 - COLO2'!$B:DH,111,FALSE),"N/A")</f>
        <v>N/A</v>
      </c>
      <c r="EE38" s="87" t="str">
        <f>IFERROR(VLOOKUP($B38,'LOD 300 - COLO2'!$B:DK,114,FALSE),"N/A")</f>
        <v>N/A</v>
      </c>
      <c r="EF38" s="87" t="str">
        <f>IFERROR(VLOOKUP($B38,'LOD 300 - COLO2'!$B:DN,117,FALSE),"N/A")</f>
        <v>N/A</v>
      </c>
      <c r="EG38" s="87" t="str">
        <f>IFERROR(VLOOKUP($B38,'LOD 300 - COLO2'!$B:DQ,120,FALSE),"N/A")</f>
        <v>N/A</v>
      </c>
      <c r="EH38" s="99" t="str">
        <f>IFERROR(__xludf.DUMMYFUNCTION("IFERROR(
  MAX(FILTER(CZ38:EG38, ISNUMBER(CZ38:EG38))),
  EG38
)"),"N/A")</f>
        <v>N/A</v>
      </c>
      <c r="EI38" s="100" t="str">
        <f>IFERROR(VLOOKUP($B38,'LOD 300 - COLO3'!$B:R,17,FALSE),"N/A")</f>
        <v>N/A</v>
      </c>
      <c r="EJ38" s="127" t="str">
        <f>IFERROR(VLOOKUP($B38,'LOD 300 - COLO3'!$B:U,20,FALSE),"N/A")</f>
        <v>N/A</v>
      </c>
      <c r="EK38" s="127" t="str">
        <f>IFERROR(VLOOKUP($B38,'LOD 300 - COLO3'!$B:X,23,FALSE),"N/A")</f>
        <v>N/A</v>
      </c>
      <c r="EL38" s="127" t="str">
        <f>IFERROR(VLOOKUP($B38,'LOD 300 - COLO3'!$B:AA,26,FALSE),"N/A")</f>
        <v>N/A</v>
      </c>
      <c r="EM38" s="127" t="str">
        <f>IFERROR(VLOOKUP($B38,'LOD 300 - COLO3'!$B:AD,29,FALSE),"N/A")</f>
        <v>N/A</v>
      </c>
      <c r="EN38" s="127" t="str">
        <f>IFERROR(VLOOKUP($B38,'LOD 300 - COLO3'!$B:AG,32,FALSE),"N/A")</f>
        <v>N/A</v>
      </c>
      <c r="EO38" s="127" t="str">
        <f>IFERROR(VLOOKUP($B38,'LOD 300 - COLO3'!$B:AJ,35,FALSE),"N/A")</f>
        <v>N/A</v>
      </c>
      <c r="EP38" s="100" t="str">
        <f>IFERROR(VLOOKUP($B38,'LOD 300 - COLO3'!$B:AM,38,FALSE),"N/A")</f>
        <v>N/A</v>
      </c>
      <c r="EQ38" s="100" t="str">
        <f>IFERROR(VLOOKUP($B38,'LOD 300 - COLO3'!$B:AP,41,FALSE),"N/A")</f>
        <v>N/A</v>
      </c>
      <c r="ER38" s="100" t="str">
        <f>IFERROR(VLOOKUP($B38,'LOD 300 - COLO3'!$B:AS,44,FALSE),"N/A")</f>
        <v>N/A</v>
      </c>
      <c r="ES38" s="100" t="str">
        <f>IFERROR(VLOOKUP($B38,'LOD 300 - COLO3'!$B:AV,47,FALSE),"N/A")</f>
        <v>N/A</v>
      </c>
      <c r="ET38" s="100" t="str">
        <f>IFERROR(VLOOKUP($B38,'LOD 300 - COLO3'!$B:AY,50,FALSE),"N/A")</f>
        <v>N/A</v>
      </c>
      <c r="EU38" s="100" t="str">
        <f>IFERROR(VLOOKUP($B38,'LOD 300 - COLO3'!$B:BB,53,FALSE),"N/A")</f>
        <v>N/A</v>
      </c>
      <c r="EV38" s="100" t="str">
        <f>IFERROR(VLOOKUP($B38,'LOD 300 - COLO3'!$B:BE,56,FALSE),"N/A")</f>
        <v>N/A</v>
      </c>
      <c r="EW38" s="100" t="str">
        <f>IFERROR(VLOOKUP($B38,'LOD 300 - COLO3'!$B:BL,59,FALSE),"N/A")</f>
        <v>N/A</v>
      </c>
      <c r="EX38" s="100" t="str">
        <f>IFERROR(VLOOKUP($B38,'LOD 300 - COLO3'!$B:BO,62,FALSE),"N/A")</f>
        <v>N/A</v>
      </c>
      <c r="EY38" s="103" t="str">
        <f>IFERROR(__xludf.DUMMYFUNCTION("IFERROR(
  MAX(FILTER(EI38:EX38, ISNUMBER(EI38:EX38))),
  EX38
)"),"N/A")</f>
        <v>N/A</v>
      </c>
      <c r="EZ38" s="104" t="str">
        <f>IFERROR(VLOOKUP($B38,'LOD 300 - COLO4'!$B:BT,17,FALSE),"N/A")</f>
        <v>N/A</v>
      </c>
      <c r="FA38" s="103" t="str">
        <f>IFERROR(__xludf.DUMMYFUNCTION("IFERROR(
  MAX(FILTER(EZ38, ISNUMBER(EZ38))),
  EZ38
)"),"N/A")</f>
        <v>N/A</v>
      </c>
      <c r="FB38" s="121">
        <f>IFERROR(VLOOKUP($B38,'LOD 300 - SITE'!$B:S,18,FALSE),"N/A")</f>
        <v>0.69</v>
      </c>
      <c r="FC38" s="122">
        <f>IFERROR(VLOOKUP($B38,'LOD 300 - SITE'!$B:V,21,FALSE),"N/A")</f>
        <v>1</v>
      </c>
      <c r="FD38" s="122">
        <f>IFERROR(VLOOKUP($B38,'LOD 300 - SITE'!$B:Y,24,FALSE),"N/A")</f>
        <v>1</v>
      </c>
      <c r="FE38" s="122">
        <f>IFERROR(VLOOKUP($B38,'LOD 300 - SITE'!$B:AB,27,FALSE),"N/A")</f>
        <v>1</v>
      </c>
      <c r="FF38" s="122">
        <f>IFERROR(VLOOKUP($B38,'LOD 300 - SITE'!$B:AE,30,FALSE),"N/A")</f>
        <v>1</v>
      </c>
      <c r="FG38" s="122">
        <f>IFERROR(VLOOKUP($B38,'LOD 300 - SITE'!$B:AH,33,FALSE),"N/A")</f>
        <v>1</v>
      </c>
      <c r="FH38" s="122">
        <f>IFERROR(VLOOKUP($B38,'LOD 300 - SITE'!$B:AK,36,FALSE),"N/A")</f>
        <v>1</v>
      </c>
      <c r="FI38" s="122">
        <f>IFERROR(VLOOKUP($B38,'LOD 300 - SITE'!$B:AN,39,FALSE),"N/A")</f>
        <v>1</v>
      </c>
      <c r="FJ38" s="122">
        <f>IFERROR(VLOOKUP($B38,'LOD 300 - SITE'!$B:AQ,42,FALSE),"N/A")</f>
        <v>1</v>
      </c>
      <c r="FK38" s="122">
        <f>IFERROR(VLOOKUP($B38,'LOD 300 - SITE'!$B:AT,45,FALSE),"N/A")</f>
        <v>1</v>
      </c>
      <c r="FL38" s="123">
        <f>IFERROR(VLOOKUP($B38,'LOD 300 - SITE'!$B:AW,48,FALSE),"N/A")</f>
        <v>1</v>
      </c>
      <c r="FM38" s="87">
        <f>IFERROR(VLOOKUP($B38,'LOD 300 - SITE'!$B:AZ,51,FALSE),"N/A")</f>
        <v>1</v>
      </c>
      <c r="FN38" s="94">
        <f>IFERROR(VLOOKUP($B38,'LOD 300 - SITE'!$B:BC,54,FALSE),"N/A")</f>
        <v>1</v>
      </c>
      <c r="FO38" s="95">
        <f>IFERROR(VLOOKUP($B38,'LOD 300 - SITE'!$B:BF,57,FALSE),"N/A")</f>
        <v>1</v>
      </c>
      <c r="FP38" s="86">
        <f>IFERROR(VLOOKUP($B38,'LOD 300 - SITE'!$B:BI,60,FALSE),"N/A")</f>
        <v>1</v>
      </c>
      <c r="FQ38" s="86">
        <f>IFERROR(VLOOKUP($B38,'LOD 300 - SITE'!$B:BL,63,FALSE),"N/A")</f>
        <v>1</v>
      </c>
      <c r="FR38" s="86">
        <f>IFERROR(VLOOKUP($B38,'LOD 300 - SITE'!$B:BO,66,FALSE),"N/A")</f>
        <v>1</v>
      </c>
      <c r="FS38" s="86">
        <f>IFERROR(VLOOKUP($B38,'LOD 300 - SITE'!$B:BR,69,FALSE),"N/A")</f>
        <v>1</v>
      </c>
      <c r="FT38" s="86">
        <f>IFERROR(VLOOKUP($B38,'LOD 300 - SITE'!$B:BU,72,FALSE),"N/A")</f>
        <v>1</v>
      </c>
      <c r="FU38" s="86">
        <f>IFERROR(VLOOKUP($B38,'LOD 300 - SITE'!$B:BX,75,FALSE),"N/A")</f>
        <v>1</v>
      </c>
      <c r="FV38" s="86">
        <f>IFERROR(VLOOKUP($B38,'LOD 300 - SITE'!$B:CA,78,FALSE),"N/A")</f>
        <v>1</v>
      </c>
      <c r="FW38" s="87">
        <f>IFERROR(VLOOKUP($B38,'LOD 300 - SITE'!$B:CD,81,FALSE),"N/A")</f>
        <v>1</v>
      </c>
      <c r="FX38" s="108">
        <f>IFERROR(VLOOKUP($B38,'LOD 300 - SITE'!$B:CG,84,FALSE),"N/A")</f>
        <v>1</v>
      </c>
      <c r="FY38" s="108">
        <f>IFERROR(VLOOKUP($B38,'LOD 300 - SITE'!$B:CJ,87,FALSE),"N/A")</f>
        <v>1</v>
      </c>
      <c r="FZ38" s="108">
        <f>IFERROR(VLOOKUP($B38,'LOD 300 - SITE'!$B:CM,90,FALSE),"N/A")</f>
        <v>1</v>
      </c>
      <c r="GA38" s="108">
        <f>IFERROR(VLOOKUP($B38,'LOD 300 - SITE'!$B:CP,93,FALSE),"N/A")</f>
        <v>1</v>
      </c>
      <c r="GB38" s="108">
        <f>IFERROR(VLOOKUP($B38,'LOD 300 - SITE'!$B:CS,96,FALSE),"N/A")</f>
        <v>1</v>
      </c>
      <c r="GC38" s="109">
        <f>IFERROR(VLOOKUP($B38,'LOD 300 - SITE'!$B:CV,99,FALSE),"N/A")</f>
        <v>1</v>
      </c>
      <c r="GD38" s="87">
        <f>IFERROR(VLOOKUP($B38,'LOD 300 - SITE'!$B:CY,102,FALSE),"N/A")</f>
        <v>1</v>
      </c>
      <c r="GE38" s="87">
        <f>IFERROR(VLOOKUP($B38,'LOD 300 - SITE'!$B:DB,105,FALSE),"N/A")</f>
        <v>1</v>
      </c>
      <c r="GF38" s="87">
        <f>IFERROR(VLOOKUP($B38,'LOD 300 - SITE'!$B:DE,108,FALSE),"N/A")</f>
        <v>1</v>
      </c>
      <c r="GG38" s="87">
        <f>IFERROR(VLOOKUP($B38,'LOD 300 - SITE'!$B:DH,111,FALSE),"N/A")</f>
        <v>1</v>
      </c>
      <c r="GH38" s="87">
        <f>IFERROR(VLOOKUP($B38,'LOD 300 - SITE'!$B:DK,114,FALSE),"N/A")</f>
        <v>1</v>
      </c>
      <c r="GI38" s="87">
        <f>IFERROR(VLOOKUP($B38,'LOD 300 - SITE'!$B:DN,117,FALSE),"N/A")</f>
        <v>1</v>
      </c>
      <c r="GJ38" s="87">
        <f>IFERROR(VLOOKUP($B38,'LOD 300 - SITE'!$B:DQ,120,FALSE),"N/A")</f>
        <v>1</v>
      </c>
      <c r="GK38" s="87">
        <f>IFERROR(VLOOKUP($B38,'LOD 300 - SITE'!$B:DT,123,FALSE),"N/A")</f>
        <v>1</v>
      </c>
      <c r="GL38" s="87">
        <f>IFERROR(VLOOKUP($B38,'LOD 300 - SITE'!$B:DW,126,FALSE),"N/A")</f>
        <v>1</v>
      </c>
      <c r="GM38" s="110">
        <f>IFERROR(__xludf.DUMMYFUNCTION("IFERROR(
  MAX(FILTER(FB38:GL38, ISNUMBER(FB38:GL38))),
  GL38
)"),1.0)</f>
        <v>1</v>
      </c>
      <c r="GN38" s="135"/>
      <c r="GO38" s="135"/>
      <c r="GP38" s="135"/>
    </row>
    <row r="39" ht="15.0" hidden="1" customHeight="1" collapsed="1">
      <c r="A39" s="60">
        <v>42.0</v>
      </c>
      <c r="B39" s="187" t="s">
        <v>183</v>
      </c>
      <c r="C39" s="188"/>
      <c r="D39" s="189"/>
      <c r="E39" s="189"/>
      <c r="F39" s="13"/>
      <c r="G39" s="189"/>
      <c r="H39" s="190"/>
      <c r="I39" s="191"/>
      <c r="J39" s="191"/>
      <c r="K39" s="189"/>
      <c r="L39" s="189"/>
      <c r="M39" s="192"/>
      <c r="N39" s="192"/>
      <c r="O39" s="192"/>
      <c r="P39" s="193"/>
      <c r="Q39" s="192"/>
      <c r="R39" s="192"/>
      <c r="S39" s="79" t="str">
        <f>IF(OR($D39="C345",$D39="C12A",$D39="DATA"),
   VLOOKUP($B39,'LOD 300 - COLO4'!B:S,14,FALSE),"N/A")</f>
        <v>N/A</v>
      </c>
      <c r="T39" s="76" t="str">
        <f>IF(OR($D39="C345",$D39="C12A",$D39="DATA"),
   VLOOKUP($B39,'LOD 300 - COLO3'!B:T,13,FALSE),"N/A")</f>
        <v>N/A</v>
      </c>
      <c r="U39" s="192"/>
      <c r="V39" s="189"/>
      <c r="W39" s="194"/>
      <c r="X39" s="195"/>
      <c r="Y39" s="195"/>
      <c r="Z39" s="195"/>
      <c r="AA39" s="195"/>
      <c r="AB39" s="195"/>
      <c r="AC39" s="195"/>
      <c r="AD39" s="195"/>
      <c r="AE39" s="195"/>
      <c r="AF39" s="195"/>
      <c r="AG39" s="195"/>
      <c r="AH39" s="195"/>
      <c r="AI39" s="195"/>
      <c r="AJ39" s="196"/>
      <c r="AK39" s="196"/>
      <c r="AL39" s="197"/>
      <c r="AM39" s="196"/>
      <c r="AN39" s="196"/>
      <c r="AO39" s="196"/>
      <c r="AP39" s="196"/>
      <c r="AQ39" s="196"/>
      <c r="AR39" s="196"/>
      <c r="AS39" s="196"/>
      <c r="AT39" s="196"/>
      <c r="AU39" s="196"/>
      <c r="AV39" s="197"/>
      <c r="AW39" s="197"/>
      <c r="AX39" s="197"/>
      <c r="AY39" s="197"/>
      <c r="AZ39" s="197"/>
      <c r="BA39" s="196"/>
      <c r="BB39" s="197"/>
      <c r="BC39" s="198"/>
      <c r="BD39" s="198"/>
      <c r="BE39" s="198"/>
      <c r="BF39" s="198"/>
      <c r="BG39" s="198"/>
      <c r="BH39" s="198"/>
      <c r="BI39" s="198"/>
      <c r="BJ39" s="199"/>
      <c r="BK39" s="200"/>
      <c r="BL39" s="200"/>
      <c r="BM39" s="200"/>
      <c r="BN39" s="200"/>
      <c r="BO39" s="200"/>
      <c r="BP39" s="200"/>
      <c r="BQ39" s="200"/>
      <c r="BR39" s="200"/>
      <c r="BS39" s="200"/>
      <c r="BT39" s="200"/>
      <c r="BU39" s="200"/>
      <c r="BV39" s="200"/>
      <c r="BW39" s="200"/>
      <c r="BX39" s="201"/>
      <c r="BY39" s="201"/>
      <c r="BZ39" s="202"/>
      <c r="CA39" s="203"/>
      <c r="CB39" s="203"/>
      <c r="CC39" s="203"/>
      <c r="CD39" s="203"/>
      <c r="CE39" s="203"/>
      <c r="CF39" s="196"/>
      <c r="CG39" s="202"/>
      <c r="CH39" s="196"/>
      <c r="CI39" s="196"/>
      <c r="CJ39" s="202"/>
      <c r="CK39" s="202"/>
      <c r="CL39" s="202"/>
      <c r="CM39" s="202"/>
      <c r="CN39" s="202"/>
      <c r="CO39" s="196"/>
      <c r="CP39" s="204"/>
      <c r="CQ39" s="202"/>
      <c r="CR39" s="202"/>
      <c r="CS39" s="202"/>
      <c r="CT39" s="202"/>
      <c r="CU39" s="202"/>
      <c r="CV39" s="202"/>
      <c r="CW39" s="202"/>
      <c r="CX39" s="199"/>
      <c r="CY39" s="205"/>
      <c r="CZ39" s="206"/>
      <c r="DA39" s="206"/>
      <c r="DB39" s="206"/>
      <c r="DC39" s="207"/>
      <c r="DD39" s="208"/>
      <c r="DE39" s="205"/>
      <c r="DF39" s="205"/>
      <c r="DG39" s="209"/>
      <c r="DH39" s="196"/>
      <c r="DI39" s="201"/>
      <c r="DJ39" s="202"/>
      <c r="DK39" s="203"/>
      <c r="DL39" s="203"/>
      <c r="DM39" s="203"/>
      <c r="DN39" s="203"/>
      <c r="DO39" s="203"/>
      <c r="DP39" s="196"/>
      <c r="DQ39" s="196"/>
      <c r="DR39" s="196"/>
      <c r="DS39" s="210"/>
      <c r="DT39" s="211"/>
      <c r="DU39" s="211"/>
      <c r="DV39" s="211"/>
      <c r="DW39" s="211"/>
      <c r="DX39" s="211"/>
      <c r="DY39" s="196"/>
      <c r="DZ39" s="197"/>
      <c r="EA39" s="198"/>
      <c r="EB39" s="198"/>
      <c r="EC39" s="198"/>
      <c r="ED39" s="198"/>
      <c r="EE39" s="198"/>
      <c r="EF39" s="198"/>
      <c r="EG39" s="198"/>
      <c r="EH39" s="198"/>
      <c r="EI39" s="196"/>
      <c r="EJ39" s="196"/>
      <c r="EK39" s="196"/>
      <c r="EL39" s="196"/>
      <c r="EM39" s="196"/>
      <c r="EN39" s="196"/>
      <c r="EO39" s="196"/>
      <c r="EP39" s="196"/>
      <c r="EQ39" s="196"/>
      <c r="ER39" s="203"/>
      <c r="ES39" s="203"/>
      <c r="ET39" s="203"/>
      <c r="EU39" s="203"/>
      <c r="EV39" s="203"/>
      <c r="EW39" s="203"/>
      <c r="EX39" s="203"/>
      <c r="EY39" s="203"/>
      <c r="EZ39" s="212"/>
      <c r="FA39" s="212"/>
      <c r="FB39" s="195"/>
      <c r="FC39" s="195"/>
      <c r="FD39" s="195"/>
      <c r="FE39" s="195"/>
      <c r="FF39" s="195"/>
      <c r="FG39" s="195"/>
      <c r="FH39" s="195"/>
      <c r="FI39" s="195"/>
      <c r="FJ39" s="195"/>
      <c r="FK39" s="195"/>
      <c r="FL39" s="213"/>
      <c r="FM39" s="196"/>
      <c r="FN39" s="201"/>
      <c r="FO39" s="202"/>
      <c r="FP39" s="203"/>
      <c r="FQ39" s="203"/>
      <c r="FR39" s="203"/>
      <c r="FS39" s="203"/>
      <c r="FT39" s="203"/>
      <c r="FU39" s="203"/>
      <c r="FV39" s="203"/>
      <c r="FW39" s="196"/>
      <c r="FX39" s="201"/>
      <c r="FY39" s="202"/>
      <c r="FZ39" s="202"/>
      <c r="GA39" s="202"/>
      <c r="GB39" s="202"/>
      <c r="GC39" s="202"/>
      <c r="GD39" s="196"/>
      <c r="GE39" s="204"/>
      <c r="GF39" s="202"/>
      <c r="GG39" s="202"/>
      <c r="GH39" s="202"/>
      <c r="GI39" s="202"/>
      <c r="GJ39" s="202"/>
      <c r="GK39" s="202"/>
      <c r="GL39" s="202"/>
      <c r="GM39" s="214"/>
      <c r="GN39" s="215"/>
      <c r="GO39" s="215"/>
      <c r="GP39" s="215"/>
    </row>
    <row r="40" ht="15.0" customHeight="1" outlineLevel="1">
      <c r="A40" s="60">
        <v>43.0</v>
      </c>
      <c r="B40" s="140" t="s">
        <v>184</v>
      </c>
      <c r="C40" s="70" t="s">
        <v>185</v>
      </c>
      <c r="D40" s="71" t="s">
        <v>127</v>
      </c>
      <c r="E40" s="146" t="s">
        <v>176</v>
      </c>
      <c r="F40" s="13">
        <v>1113.0</v>
      </c>
      <c r="G40" s="139" t="s">
        <v>176</v>
      </c>
      <c r="H40" s="139">
        <v>1113.0</v>
      </c>
      <c r="I40" s="74" t="str">
        <f>IFERROR(VLOOKUP(C37:C179,'R22 RELATÓRIO ACC'!B:F,5,FALSE),"NOT PUBLISHED")</f>
        <v>V12</v>
      </c>
      <c r="J40" s="74" t="str">
        <f>IFERROR(VLOOKUP(C37:C179,'R22 RELATÓRIO ACC'!B:P,15,FALSE),"NOT PUBLISHED")</f>
        <v>13/05/2026</v>
      </c>
      <c r="K40" s="141" t="str">
        <f>IFERROR(VLOOKUP(B37:B228,'RELATÓRIO ACC'!B:F,5,FALSE),"NOT PUBLISHED")</f>
        <v>V2</v>
      </c>
      <c r="L40" s="142" t="str">
        <f>IFERROR(VLOOKUP(B37:B228,'RELATÓRIO ACC'!B:P,15,FALSE),"NOT PUBLISHED")</f>
        <v>01/06/2026</v>
      </c>
      <c r="M40" s="76" t="str">
        <f>IF(OR($D40="UTLS",$D40="GUAR",$D40="STIR",$D40="PUMP",$D40="SITE"),
   VLOOKUP($B40,'LOD 300 - SITE'!B:M,12,FALSE),
   VLOOKUP($B40,'LOD 300 - ADMN'!B:M,12,FALSE)
)</f>
        <v>V7</v>
      </c>
      <c r="N40" s="80">
        <f>IF(OR($D40="UTLS",$D40="GUAR",$D40="STIR",$D40="PUMP",$D40="SITE"),
   VLOOKUP($B40,'LOD 300 - SITE'!B:N,13,FALSE),
   VLOOKUP($B40,'LOD 300 - ADMN'!B:N,13,FALSE)
)</f>
        <v>45895</v>
      </c>
      <c r="O40" s="78" t="str">
        <f>IF(OR($D40="UTLS",$D40="GUAR",$D40="STIR",$D40="PUMP",$D40="SITE"),
   VLOOKUP($B40,'LOD 300 - SITE'!B:O,14,FALSE),
   VLOOKUP($B40,'LOD 300 - ADMN'!B:O,14,FALSE)
)</f>
        <v>R22</v>
      </c>
      <c r="P40" s="79" t="str">
        <f>IF(OR($D40="C345",$D40="C12A",$D40="DATA"),
   VLOOKUP($B40,'LOD 300 - COLO3'!B:M,12,FALSE),"N/A")</f>
        <v>N/A</v>
      </c>
      <c r="Q40" s="76" t="str">
        <f>IF(OR($D40="C345",$D40="C12A",$D40="DATA"),
   VLOOKUP($B40,'LOD 300 - COLO3'!B:N,13,FALSE),"N/A")</f>
        <v>N/A</v>
      </c>
      <c r="R40" s="76" t="str">
        <f>IF(OR($D40="C345",$D40="C12A",$D40="DATA"),
   VLOOKUP($B40,'LOD 300 - COLO3'!B:O,14,FALSE),"N/A")</f>
        <v>N/A</v>
      </c>
      <c r="S40" s="79" t="str">
        <f>IF(OR($D40="C345",$D40="C12A",$D40="DATA"),
   VLOOKUP($B40,'LOD 300 - COLO4'!B:M,12,FALSE),"N/A")</f>
        <v>N/A</v>
      </c>
      <c r="T40" s="76" t="str">
        <f>IF(OR($D40="C345",$D40="C12A",$D40="DATA"),
   VLOOKUP($B40,'LOD 300 - COLO4'!B:T,13,FALSE),"N/A")</f>
        <v>N/A</v>
      </c>
      <c r="U40" s="76" t="str">
        <f>IF(OR($D40="C345",$D40="C12A",$D40="DATA"),
   VLOOKUP($B40,'LOD 300 - COLO4'!B:U,17,FALSE),"N/A")</f>
        <v>N/A</v>
      </c>
      <c r="V40" s="126" t="s">
        <v>186</v>
      </c>
      <c r="W40" s="144" t="str">
        <f>IFERROR(VLOOKUP($B40,'LOD 300 - ADMN'!$B:S,18,FALSE),"N/A")</f>
        <v>N/A</v>
      </c>
      <c r="X40" s="122" t="str">
        <f>IFERROR(VLOOKUP($B40,'LOD 300 - ADMN'!$B:V,21,FALSE),"N/A")</f>
        <v>N/A</v>
      </c>
      <c r="Y40" s="122" t="str">
        <f>IFERROR(VLOOKUP($B40,'LOD 300 - ADMN'!$B:Y,24,FALSE),"N/A")</f>
        <v>N/A</v>
      </c>
      <c r="Z40" s="122" t="str">
        <f>IFERROR(VLOOKUP($B40,'LOD 300 - ADMN'!$B:AB,27,FALSE),"N/A")</f>
        <v>N/A</v>
      </c>
      <c r="AA40" s="122" t="str">
        <f>IFERROR(VLOOKUP($B40,'LOD 300 - ADMN'!$B:AE,30,FALSE),"N/A")</f>
        <v>N/A</v>
      </c>
      <c r="AB40" s="145" t="str">
        <f>IFERROR(VLOOKUP($B40,'LOD 300 - ADMN'!$B:AH,33,FALSE),"N/A")</f>
        <v>N/A</v>
      </c>
      <c r="AC40" s="145" t="str">
        <f>IFERROR(VLOOKUP($B40,'LOD 300 - ADMN'!$B:AK,36,FALSE),"N/A")</f>
        <v>N/A</v>
      </c>
      <c r="AD40" s="122" t="str">
        <f>IFERROR(VLOOKUP($B40,'LOD 300 - ADMN'!$B:AN,39,FALSE),"N/A")</f>
        <v>N/A</v>
      </c>
      <c r="AE40" s="122" t="str">
        <f>IFERROR(VLOOKUP($B40,'LOD 300 - ADMN'!$B:AQ,42,FALSE),"N/A")</f>
        <v>N/A</v>
      </c>
      <c r="AF40" s="122" t="str">
        <f>IFERROR(VLOOKUP($B40,'LOD 300 - ADMN'!$B:AT,45,FALSE),"N/A")</f>
        <v>N/A</v>
      </c>
      <c r="AG40" s="122" t="str">
        <f>IFERROR(VLOOKUP($B40,'LOD 300 - ADMN'!$B:AW,48,FALSE),"N/A")</f>
        <v>N/A</v>
      </c>
      <c r="AH40" s="122" t="str">
        <f>IFERROR(VLOOKUP($B40,'LOD 300 - ADMN'!$B:AZ,51,FALSE),"N/A")</f>
        <v>N/A</v>
      </c>
      <c r="AI40" s="122" t="str">
        <f>IFERROR(VLOOKUP($B40,'LOD 300 - ADMN'!$B:BC,54,FALSE),"N/A")</f>
        <v>N/A</v>
      </c>
      <c r="AJ40" s="87" t="str">
        <f>IFERROR(VLOOKUP($B40,'LOD 300 - ADMN'!$B:BF,57,FALSE),"N/A")</f>
        <v>N/A</v>
      </c>
      <c r="AK40" s="87" t="str">
        <f>IFERROR(VLOOKUP($B40,'LOD 300 - ADMN'!$B:EP,60,FALSE),"N/A")</f>
        <v>N/A</v>
      </c>
      <c r="AL40" s="87" t="str">
        <f>IFERROR(VLOOKUP($B40,'LOD 300 - ADMN'!$B:EQ,63,FALSE),"N/A")</f>
        <v>N/A</v>
      </c>
      <c r="AM40" s="87" t="str">
        <f>IFERROR(VLOOKUP($B40,'LOD 300 - ADMN'!$B:BO,66,FALSE),"N/A")</f>
        <v>N/A</v>
      </c>
      <c r="AN40" s="87" t="str">
        <f>IFERROR(VLOOKUP($B40,'LOD 300 - ADMN'!$B:BR,69,FALSE),"N/A")</f>
        <v>N/A</v>
      </c>
      <c r="AO40" s="87" t="str">
        <f>IFERROR(VLOOKUP($B40,'LOD 300 - ADMN'!$B:BU,72,FALSE),"N/A")</f>
        <v>N/A</v>
      </c>
      <c r="AP40" s="87" t="str">
        <f>IFERROR(VLOOKUP($B40,'LOD 300 - ADMN'!$B:BX,75,FALSE),"N/A")</f>
        <v>N/A</v>
      </c>
      <c r="AQ40" s="87" t="str">
        <f>IFERROR(VLOOKUP($B40,'LOD 300 - ADMN'!$B:CA,78,FALSE),"N/A")</f>
        <v>N/A</v>
      </c>
      <c r="AR40" s="87" t="str">
        <f>IFERROR(VLOOKUP($B40,'LOD 300 - ADMN'!$B:CD,81,FALSE),"N/A")</f>
        <v>N/A</v>
      </c>
      <c r="AS40" s="87" t="str">
        <f>IFERROR(VLOOKUP($B40,'LOD 300 - ADMN'!$B:CG,84,FALSE),"N/A")</f>
        <v>N/A</v>
      </c>
      <c r="AT40" s="87" t="str">
        <f>IFERROR(VLOOKUP($B40,'LOD 300 - ADMN'!$B:CJ,87,FALSE),"N/A")</f>
        <v>N/A</v>
      </c>
      <c r="AU40" s="88" t="str">
        <f>IFERROR(VLOOKUP($B40,'LOD 300 - ADMN'!$B:CM,90,FALSE),"N/A")</f>
        <v>N/A</v>
      </c>
      <c r="AV40" s="88" t="str">
        <f>IFERROR(VLOOKUP($B40,'LOD 300 - ADMN'!$B:CP,93,FALSE),"N/A")</f>
        <v>N/A</v>
      </c>
      <c r="AW40" s="88" t="str">
        <f>IFERROR(VLOOKUP($B40,'LOD 300 - ADMN'!$B:CS,96,FALSE),"N/A")</f>
        <v>N/A</v>
      </c>
      <c r="AX40" s="88" t="str">
        <f>IFERROR(VLOOKUP($B40,'LOD 300 - ADMN'!$B:CV,99,FALSE),"N/A")</f>
        <v>N/A</v>
      </c>
      <c r="AY40" s="88" t="str">
        <f>IFERROR(VLOOKUP($B40,'LOD 300 - ADMN'!$B:CY,102,FALSE),"N/A")</f>
        <v>N/A</v>
      </c>
      <c r="AZ40" s="88" t="str">
        <f>IFERROR(VLOOKUP($B40,'LOD 300 - ADMN'!$B:DB,105,FALSE),"N/A")</f>
        <v>N/A</v>
      </c>
      <c r="BA40" s="87" t="str">
        <f>IFERROR(VLOOKUP($B40,'LOD 300 - ADMN'!$B:DE,108,FALSE),"N/A")</f>
        <v>N/A</v>
      </c>
      <c r="BB40" s="87" t="str">
        <f>IFERROR(VLOOKUP($B40,'LOD 300 - ADMN'!$B:DH,111,FALSE),"N/A")</f>
        <v>N/A</v>
      </c>
      <c r="BC40" s="87" t="str">
        <f>IFERROR(VLOOKUP($B40,'LOD 300 - ADMN'!$B:DK,114,FALSE),"N/A")</f>
        <v>N/A</v>
      </c>
      <c r="BD40" s="87" t="str">
        <f>IFERROR(VLOOKUP($B40,'LOD 300 - ADMN'!$B:DN,117,FALSE),"N/A")</f>
        <v>N/A</v>
      </c>
      <c r="BE40" s="87" t="str">
        <f>IFERROR(VLOOKUP($B40,'LOD 300 - ADMN'!$B:DQ,120,FALSE),"N/A")</f>
        <v>N/A</v>
      </c>
      <c r="BF40" s="87" t="str">
        <f>IFERROR(VLOOKUP($B40,'LOD 300 - ADMN'!$B:DT,123,FALSE),"N/A")</f>
        <v>N/A</v>
      </c>
      <c r="BG40" s="87" t="str">
        <f>IFERROR(VLOOKUP($B40,'LOD 300 - ADMN'!$B:DW,126,FALSE),"N/A")</f>
        <v>N/A</v>
      </c>
      <c r="BH40" s="87" t="str">
        <f>IFERROR(VLOOKUP($B40,'LOD 300 - ADMN'!$B:DZ,129,FALSE),"N/A")</f>
        <v>N/A</v>
      </c>
      <c r="BI40" s="87" t="str">
        <f>IFERROR(VLOOKUP($B40,'LOD 300 - ADMN'!$B:EC,132,FALSE),"N/A")</f>
        <v>N/A</v>
      </c>
      <c r="BJ40" s="90" t="str">
        <f>IFERROR(__xludf.DUMMYFUNCTION("IFERROR(
  MAX(FILTER(X40:BI40, ISNUMBER(X40:BI40))),
  BI40
)"),"N/A")</f>
        <v>N/A</v>
      </c>
      <c r="BK40" s="91" t="str">
        <f>IFERROR(VLOOKUP($B40,'LOD 300 - COLO1'!$B:S,18,FALSE),"N/A")</f>
        <v>N/A</v>
      </c>
      <c r="BL40" s="92" t="str">
        <f>IFERROR(VLOOKUP($B40,'LOD 300 - COLO1'!$B:V,21,FALSE),"N/A")</f>
        <v>N/A</v>
      </c>
      <c r="BM40" s="92" t="str">
        <f>IFERROR(VLOOKUP($B40,'LOD 300 - COLO1'!$B:Y,24,FALSE),"N/A")</f>
        <v>N/A</v>
      </c>
      <c r="BN40" s="92" t="str">
        <f>IFERROR(VLOOKUP($B40,'LOD 300 - COLO1'!$B:AB,27,FALSE),"N/A")</f>
        <v>N/A</v>
      </c>
      <c r="BO40" s="92" t="str">
        <f>IFERROR(VLOOKUP($B40,'LOD 300 - COLO1'!$B:AE,30,FALSE),"N/A")</f>
        <v>N/A</v>
      </c>
      <c r="BP40" s="92" t="str">
        <f>IFERROR(VLOOKUP($B40,'LOD 300 - COLO1'!$B:AH,33,FALSE),"N/A")</f>
        <v>N/A</v>
      </c>
      <c r="BQ40" s="92" t="str">
        <f>IFERROR(VLOOKUP($B40,'LOD 300 - COLO1'!$B:AK,36,FALSE),"N/A")</f>
        <v>N/A</v>
      </c>
      <c r="BR40" s="92" t="str">
        <f>IFERROR(VLOOKUP($B40,'LOD 300 - COLO1'!$B:AN,39,FALSE),"N/A")</f>
        <v>N/A</v>
      </c>
      <c r="BS40" s="92" t="str">
        <f>IFERROR(VLOOKUP($B40,'LOD 300 - COLO1'!$B:AQ,42,FALSE),"N/A")</f>
        <v>N/A</v>
      </c>
      <c r="BT40" s="92" t="str">
        <f>IFERROR(VLOOKUP($B40,'LOD 300 - COLO1'!$B:AT,45,FALSE),"N/A")</f>
        <v>N/A</v>
      </c>
      <c r="BU40" s="92" t="str">
        <f>IFERROR(VLOOKUP($B40,'LOD 300 - COLO1'!$B:AW,48,FALSE),"N/A")</f>
        <v>N/A</v>
      </c>
      <c r="BV40" s="92" t="str">
        <f>IFERROR(VLOOKUP($B40,'LOD 300 - COLO1'!$B:AZ,51,FALSE),"N/A")</f>
        <v>N/A</v>
      </c>
      <c r="BW40" s="92" t="str">
        <f>IFERROR(VLOOKUP($B40,'LOD 300 - COLO1'!$B:BC,54,FALSE),"N/A")</f>
        <v>N/A</v>
      </c>
      <c r="BX40" s="94" t="str">
        <f>IFERROR(VLOOKUP($B40,'LOD 300 - COLO1'!$B:BF,57,FALSE),"N/A")</f>
        <v>N/A</v>
      </c>
      <c r="BY40" s="94" t="str">
        <f>IFERROR(VLOOKUP($B40,'LOD 300 - COLO1'!$B:BI,60,FALSE),"N/A")</f>
        <v>N/A</v>
      </c>
      <c r="BZ40" s="95" t="str">
        <f>IFERROR(VLOOKUP($B40,'LOD 300 - COLO1'!$B:BL,63,FALSE),"N/A")</f>
        <v>N/A</v>
      </c>
      <c r="CA40" s="86" t="str">
        <f>IFERROR(VLOOKUP($B40,'LOD 300 - COLO1'!$B:BO,66,FALSE),"N/A")</f>
        <v>N/A</v>
      </c>
      <c r="CB40" s="86" t="str">
        <f>IFERROR(VLOOKUP($B40,'LOD 300 - COLO1'!$B:BR,69,FALSE),"N/A")</f>
        <v>N/A</v>
      </c>
      <c r="CC40" s="86" t="str">
        <f>IFERROR(VLOOKUP($B40,'LOD 300 - COLO1'!$B:BU,72,FALSE),"N/A")</f>
        <v>N/A</v>
      </c>
      <c r="CD40" s="86" t="str">
        <f>IFERROR(VLOOKUP($B40,'LOD 300 - COLO1'!$B:BX,75,FALSE),"N/A")</f>
        <v>N/A</v>
      </c>
      <c r="CE40" s="86" t="str">
        <f>IFERROR(VLOOKUP($B40,'LOD 300 - COLO1'!$B:CA,78,FALSE),"N/A")</f>
        <v>N/A</v>
      </c>
      <c r="CF40" s="87" t="str">
        <f>IFERROR(VLOOKUP($B40,'LOD 300 - COLO1'!$B:CD,81,FALSE),"N/A")</f>
        <v>N/A</v>
      </c>
      <c r="CG40" s="86" t="str">
        <f>IFERROR(VLOOKUP($B40,'LOD 300 - COLO1'!$B:CG,84,FALSE),"N/A")</f>
        <v>N/A</v>
      </c>
      <c r="CH40" s="87" t="str">
        <f>IFERROR(VLOOKUP($B40,'LOD 300 - COLO1'!$B:CJ,87,FALSE),"N/A")</f>
        <v>N/A</v>
      </c>
      <c r="CI40" s="88" t="str">
        <f>IFERROR(VLOOKUP($B40,'LOD 300 - COLO1'!$B:CM,90,FALSE),"N/A")</f>
        <v>N/A</v>
      </c>
      <c r="CJ40" s="88" t="str">
        <f>IFERROR(VLOOKUP($B40,'LOD 300 - COLO1'!$B:CP,93,FALSE),"N/A")</f>
        <v>N/A</v>
      </c>
      <c r="CK40" s="88" t="str">
        <f>IFERROR(VLOOKUP($B40,'LOD 300 - COLO1'!$B:CS,96,FALSE),"N/A")</f>
        <v>N/A</v>
      </c>
      <c r="CL40" s="88" t="str">
        <f>IFERROR(VLOOKUP($B40,'LOD 300 - COLO1'!$B:CV,99,FALSE),"N/A")</f>
        <v>N/A</v>
      </c>
      <c r="CM40" s="88" t="str">
        <f>IFERROR(VLOOKUP($B40,'LOD 300 - COLO1'!$B:CY,102,FALSE),"N/A")</f>
        <v>N/A</v>
      </c>
      <c r="CN40" s="89" t="str">
        <f>IFERROR(VLOOKUP($B40,'LOD 300 - COLO1'!$B:DB,105,FALSE),"N/A")</f>
        <v>N/A</v>
      </c>
      <c r="CO40" s="87" t="str">
        <f>IFERROR(VLOOKUP($B40,'LOD 300 - COLO1'!$B:EE,108,FALSE),"N/A")</f>
        <v>N/A</v>
      </c>
      <c r="CP40" s="87" t="str">
        <f>IFERROR(VLOOKUP($B40,'LOD 300 - COLO1'!$B:EH,111,FALSE),"N/A")</f>
        <v>N/A</v>
      </c>
      <c r="CQ40" s="87" t="str">
        <f>IFERROR(VLOOKUP($B40,'LOD 300 - COLO1'!$B:EK,114,FALSE),"N/A")</f>
        <v>N/A</v>
      </c>
      <c r="CR40" s="87" t="str">
        <f>IFERROR(VLOOKUP($B40,'LOD 300 - COLO1'!$B:EN,117,FALSE),"N/A")</f>
        <v>N/A</v>
      </c>
      <c r="CS40" s="87" t="str">
        <f>IFERROR(VLOOKUP($B40,'LOD 300 - COLO1'!$B:EQ,120,FALSE),"N/A")</f>
        <v>N/A</v>
      </c>
      <c r="CT40" s="87" t="str">
        <f>IFERROR(VLOOKUP($B40,'LOD 300 - COLO1'!$B:ET,123,FALSE),"N/A")</f>
        <v>N/A</v>
      </c>
      <c r="CU40" s="87" t="str">
        <f>IFERROR(VLOOKUP($B40,'LOD 300 - COLO1'!$B:EW,126,FALSE),"N/A")</f>
        <v>N/A</v>
      </c>
      <c r="CV40" s="87" t="str">
        <f>IFERROR(VLOOKUP($B40,'LOD 300 - COLO1'!$B:EZ,129,FALSE),"N/A")</f>
        <v>N/A</v>
      </c>
      <c r="CW40" s="87" t="str">
        <f>IFERROR(VLOOKUP($B40,'LOD 300 - COLO1'!$B:FC,132,FALSE),"N/A")</f>
        <v>N/A</v>
      </c>
      <c r="CX40" s="96" t="str">
        <f>IFERROR(__xludf.DUMMYFUNCTION("IFERROR(
  MAX(FILTER(BK40:CW40, ISNUMBER(BK40:CW40))),
  CW40
)"),"N/A")</f>
        <v>N/A</v>
      </c>
      <c r="CY40" s="104" t="str">
        <f>IFERROR(VLOOKUP($B40,'LOD 300 - COLO2'!$B:S,18,FALSE),"N/A")</f>
        <v>N/A</v>
      </c>
      <c r="CZ40" s="117" t="str">
        <f>IFERROR(VLOOKUP($B40,'LOD 300 - COLO2'!$B:V,21,FALSE),"N/A")</f>
        <v>N/A</v>
      </c>
      <c r="DA40" s="117" t="str">
        <f>IFERROR(VLOOKUP($B40,'LOD 300 - COLO2'!$B:Y,24,FALSE),"N/A")</f>
        <v>N/A</v>
      </c>
      <c r="DB40" s="117" t="str">
        <f>IFERROR(VLOOKUP($B40,'LOD 300 - COLO2'!$B:AB,27,FALSE),"N/A")</f>
        <v>N/A</v>
      </c>
      <c r="DC40" s="92" t="str">
        <f>IFERROR(VLOOKUP($B40,'LOD 300 - COLO2'!$B:AE,30,FALSE),"N/A")</f>
        <v>N/A</v>
      </c>
      <c r="DD40" s="120" t="str">
        <f>IFERROR(VLOOKUP($B40,'LOD 300 - COLO2'!$B:AH,33,FALSE),"N/A")</f>
        <v>N/A</v>
      </c>
      <c r="DE40" s="117" t="str">
        <f>IFERROR(VLOOKUP($B40,'LOD 300 - COLO2'!$B:AK,36,FALSE),"N/A")</f>
        <v>N/A</v>
      </c>
      <c r="DF40" s="117" t="str">
        <f>IFERROR(VLOOKUP($B40,'LOD 300 - COLO2'!$B:AN,39,FALSE),"N/A")</f>
        <v>N/A</v>
      </c>
      <c r="DG40" s="119" t="str">
        <f>IFERROR(VLOOKUP($B40,'LOD 300 - COLO2'!$B:AQ,42,FALSE),"N/A")</f>
        <v>N/A</v>
      </c>
      <c r="DH40" s="87" t="str">
        <f>IFERROR(VLOOKUP($B40,'LOD 300 - COLO2'!$B:AT,45,FALSE),"N/A")</f>
        <v>N/A</v>
      </c>
      <c r="DI40" s="94" t="str">
        <f>IFERROR(VLOOKUP($B40,'LOD 300 - COLO2'!$B:AW,48,FALSE),"N/A")</f>
        <v>N/A</v>
      </c>
      <c r="DJ40" s="95" t="str">
        <f>IFERROR(VLOOKUP($B40,'LOD 300 - COLO2'!$B:AZ,51,FALSE),"N/A")</f>
        <v>N/A</v>
      </c>
      <c r="DK40" s="86" t="str">
        <f>IFERROR(VLOOKUP($B40,'LOD 300 - COLO2'!$B:BC,54,FALSE),"N/A")</f>
        <v>N/A</v>
      </c>
      <c r="DL40" s="86" t="str">
        <f>IFERROR(VLOOKUP($B40,'LOD 300 - COLO2'!$B:BF,57,FALSE),"N/A")</f>
        <v>N/A</v>
      </c>
      <c r="DM40" s="86" t="str">
        <f>IFERROR(VLOOKUP($B40,'LOD 300 - COLO2'!$B:BI,60,FALSE),"N/A")</f>
        <v>N/A</v>
      </c>
      <c r="DN40" s="86" t="str">
        <f>IFERROR(VLOOKUP($B40,'LOD 300 - COLO2'!$B:BL,63,FALSE),"N/A")</f>
        <v>N/A</v>
      </c>
      <c r="DO40" s="86" t="str">
        <f>IFERROR(VLOOKUP($B40,'LOD 300 - COLO2'!$B:BO,66,FALSE),"N/A")</f>
        <v>N/A</v>
      </c>
      <c r="DP40" s="87" t="str">
        <f>IFERROR(VLOOKUP($B40,'LOD 300 - COLO2'!$B:BR,69,FALSE),"N/A")</f>
        <v>N/A</v>
      </c>
      <c r="DQ40" s="87" t="str">
        <f>IFERROR(VLOOKUP($B40,'LOD 300 - COLO2'!$B:BU,72,FALSE),"N/A")</f>
        <v>N/A</v>
      </c>
      <c r="DR40" s="87" t="str">
        <f>IFERROR(VLOOKUP($B40,'LOD 300 - COLO2'!$B:BX,75,FALSE),"N/A")</f>
        <v>N/A</v>
      </c>
      <c r="DS40" s="98" t="str">
        <f>IFERROR(VLOOKUP($B40,'LOD 300 - COLO2'!$B:CA,78,FALSE),"N/A")</f>
        <v>N/A</v>
      </c>
      <c r="DT40" s="98" t="str">
        <f>IFERROR(VLOOKUP($B40,'LOD 300 - COLO2'!$B:CD,81,FALSE),"N/A")</f>
        <v>N/A</v>
      </c>
      <c r="DU40" s="98" t="str">
        <f>IFERROR(VLOOKUP($B40,'LOD 300 - COLO2'!$B:CG,84,FALSE),"N/A")</f>
        <v>N/A</v>
      </c>
      <c r="DV40" s="98" t="str">
        <f>IFERROR(VLOOKUP($B40,'LOD 300 - COLO2'!$B:CJ,87,FALSE),"N/A")</f>
        <v>N/A</v>
      </c>
      <c r="DW40" s="98" t="str">
        <f>IFERROR(VLOOKUP($B40,'LOD 300 - COLO2'!$B:CM,90,FALSE),"N/A")</f>
        <v>N/A</v>
      </c>
      <c r="DX40" s="98" t="str">
        <f>IFERROR(VLOOKUP($B40,'LOD 300 - COLO2'!$B:CP,93,FALSE),"N/A")</f>
        <v>N/A</v>
      </c>
      <c r="DY40" s="87" t="str">
        <f>IFERROR(VLOOKUP($B40,'LOD 300 - COLO2'!$B:CS,96,FALSE),"N/A")</f>
        <v>N/A</v>
      </c>
      <c r="DZ40" s="87" t="str">
        <f>IFERROR(VLOOKUP($B40,'LOD 300 - COLO2'!$B:CV,99,FALSE),"N/A")</f>
        <v>N/A</v>
      </c>
      <c r="EA40" s="87" t="str">
        <f>IFERROR(VLOOKUP($B40,'LOD 300 - COLO2'!$B:DB,105,FALSE),"N/A")</f>
        <v>N/A</v>
      </c>
      <c r="EB40" s="87" t="str">
        <f>IFERROR(VLOOKUP($B40,'LOD 300 - COLO2'!$B:DB,105,FALSE),"N/A")</f>
        <v>N/A</v>
      </c>
      <c r="EC40" s="87" t="str">
        <f>IFERROR(VLOOKUP($B40,'LOD 300 - COLO2'!$B:DE,108,FALSE),"N/A")</f>
        <v>N/A</v>
      </c>
      <c r="ED40" s="87" t="str">
        <f>IFERROR(VLOOKUP($B40,'LOD 300 - COLO2'!$B:DH,111,FALSE),"N/A")</f>
        <v>N/A</v>
      </c>
      <c r="EE40" s="87" t="str">
        <f>IFERROR(VLOOKUP($B40,'LOD 300 - COLO2'!$B:DK,114,FALSE),"N/A")</f>
        <v>N/A</v>
      </c>
      <c r="EF40" s="87" t="str">
        <f>IFERROR(VLOOKUP($B40,'LOD 300 - COLO2'!$B:DN,117,FALSE),"N/A")</f>
        <v>N/A</v>
      </c>
      <c r="EG40" s="87" t="str">
        <f>IFERROR(VLOOKUP($B40,'LOD 300 - COLO2'!$B:DQ,120,FALSE),"N/A")</f>
        <v>N/A</v>
      </c>
      <c r="EH40" s="99" t="str">
        <f>IFERROR(__xludf.DUMMYFUNCTION("IFERROR(
  MAX(FILTER(CZ40:EG40, ISNUMBER(CZ40:EG40))),
  EG40
)"),"N/A")</f>
        <v>N/A</v>
      </c>
      <c r="EI40" s="100" t="str">
        <f>IFERROR(VLOOKUP($B40,'LOD 300 - COLO3'!$B:R,17,FALSE),"N/A")</f>
        <v>N/A</v>
      </c>
      <c r="EJ40" s="127" t="str">
        <f>IFERROR(VLOOKUP($B40,'LOD 300 - COLO3'!$B:U,20,FALSE),"N/A")</f>
        <v>N/A</v>
      </c>
      <c r="EK40" s="127" t="str">
        <f>IFERROR(VLOOKUP($B40,'LOD 300 - COLO3'!$B:X,23,FALSE),"N/A")</f>
        <v>N/A</v>
      </c>
      <c r="EL40" s="127" t="str">
        <f>IFERROR(VLOOKUP($B40,'LOD 300 - COLO3'!$B:AA,26,FALSE),"N/A")</f>
        <v>N/A</v>
      </c>
      <c r="EM40" s="127" t="str">
        <f>IFERROR(VLOOKUP($B40,'LOD 300 - COLO3'!$B:AD,29,FALSE),"N/A")</f>
        <v>N/A</v>
      </c>
      <c r="EN40" s="127" t="str">
        <f>IFERROR(VLOOKUP($B40,'LOD 300 - COLO3'!$B:AG,32,FALSE),"N/A")</f>
        <v>N/A</v>
      </c>
      <c r="EO40" s="127" t="str">
        <f>IFERROR(VLOOKUP($B40,'LOD 300 - COLO3'!$B:AJ,35,FALSE),"N/A")</f>
        <v>N/A</v>
      </c>
      <c r="EP40" s="100" t="str">
        <f>IFERROR(VLOOKUP($B40,'LOD 300 - COLO3'!$B:AM,38,FALSE),"N/A")</f>
        <v>N/A</v>
      </c>
      <c r="EQ40" s="100" t="str">
        <f>IFERROR(VLOOKUP($B40,'LOD 300 - COLO3'!$B:AP,41,FALSE),"N/A")</f>
        <v>N/A</v>
      </c>
      <c r="ER40" s="100" t="str">
        <f>IFERROR(VLOOKUP($B40,'LOD 300 - COLO3'!$B:AS,44,FALSE),"N/A")</f>
        <v>N/A</v>
      </c>
      <c r="ES40" s="100" t="str">
        <f>IFERROR(VLOOKUP($B40,'LOD 300 - COLO3'!$B:AV,47,FALSE),"N/A")</f>
        <v>N/A</v>
      </c>
      <c r="ET40" s="100" t="str">
        <f>IFERROR(VLOOKUP($B40,'LOD 300 - COLO3'!$B:AY,50,FALSE),"N/A")</f>
        <v>N/A</v>
      </c>
      <c r="EU40" s="100" t="str">
        <f>IFERROR(VLOOKUP($B40,'LOD 300 - COLO3'!$B:BB,53,FALSE),"N/A")</f>
        <v>N/A</v>
      </c>
      <c r="EV40" s="100" t="str">
        <f>IFERROR(VLOOKUP($B40,'LOD 300 - COLO3'!$B:BE,56,FALSE),"N/A")</f>
        <v>N/A</v>
      </c>
      <c r="EW40" s="100" t="str">
        <f>IFERROR(VLOOKUP($B40,'LOD 300 - COLO3'!$B:BL,59,FALSE),"N/A")</f>
        <v>N/A</v>
      </c>
      <c r="EX40" s="100" t="str">
        <f>IFERROR(VLOOKUP($B40,'LOD 300 - COLO3'!$B:BO,62,FALSE),"N/A")</f>
        <v>N/A</v>
      </c>
      <c r="EY40" s="103" t="str">
        <f>IFERROR(__xludf.DUMMYFUNCTION("IFERROR(
  MAX(FILTER(EI40:EX40, ISNUMBER(EI40:EX40))),
  EX40
)"),"N/A")</f>
        <v>N/A</v>
      </c>
      <c r="EZ40" s="104" t="str">
        <f>IFERROR(VLOOKUP($B40,'LOD 300 - COLO4'!$B:BT,17,FALSE),"N/A")</f>
        <v>N/A</v>
      </c>
      <c r="FA40" s="103" t="str">
        <f>IFERROR(__xludf.DUMMYFUNCTION("IFERROR(
  MAX(FILTER(EZ40, ISNUMBER(EZ40))),
  EZ40
)"),"N/A")</f>
        <v>N/A</v>
      </c>
      <c r="FB40" s="121">
        <f>IFERROR(VLOOKUP($B40,'LOD 300 - SITE'!$B:S,18,FALSE),"N/A")</f>
        <v>0.77</v>
      </c>
      <c r="FC40" s="122">
        <f>IFERROR(VLOOKUP($B40,'LOD 300 - SITE'!$B:V,21,FALSE),"N/A")</f>
        <v>1</v>
      </c>
      <c r="FD40" s="122">
        <f>IFERROR(VLOOKUP($B40,'LOD 300 - SITE'!$B:Y,24,FALSE),"N/A")</f>
        <v>1</v>
      </c>
      <c r="FE40" s="122">
        <f>IFERROR(VLOOKUP($B40,'LOD 300 - SITE'!$B:AB,27,FALSE),"N/A")</f>
        <v>1</v>
      </c>
      <c r="FF40" s="122">
        <f>IFERROR(VLOOKUP($B40,'LOD 300 - SITE'!$B:AE,30,FALSE),"N/A")</f>
        <v>1</v>
      </c>
      <c r="FG40" s="122">
        <f>IFERROR(VLOOKUP($B40,'LOD 300 - SITE'!$B:AH,33,FALSE),"N/A")</f>
        <v>1</v>
      </c>
      <c r="FH40" s="122">
        <f>IFERROR(VLOOKUP($B40,'LOD 300 - SITE'!$B:AK,36,FALSE),"N/A")</f>
        <v>1</v>
      </c>
      <c r="FI40" s="122">
        <f>IFERROR(VLOOKUP($B40,'LOD 300 - SITE'!$B:AN,39,FALSE),"N/A")</f>
        <v>1</v>
      </c>
      <c r="FJ40" s="122">
        <f>IFERROR(VLOOKUP($B40,'LOD 300 - SITE'!$B:AQ,42,FALSE),"N/A")</f>
        <v>1</v>
      </c>
      <c r="FK40" s="122">
        <f>IFERROR(VLOOKUP($B40,'LOD 300 - SITE'!$B:AT,45,FALSE),"N/A")</f>
        <v>1</v>
      </c>
      <c r="FL40" s="123">
        <f>IFERROR(VLOOKUP($B40,'LOD 300 - SITE'!$B:AW,48,FALSE),"N/A")</f>
        <v>1</v>
      </c>
      <c r="FM40" s="87">
        <f>IFERROR(VLOOKUP($B40,'LOD 300 - SITE'!$B:AZ,51,FALSE),"N/A")</f>
        <v>1</v>
      </c>
      <c r="FN40" s="94">
        <f>IFERROR(VLOOKUP($B40,'LOD 300 - SITE'!$B:BC,54,FALSE),"N/A")</f>
        <v>1</v>
      </c>
      <c r="FO40" s="95">
        <f>IFERROR(VLOOKUP($B40,'LOD 300 - SITE'!$B:BF,57,FALSE),"N/A")</f>
        <v>1</v>
      </c>
      <c r="FP40" s="86">
        <f>IFERROR(VLOOKUP($B40,'LOD 300 - SITE'!$B:BI,60,FALSE),"N/A")</f>
        <v>1</v>
      </c>
      <c r="FQ40" s="86">
        <f>IFERROR(VLOOKUP($B40,'LOD 300 - SITE'!$B:BL,63,FALSE),"N/A")</f>
        <v>1</v>
      </c>
      <c r="FR40" s="86">
        <f>IFERROR(VLOOKUP($B40,'LOD 300 - SITE'!$B:BO,66,FALSE),"N/A")</f>
        <v>1</v>
      </c>
      <c r="FS40" s="86">
        <f>IFERROR(VLOOKUP($B40,'LOD 300 - SITE'!$B:BR,69,FALSE),"N/A")</f>
        <v>1</v>
      </c>
      <c r="FT40" s="86">
        <f>IFERROR(VLOOKUP($B40,'LOD 300 - SITE'!$B:BU,72,FALSE),"N/A")</f>
        <v>1</v>
      </c>
      <c r="FU40" s="86">
        <f>IFERROR(VLOOKUP($B40,'LOD 300 - SITE'!$B:BX,75,FALSE),"N/A")</f>
        <v>1</v>
      </c>
      <c r="FV40" s="86">
        <f>IFERROR(VLOOKUP($B40,'LOD 300 - SITE'!$B:CA,78,FALSE),"N/A")</f>
        <v>1</v>
      </c>
      <c r="FW40" s="87">
        <f>IFERROR(VLOOKUP($B40,'LOD 300 - SITE'!$B:CD,81,FALSE),"N/A")</f>
        <v>1</v>
      </c>
      <c r="FX40" s="108">
        <f>IFERROR(VLOOKUP($B40,'LOD 300 - SITE'!$B:CG,84,FALSE),"N/A")</f>
        <v>1</v>
      </c>
      <c r="FY40" s="108">
        <f>IFERROR(VLOOKUP($B40,'LOD 300 - SITE'!$B:CJ,87,FALSE),"N/A")</f>
        <v>1</v>
      </c>
      <c r="FZ40" s="108">
        <f>IFERROR(VLOOKUP($B40,'LOD 300 - SITE'!$B:CM,90,FALSE),"N/A")</f>
        <v>1</v>
      </c>
      <c r="GA40" s="108">
        <f>IFERROR(VLOOKUP($B40,'LOD 300 - SITE'!$B:CP,93,FALSE),"N/A")</f>
        <v>1</v>
      </c>
      <c r="GB40" s="108">
        <f>IFERROR(VLOOKUP($B40,'LOD 300 - SITE'!$B:CS,96,FALSE),"N/A")</f>
        <v>1</v>
      </c>
      <c r="GC40" s="109">
        <f>IFERROR(VLOOKUP($B40,'LOD 300 - SITE'!$B:CV,99,FALSE),"N/A")</f>
        <v>1</v>
      </c>
      <c r="GD40" s="87">
        <f>IFERROR(VLOOKUP($B40,'LOD 300 - SITE'!$B:CY,102,FALSE),"N/A")</f>
        <v>1</v>
      </c>
      <c r="GE40" s="87">
        <f>IFERROR(VLOOKUP($B40,'LOD 300 - SITE'!$B:DB,105,FALSE),"N/A")</f>
        <v>1</v>
      </c>
      <c r="GF40" s="87">
        <f>IFERROR(VLOOKUP($B40,'LOD 300 - SITE'!$B:DE,108,FALSE),"N/A")</f>
        <v>1</v>
      </c>
      <c r="GG40" s="87">
        <f>IFERROR(VLOOKUP($B40,'LOD 300 - SITE'!$B:DH,111,FALSE),"N/A")</f>
        <v>1</v>
      </c>
      <c r="GH40" s="87">
        <f>IFERROR(VLOOKUP($B40,'LOD 300 - SITE'!$B:DK,114,FALSE),"N/A")</f>
        <v>1</v>
      </c>
      <c r="GI40" s="87">
        <f>IFERROR(VLOOKUP($B40,'LOD 300 - SITE'!$B:DN,117,FALSE),"N/A")</f>
        <v>1</v>
      </c>
      <c r="GJ40" s="87">
        <f>IFERROR(VLOOKUP($B40,'LOD 300 - SITE'!$B:DQ,120,FALSE),"N/A")</f>
        <v>1</v>
      </c>
      <c r="GK40" s="87">
        <f>IFERROR(VLOOKUP($B40,'LOD 300 - SITE'!$B:DT,123,FALSE),"N/A")</f>
        <v>1</v>
      </c>
      <c r="GL40" s="87">
        <f>IFERROR(VLOOKUP($B40,'LOD 300 - SITE'!$B:DW,126,FALSE),"N/A")</f>
        <v>1</v>
      </c>
      <c r="GM40" s="110">
        <f>IFERROR(__xludf.DUMMYFUNCTION("IFERROR(
  MAX(FILTER(FB40:GL40, ISNUMBER(FB40:GL40))),
  GL40
)"),1.0)</f>
        <v>1</v>
      </c>
      <c r="GN40" s="135"/>
      <c r="GO40" s="135"/>
      <c r="GP40" s="135"/>
    </row>
    <row r="41" ht="15.0" customHeight="1" outlineLevel="1">
      <c r="A41" s="60">
        <v>44.0</v>
      </c>
      <c r="B41" s="140" t="s">
        <v>187</v>
      </c>
      <c r="C41" s="70" t="s">
        <v>188</v>
      </c>
      <c r="D41" s="71" t="s">
        <v>85</v>
      </c>
      <c r="E41" s="146" t="s">
        <v>176</v>
      </c>
      <c r="F41" s="13">
        <v>1113.0</v>
      </c>
      <c r="G41" s="139" t="s">
        <v>176</v>
      </c>
      <c r="H41" s="139">
        <v>1113.0</v>
      </c>
      <c r="I41" s="74" t="str">
        <f>IFERROR(VLOOKUP(C38:C180,'R22 RELATÓRIO ACC'!B:F,5,FALSE),"NOT PUBLISHED")</f>
        <v>V36</v>
      </c>
      <c r="J41" s="74" t="str">
        <f>IFERROR(VLOOKUP(C38:C180,'R22 RELATÓRIO ACC'!B:P,15,FALSE),"NOT PUBLISHED")</f>
        <v>08/05/2026</v>
      </c>
      <c r="K41" s="141" t="str">
        <f>IFERROR(VLOOKUP(B38:B229,'RELATÓRIO ACC'!B:F,5,FALSE),"NOT PUBLISHED")</f>
        <v>V2</v>
      </c>
      <c r="L41" s="142" t="str">
        <f>IFERROR(VLOOKUP(B38:B229,'RELATÓRIO ACC'!B:P,15,FALSE),"NOT PUBLISHED")</f>
        <v>03/06/2026</v>
      </c>
      <c r="M41" s="76" t="str">
        <f>IF(OR($D41="UTLS",$D41="GUAR",$D41="STIR",$D41="PUMP",$D41="SITE"),
   VLOOKUP($B41,'LOD 300 - SITE'!B:M,12,FALSE),
   VLOOKUP($B41,'LOD 300 - ADMN'!B:M,12,FALSE)
)</f>
        <v>V22</v>
      </c>
      <c r="N41" s="77" t="str">
        <f>IF(OR($D41="UTLS",$D41="GUAR",$D41="STIR",$D41="PUMP",$D41="SITE"),
   VLOOKUP($B41,'LOD 300 - SITE'!B:N,13,FALSE),
   VLOOKUP($B41,'LOD 300 - ADMN'!B:N,13,FALSE)
)</f>
        <v>16/10/2025</v>
      </c>
      <c r="O41" s="78" t="str">
        <f>IF(OR($D41="UTLS",$D41="GUAR",$D41="STIR",$D41="PUMP",$D41="SITE"),
   VLOOKUP($B41,'LOD 300 - SITE'!B:O,14,FALSE),
   VLOOKUP($B41,'LOD 300 - ADMN'!B:O,14,FALSE)
)</f>
        <v>R22</v>
      </c>
      <c r="P41" s="79" t="str">
        <f>IF(OR($D41="C345",$D41="C12A",$D41="DATA"),
   VLOOKUP($B41,'LOD 300 - COLO3'!B:M,12,FALSE),"N/A")</f>
        <v>V35</v>
      </c>
      <c r="Q41" s="77" t="str">
        <f>IF(OR($D41="C345",$D41="C12A",$D41="DATA"),
   VLOOKUP($B41,'LOD 300 - COLO3'!B:N,13,FALSE),"N/A")</f>
        <v>24/04/2026</v>
      </c>
      <c r="R41" s="76" t="str">
        <f>IF(OR($D41="C345",$D41="C12A",$D41="DATA"),
   VLOOKUP($B41,'LOD 300 - COLO3'!B:O,14,FALSE),"N/A")</f>
        <v>R22</v>
      </c>
      <c r="S41" s="79" t="str">
        <f>IF(OR($D41="C345",$D41="C12A",$D41="DATA"),
   VLOOKUP($B41,'LOD 300 - COLO4'!B:M,12,FALSE),"N/A")</f>
        <v>N/A</v>
      </c>
      <c r="T41" s="76" t="str">
        <f>IF(OR($D41="C345",$D41="C12A",$D41="DATA"),
   VLOOKUP($B41,'LOD 300 - COLO4'!B:T,13,FALSE),"N/A")</f>
        <v>N/A</v>
      </c>
      <c r="U41" s="81">
        <f>IF(OR($D41="C345",$D41="C12A",$D41="DATA"),
   VLOOKUP($B41,'LOD 300 - COLO4'!B:U,17,FALSE),"N/A")</f>
        <v>0</v>
      </c>
      <c r="V41" s="126" t="s">
        <v>146</v>
      </c>
      <c r="W41" s="144">
        <f>IFERROR(VLOOKUP($B41,'LOD 300 - ADMN'!$B:S,18,FALSE),"N/A")</f>
        <v>0.45</v>
      </c>
      <c r="X41" s="122">
        <f>IFERROR(VLOOKUP($B41,'LOD 300 - ADMN'!$B:V,21,FALSE),"N/A")</f>
        <v>0.48</v>
      </c>
      <c r="Y41" s="122">
        <f>IFERROR(VLOOKUP($B41,'LOD 300 - ADMN'!$B:Y,24,FALSE),"N/A")</f>
        <v>0.91</v>
      </c>
      <c r="Z41" s="122">
        <f>IFERROR(VLOOKUP($B41,'LOD 300 - ADMN'!$B:AB,27,FALSE),"N/A")</f>
        <v>1</v>
      </c>
      <c r="AA41" s="122">
        <f>IFERROR(VLOOKUP($B41,'LOD 300 - ADMN'!$B:AE,30,FALSE),"N/A")</f>
        <v>1</v>
      </c>
      <c r="AB41" s="145">
        <f>IFERROR(VLOOKUP($B41,'LOD 300 - ADMN'!$B:AH,33,FALSE),"N/A")</f>
        <v>1</v>
      </c>
      <c r="AC41" s="145">
        <f>IFERROR(VLOOKUP($B41,'LOD 300 - ADMN'!$B:AK,36,FALSE),"N/A")</f>
        <v>1</v>
      </c>
      <c r="AD41" s="122">
        <f>IFERROR(VLOOKUP($B41,'LOD 300 - ADMN'!$B:AN,39,FALSE),"N/A")</f>
        <v>1</v>
      </c>
      <c r="AE41" s="122">
        <f>IFERROR(VLOOKUP($B41,'LOD 300 - ADMN'!$B:AQ,42,FALSE),"N/A")</f>
        <v>1</v>
      </c>
      <c r="AF41" s="122">
        <f>IFERROR(VLOOKUP($B41,'LOD 300 - ADMN'!$B:AT,45,FALSE),"N/A")</f>
        <v>1</v>
      </c>
      <c r="AG41" s="122">
        <f>IFERROR(VLOOKUP($B41,'LOD 300 - ADMN'!$B:AW,48,FALSE),"N/A")</f>
        <v>1</v>
      </c>
      <c r="AH41" s="122">
        <f>IFERROR(VLOOKUP($B41,'LOD 300 - ADMN'!$B:AZ,51,FALSE),"N/A")</f>
        <v>1</v>
      </c>
      <c r="AI41" s="122">
        <f>IFERROR(VLOOKUP($B41,'LOD 300 - ADMN'!$B:BC,54,FALSE),"N/A")</f>
        <v>1</v>
      </c>
      <c r="AJ41" s="87">
        <f>IFERROR(VLOOKUP($B41,'LOD 300 - ADMN'!$B:BF,57,FALSE),"N/A")</f>
        <v>1</v>
      </c>
      <c r="AK41" s="87">
        <f>IFERROR(VLOOKUP($B41,'LOD 300 - ADMN'!$B:EP,60,FALSE),"N/A")</f>
        <v>1</v>
      </c>
      <c r="AL41" s="87">
        <f>IFERROR(VLOOKUP($B41,'LOD 300 - ADMN'!$B:EQ,63,FALSE),"N/A")</f>
        <v>1</v>
      </c>
      <c r="AM41" s="87">
        <f>IFERROR(VLOOKUP($B41,'LOD 300 - ADMN'!$B:BO,66,FALSE),"N/A")</f>
        <v>1</v>
      </c>
      <c r="AN41" s="87">
        <f>IFERROR(VLOOKUP($B41,'LOD 300 - ADMN'!$B:BR,69,FALSE),"N/A")</f>
        <v>1</v>
      </c>
      <c r="AO41" s="87">
        <f>IFERROR(VLOOKUP($B41,'LOD 300 - ADMN'!$B:BU,72,FALSE),"N/A")</f>
        <v>1</v>
      </c>
      <c r="AP41" s="87">
        <f>IFERROR(VLOOKUP($B41,'LOD 300 - ADMN'!$B:BX,75,FALSE),"N/A")</f>
        <v>1</v>
      </c>
      <c r="AQ41" s="87">
        <f>IFERROR(VLOOKUP($B41,'LOD 300 - ADMN'!$B:CA,78,FALSE),"N/A")</f>
        <v>1</v>
      </c>
      <c r="AR41" s="87">
        <f>IFERROR(VLOOKUP($B41,'LOD 300 - ADMN'!$B:CD,81,FALSE),"N/A")</f>
        <v>1</v>
      </c>
      <c r="AS41" s="87">
        <f>IFERROR(VLOOKUP($B41,'LOD 300 - ADMN'!$B:CG,84,FALSE),"N/A")</f>
        <v>1</v>
      </c>
      <c r="AT41" s="87">
        <f>IFERROR(VLOOKUP($B41,'LOD 300 - ADMN'!$B:CJ,87,FALSE),"N/A")</f>
        <v>1</v>
      </c>
      <c r="AU41" s="88">
        <f>IFERROR(VLOOKUP($B41,'LOD 300 - ADMN'!$B:CM,90,FALSE),"N/A")</f>
        <v>1</v>
      </c>
      <c r="AV41" s="88">
        <f>IFERROR(VLOOKUP($B41,'LOD 300 - ADMN'!$B:CP,93,FALSE),"N/A")</f>
        <v>1</v>
      </c>
      <c r="AW41" s="88">
        <f>IFERROR(VLOOKUP($B41,'LOD 300 - ADMN'!$B:CS,96,FALSE),"N/A")</f>
        <v>1</v>
      </c>
      <c r="AX41" s="88">
        <f>IFERROR(VLOOKUP($B41,'LOD 300 - ADMN'!$B:CV,99,FALSE),"N/A")</f>
        <v>1</v>
      </c>
      <c r="AY41" s="88">
        <f>IFERROR(VLOOKUP($B41,'LOD 300 - ADMN'!$B:CY,102,FALSE),"N/A")</f>
        <v>1</v>
      </c>
      <c r="AZ41" s="88">
        <f>IFERROR(VLOOKUP($B41,'LOD 300 - ADMN'!$B:DB,105,FALSE),"N/A")</f>
        <v>1</v>
      </c>
      <c r="BA41" s="87">
        <f>IFERROR(VLOOKUP($B41,'LOD 300 - ADMN'!$B:DE,108,FALSE),"N/A")</f>
        <v>1</v>
      </c>
      <c r="BB41" s="87">
        <f>IFERROR(VLOOKUP($B41,'LOD 300 - ADMN'!$B:DH,111,FALSE),"N/A")</f>
        <v>1</v>
      </c>
      <c r="BC41" s="87">
        <f>IFERROR(VLOOKUP($B41,'LOD 300 - ADMN'!$B:DK,114,FALSE),"N/A")</f>
        <v>1</v>
      </c>
      <c r="BD41" s="87">
        <f>IFERROR(VLOOKUP($B41,'LOD 300 - ADMN'!$B:DN,117,FALSE),"N/A")</f>
        <v>1</v>
      </c>
      <c r="BE41" s="87">
        <f>IFERROR(VLOOKUP($B41,'LOD 300 - ADMN'!$B:DQ,120,FALSE),"N/A")</f>
        <v>1</v>
      </c>
      <c r="BF41" s="87">
        <f>IFERROR(VLOOKUP($B41,'LOD 300 - ADMN'!$B:DT,123,FALSE),"N/A")</f>
        <v>1</v>
      </c>
      <c r="BG41" s="87">
        <f>IFERROR(VLOOKUP($B41,'LOD 300 - ADMN'!$B:DW,126,FALSE),"N/A")</f>
        <v>1</v>
      </c>
      <c r="BH41" s="87">
        <f>IFERROR(VLOOKUP($B41,'LOD 300 - ADMN'!$B:DZ,129,FALSE),"N/A")</f>
        <v>1</v>
      </c>
      <c r="BI41" s="87">
        <f>IFERROR(VLOOKUP($B41,'LOD 300 - ADMN'!$B:EC,132,FALSE),"N/A")</f>
        <v>1</v>
      </c>
      <c r="BJ41" s="90">
        <f>IFERROR(__xludf.DUMMYFUNCTION("IFERROR(
  MAX(FILTER(X41:BI41, ISNUMBER(X41:BI41))),
  BI41
)"),1.0)</f>
        <v>1</v>
      </c>
      <c r="BK41" s="91">
        <f>IFERROR(VLOOKUP($B41,'LOD 300 - COLO1'!$B:S,18,FALSE),"N/A")</f>
        <v>0.44</v>
      </c>
      <c r="BL41" s="92">
        <f>IFERROR(VLOOKUP($B41,'LOD 300 - COLO1'!$B:V,21,FALSE),"N/A")</f>
        <v>0.47</v>
      </c>
      <c r="BM41" s="92">
        <f>IFERROR(VLOOKUP($B41,'LOD 300 - COLO1'!$B:Y,24,FALSE),"N/A")</f>
        <v>0.92</v>
      </c>
      <c r="BN41" s="92">
        <f>IFERROR(VLOOKUP($B41,'LOD 300 - COLO1'!$B:AB,27,FALSE),"N/A")</f>
        <v>1</v>
      </c>
      <c r="BO41" s="92">
        <f>IFERROR(VLOOKUP($B41,'LOD 300 - COLO1'!$B:AE,30,FALSE),"N/A")</f>
        <v>1</v>
      </c>
      <c r="BP41" s="92">
        <f>IFERROR(VLOOKUP($B41,'LOD 300 - COLO1'!$B:AH,33,FALSE),"N/A")</f>
        <v>1</v>
      </c>
      <c r="BQ41" s="92">
        <f>IFERROR(VLOOKUP($B41,'LOD 300 - COLO1'!$B:AK,36,FALSE),"N/A")</f>
        <v>1</v>
      </c>
      <c r="BR41" s="92">
        <f>IFERROR(VLOOKUP($B41,'LOD 300 - COLO1'!$B:AN,39,FALSE),"N/A")</f>
        <v>1</v>
      </c>
      <c r="BS41" s="92">
        <f>IFERROR(VLOOKUP($B41,'LOD 300 - COLO1'!$B:AQ,42,FALSE),"N/A")</f>
        <v>1</v>
      </c>
      <c r="BT41" s="92">
        <f>IFERROR(VLOOKUP($B41,'LOD 300 - COLO1'!$B:AT,45,FALSE),"N/A")</f>
        <v>1</v>
      </c>
      <c r="BU41" s="92">
        <f>IFERROR(VLOOKUP($B41,'LOD 300 - COLO1'!$B:AW,48,FALSE),"N/A")</f>
        <v>1</v>
      </c>
      <c r="BV41" s="92">
        <f>IFERROR(VLOOKUP($B41,'LOD 300 - COLO1'!$B:AZ,51,FALSE),"N/A")</f>
        <v>1</v>
      </c>
      <c r="BW41" s="92">
        <f>IFERROR(VLOOKUP($B41,'LOD 300 - COLO1'!$B:BC,54,FALSE),"N/A")</f>
        <v>1</v>
      </c>
      <c r="BX41" s="94">
        <f>IFERROR(VLOOKUP($B41,'LOD 300 - COLO1'!$B:BF,57,FALSE),"N/A")</f>
        <v>1</v>
      </c>
      <c r="BY41" s="94">
        <f>IFERROR(VLOOKUP($B41,'LOD 300 - COLO1'!$B:BI,60,FALSE),"N/A")</f>
        <v>1</v>
      </c>
      <c r="BZ41" s="95">
        <f>IFERROR(VLOOKUP($B41,'LOD 300 - COLO1'!$B:BL,63,FALSE),"N/A")</f>
        <v>1</v>
      </c>
      <c r="CA41" s="86">
        <f>IFERROR(VLOOKUP($B41,'LOD 300 - COLO1'!$B:BO,66,FALSE),"N/A")</f>
        <v>1</v>
      </c>
      <c r="CB41" s="86">
        <f>IFERROR(VLOOKUP($B41,'LOD 300 - COLO1'!$B:BR,69,FALSE),"N/A")</f>
        <v>1</v>
      </c>
      <c r="CC41" s="86">
        <f>IFERROR(VLOOKUP($B41,'LOD 300 - COLO1'!$B:BU,72,FALSE),"N/A")</f>
        <v>1</v>
      </c>
      <c r="CD41" s="86">
        <f>IFERROR(VLOOKUP($B41,'LOD 300 - COLO1'!$B:BX,75,FALSE),"N/A")</f>
        <v>1</v>
      </c>
      <c r="CE41" s="86">
        <f>IFERROR(VLOOKUP($B41,'LOD 300 - COLO1'!$B:CA,78,FALSE),"N/A")</f>
        <v>1</v>
      </c>
      <c r="CF41" s="87">
        <f>IFERROR(VLOOKUP($B41,'LOD 300 - COLO1'!$B:CD,81,FALSE),"N/A")</f>
        <v>1</v>
      </c>
      <c r="CG41" s="86">
        <f>IFERROR(VLOOKUP($B41,'LOD 300 - COLO1'!$B:CG,84,FALSE),"N/A")</f>
        <v>1</v>
      </c>
      <c r="CH41" s="87">
        <f>IFERROR(VLOOKUP($B41,'LOD 300 - COLO1'!$B:CJ,87,FALSE),"N/A")</f>
        <v>1</v>
      </c>
      <c r="CI41" s="88">
        <f>IFERROR(VLOOKUP($B41,'LOD 300 - COLO1'!$B:CM,90,FALSE),"N/A")</f>
        <v>1</v>
      </c>
      <c r="CJ41" s="88">
        <f>IFERROR(VLOOKUP($B41,'LOD 300 - COLO1'!$B:CP,93,FALSE),"N/A")</f>
        <v>1</v>
      </c>
      <c r="CK41" s="88">
        <f>IFERROR(VLOOKUP($B41,'LOD 300 - COLO1'!$B:CS,96,FALSE),"N/A")</f>
        <v>1</v>
      </c>
      <c r="CL41" s="88">
        <f>IFERROR(VLOOKUP($B41,'LOD 300 - COLO1'!$B:CV,99,FALSE),"N/A")</f>
        <v>1</v>
      </c>
      <c r="CM41" s="88">
        <f>IFERROR(VLOOKUP($B41,'LOD 300 - COLO1'!$B:CY,102,FALSE),"N/A")</f>
        <v>1</v>
      </c>
      <c r="CN41" s="89">
        <f>IFERROR(VLOOKUP($B41,'LOD 300 - COLO1'!$B:DB,105,FALSE),"N/A")</f>
        <v>1</v>
      </c>
      <c r="CO41" s="87">
        <f>IFERROR(VLOOKUP($B41,'LOD 300 - COLO1'!$B:EE,108,FALSE),"N/A")</f>
        <v>1</v>
      </c>
      <c r="CP41" s="87">
        <f>IFERROR(VLOOKUP($B41,'LOD 300 - COLO1'!$B:EH,111,FALSE),"N/A")</f>
        <v>1</v>
      </c>
      <c r="CQ41" s="87">
        <f>IFERROR(VLOOKUP($B41,'LOD 300 - COLO1'!$B:EK,114,FALSE),"N/A")</f>
        <v>1</v>
      </c>
      <c r="CR41" s="87">
        <f>IFERROR(VLOOKUP($B41,'LOD 300 - COLO1'!$B:EN,117,FALSE),"N/A")</f>
        <v>1</v>
      </c>
      <c r="CS41" s="87">
        <f>IFERROR(VLOOKUP($B41,'LOD 300 - COLO1'!$B:EQ,120,FALSE),"N/A")</f>
        <v>1</v>
      </c>
      <c r="CT41" s="87">
        <f>IFERROR(VLOOKUP($B41,'LOD 300 - COLO1'!$B:ET,123,FALSE),"N/A")</f>
        <v>1</v>
      </c>
      <c r="CU41" s="87">
        <f>IFERROR(VLOOKUP($B41,'LOD 300 - COLO1'!$B:EW,126,FALSE),"N/A")</f>
        <v>1</v>
      </c>
      <c r="CV41" s="87">
        <f>IFERROR(VLOOKUP($B41,'LOD 300 - COLO1'!$B:EZ,129,FALSE),"N/A")</f>
        <v>1</v>
      </c>
      <c r="CW41" s="87">
        <f>IFERROR(VLOOKUP($B41,'LOD 300 - COLO1'!$B:FC,132,FALSE),"N/A")</f>
        <v>1</v>
      </c>
      <c r="CX41" s="96">
        <f>IFERROR(__xludf.DUMMYFUNCTION("IFERROR(
  MAX(FILTER(BK41:CW41, ISNUMBER(BK41:CW41))),
  CW41
)"),1.0)</f>
        <v>1</v>
      </c>
      <c r="CY41" s="104">
        <f>IFERROR(VLOOKUP($B41,'LOD 300 - COLO2'!$B:S,18,FALSE),"N/A")</f>
        <v>0.49</v>
      </c>
      <c r="CZ41" s="117">
        <f>IFERROR(VLOOKUP($B41,'LOD 300 - COLO2'!$B:V,21,FALSE),"N/A")</f>
        <v>0.69</v>
      </c>
      <c r="DA41" s="117" t="str">
        <f>IFERROR(VLOOKUP($B41,'LOD 300 - COLO2'!$B:Y,24,FALSE),"N/A")</f>
        <v>OUTDATED MODEL</v>
      </c>
      <c r="DB41" s="117" t="str">
        <f>IFERROR(VLOOKUP($B41,'LOD 300 - COLO2'!$B:AB,27,FALSE),"N/A")</f>
        <v>OUTDATED MODEL</v>
      </c>
      <c r="DC41" s="92">
        <f>IFERROR(VLOOKUP($B41,'LOD 300 - COLO2'!$B:AE,30,FALSE),"N/A")</f>
        <v>1</v>
      </c>
      <c r="DD41" s="120">
        <f>IFERROR(VLOOKUP($B41,'LOD 300 - COLO2'!$B:AH,33,FALSE),"N/A")</f>
        <v>1</v>
      </c>
      <c r="DE41" s="117">
        <f>IFERROR(VLOOKUP($B41,'LOD 300 - COLO2'!$B:AK,36,FALSE),"N/A")</f>
        <v>1</v>
      </c>
      <c r="DF41" s="117">
        <f>IFERROR(VLOOKUP($B41,'LOD 300 - COLO2'!$B:AN,39,FALSE),"N/A")</f>
        <v>1</v>
      </c>
      <c r="DG41" s="119">
        <f>IFERROR(VLOOKUP($B41,'LOD 300 - COLO2'!$B:AQ,42,FALSE),"N/A")</f>
        <v>1</v>
      </c>
      <c r="DH41" s="87">
        <f>IFERROR(VLOOKUP($B41,'LOD 300 - COLO2'!$B:AT,45,FALSE),"N/A")</f>
        <v>1</v>
      </c>
      <c r="DI41" s="94">
        <f>IFERROR(VLOOKUP($B41,'LOD 300 - COLO2'!$B:AW,48,FALSE),"N/A")</f>
        <v>1</v>
      </c>
      <c r="DJ41" s="95">
        <f>IFERROR(VLOOKUP($B41,'LOD 300 - COLO2'!$B:AZ,51,FALSE),"N/A")</f>
        <v>1</v>
      </c>
      <c r="DK41" s="86">
        <f>IFERROR(VLOOKUP($B41,'LOD 300 - COLO2'!$B:BC,54,FALSE),"N/A")</f>
        <v>1</v>
      </c>
      <c r="DL41" s="86">
        <f>IFERROR(VLOOKUP($B41,'LOD 300 - COLO2'!$B:BF,57,FALSE),"N/A")</f>
        <v>1</v>
      </c>
      <c r="DM41" s="86">
        <f>IFERROR(VLOOKUP($B41,'LOD 300 - COLO2'!$B:BI,60,FALSE),"N/A")</f>
        <v>1</v>
      </c>
      <c r="DN41" s="86">
        <f>IFERROR(VLOOKUP($B41,'LOD 300 - COLO2'!$B:BL,63,FALSE),"N/A")</f>
        <v>1</v>
      </c>
      <c r="DO41" s="86">
        <f>IFERROR(VLOOKUP($B41,'LOD 300 - COLO2'!$B:BO,66,FALSE),"N/A")</f>
        <v>1</v>
      </c>
      <c r="DP41" s="87">
        <f>IFERROR(VLOOKUP($B41,'LOD 300 - COLO2'!$B:BR,69,FALSE),"N/A")</f>
        <v>1</v>
      </c>
      <c r="DQ41" s="87">
        <f>IFERROR(VLOOKUP($B41,'LOD 300 - COLO2'!$B:BU,72,FALSE),"N/A")</f>
        <v>1</v>
      </c>
      <c r="DR41" s="87">
        <f>IFERROR(VLOOKUP($B41,'LOD 300 - COLO2'!$B:BX,75,FALSE),"N/A")</f>
        <v>1</v>
      </c>
      <c r="DS41" s="98">
        <f>IFERROR(VLOOKUP($B41,'LOD 300 - COLO2'!$B:CA,78,FALSE),"N/A")</f>
        <v>1</v>
      </c>
      <c r="DT41" s="98">
        <f>IFERROR(VLOOKUP($B41,'LOD 300 - COLO2'!$B:CD,81,FALSE),"N/A")</f>
        <v>1</v>
      </c>
      <c r="DU41" s="98">
        <f>IFERROR(VLOOKUP($B41,'LOD 300 - COLO2'!$B:CG,84,FALSE),"N/A")</f>
        <v>1</v>
      </c>
      <c r="DV41" s="98">
        <f>IFERROR(VLOOKUP($B41,'LOD 300 - COLO2'!$B:CJ,87,FALSE),"N/A")</f>
        <v>1</v>
      </c>
      <c r="DW41" s="98">
        <f>IFERROR(VLOOKUP($B41,'LOD 300 - COLO2'!$B:CM,90,FALSE),"N/A")</f>
        <v>1</v>
      </c>
      <c r="DX41" s="98">
        <f>IFERROR(VLOOKUP($B41,'LOD 300 - COLO2'!$B:CP,93,FALSE),"N/A")</f>
        <v>1</v>
      </c>
      <c r="DY41" s="87">
        <f>IFERROR(VLOOKUP($B41,'LOD 300 - COLO2'!$B:CS,96,FALSE),"N/A")</f>
        <v>1</v>
      </c>
      <c r="DZ41" s="87">
        <f>IFERROR(VLOOKUP($B41,'LOD 300 - COLO2'!$B:CV,99,FALSE),"N/A")</f>
        <v>1</v>
      </c>
      <c r="EA41" s="87">
        <f>IFERROR(VLOOKUP($B41,'LOD 300 - COLO2'!$B:DB,105,FALSE),"N/A")</f>
        <v>1</v>
      </c>
      <c r="EB41" s="87">
        <f>IFERROR(VLOOKUP($B41,'LOD 300 - COLO2'!$B:DB,105,FALSE),"N/A")</f>
        <v>1</v>
      </c>
      <c r="EC41" s="87">
        <f>IFERROR(VLOOKUP($B41,'LOD 300 - COLO2'!$B:DE,108,FALSE),"N/A")</f>
        <v>1</v>
      </c>
      <c r="ED41" s="87">
        <f>IFERROR(VLOOKUP($B41,'LOD 300 - COLO2'!$B:DH,111,FALSE),"N/A")</f>
        <v>1</v>
      </c>
      <c r="EE41" s="87">
        <f>IFERROR(VLOOKUP($B41,'LOD 300 - COLO2'!$B:DK,114,FALSE),"N/A")</f>
        <v>1</v>
      </c>
      <c r="EF41" s="87">
        <f>IFERROR(VLOOKUP($B41,'LOD 300 - COLO2'!$B:DN,117,FALSE),"N/A")</f>
        <v>1</v>
      </c>
      <c r="EG41" s="87">
        <f>IFERROR(VLOOKUP($B41,'LOD 300 - COLO2'!$B:DQ,120,FALSE),"N/A")</f>
        <v>1</v>
      </c>
      <c r="EH41" s="99">
        <f>IFERROR(__xludf.DUMMYFUNCTION("IFERROR(
  MAX(FILTER(CZ41:EG41, ISNUMBER(CZ41:EG41))),
  EG41
)"),1.0)</f>
        <v>1</v>
      </c>
      <c r="EI41" s="100">
        <f>IFERROR(VLOOKUP($B41,'LOD 300 - COLO3'!$B:R,17,FALSE),"N/A")</f>
        <v>0</v>
      </c>
      <c r="EJ41" s="127" t="str">
        <f>IFERROR(VLOOKUP($B41,'LOD 300 - COLO3'!$B:U,20,FALSE),"N/A")</f>
        <v>NEXT ROUND</v>
      </c>
      <c r="EK41" s="127" t="str">
        <f>IFERROR(VLOOKUP($B41,'LOD 300 - COLO3'!$B:X,23,FALSE),"N/A")</f>
        <v>NEXT ROUND</v>
      </c>
      <c r="EL41" s="127">
        <f>IFERROR(VLOOKUP($B41,'LOD 300 - COLO3'!$B:AA,26,FALSE),"N/A")</f>
        <v>0.82</v>
      </c>
      <c r="EM41" s="127">
        <f>IFERROR(VLOOKUP($B41,'LOD 300 - COLO3'!$B:AD,29,FALSE),"N/A")</f>
        <v>1</v>
      </c>
      <c r="EN41" s="127">
        <f>IFERROR(VLOOKUP($B41,'LOD 300 - COLO3'!$B:AG,32,FALSE),"N/A")</f>
        <v>1</v>
      </c>
      <c r="EO41" s="127">
        <f>IFERROR(VLOOKUP($B41,'LOD 300 - COLO3'!$B:AJ,35,FALSE),"N/A")</f>
        <v>1</v>
      </c>
      <c r="EP41" s="100">
        <f>IFERROR(VLOOKUP($B41,'LOD 300 - COLO3'!$B:AM,38,FALSE),"N/A")</f>
        <v>1</v>
      </c>
      <c r="EQ41" s="100">
        <f>IFERROR(VLOOKUP($B41,'LOD 300 - COLO3'!$B:AP,41,FALSE),"N/A")</f>
        <v>1</v>
      </c>
      <c r="ER41" s="100">
        <f>IFERROR(VLOOKUP($B41,'LOD 300 - COLO3'!$B:AS,44,FALSE),"N/A")</f>
        <v>1</v>
      </c>
      <c r="ES41" s="100">
        <f>IFERROR(VLOOKUP($B41,'LOD 300 - COLO3'!$B:AV,47,FALSE),"N/A")</f>
        <v>1</v>
      </c>
      <c r="ET41" s="100">
        <f>IFERROR(VLOOKUP($B41,'LOD 300 - COLO3'!$B:AY,50,FALSE),"N/A")</f>
        <v>1</v>
      </c>
      <c r="EU41" s="100">
        <f>IFERROR(VLOOKUP($B41,'LOD 300 - COLO3'!$B:BB,53,FALSE),"N/A")</f>
        <v>1</v>
      </c>
      <c r="EV41" s="100">
        <f>IFERROR(VLOOKUP($B41,'LOD 300 - COLO3'!$B:BE,56,FALSE),"N/A")</f>
        <v>1</v>
      </c>
      <c r="EW41" s="100">
        <f>IFERROR(VLOOKUP($B41,'LOD 300 - COLO3'!$B:BL,59,FALSE),"N/A")</f>
        <v>1</v>
      </c>
      <c r="EX41" s="100">
        <f>IFERROR(VLOOKUP($B41,'LOD 300 - COLO3'!$B:BO,62,FALSE),"N/A")</f>
        <v>1</v>
      </c>
      <c r="EY41" s="103">
        <f>IFERROR(__xludf.DUMMYFUNCTION("IFERROR(
  MAX(FILTER(EI41:EX41, ISNUMBER(EI41:EX41))),
  EX41
)"),1.0)</f>
        <v>1</v>
      </c>
      <c r="EZ41" s="104">
        <f>IFERROR(VLOOKUP($B41,'LOD 300 - COLO4'!$B:BT,17,FALSE),"N/A")</f>
        <v>0</v>
      </c>
      <c r="FA41" s="103">
        <f>IFERROR(__xludf.DUMMYFUNCTION("IFERROR(
  MAX(FILTER(EZ41, ISNUMBER(EZ41))),
  EZ41
)"),0.0)</f>
        <v>0</v>
      </c>
      <c r="FB41" s="121" t="str">
        <f>IFERROR(VLOOKUP($B41,'LOD 300 - SITE'!$B:S,18,FALSE),"N/A")</f>
        <v>N/A</v>
      </c>
      <c r="FC41" s="122" t="str">
        <f>IFERROR(VLOOKUP($B41,'LOD 300 - SITE'!$B:V,21,FALSE),"N/A")</f>
        <v>N/A</v>
      </c>
      <c r="FD41" s="122" t="str">
        <f>IFERROR(VLOOKUP($B41,'LOD 300 - SITE'!$B:Y,24,FALSE),"N/A")</f>
        <v>N/A</v>
      </c>
      <c r="FE41" s="122" t="str">
        <f>IFERROR(VLOOKUP($B41,'LOD 300 - SITE'!$B:AB,27,FALSE),"N/A")</f>
        <v>N/A</v>
      </c>
      <c r="FF41" s="122" t="str">
        <f>IFERROR(VLOOKUP($B41,'LOD 300 - SITE'!$B:AE,30,FALSE),"N/A")</f>
        <v>N/A</v>
      </c>
      <c r="FG41" s="122" t="str">
        <f>IFERROR(VLOOKUP($B41,'LOD 300 - SITE'!$B:AH,33,FALSE),"N/A")</f>
        <v>N/A</v>
      </c>
      <c r="FH41" s="122" t="str">
        <f>IFERROR(VLOOKUP($B41,'LOD 300 - SITE'!$B:AK,36,FALSE),"N/A")</f>
        <v>N/A</v>
      </c>
      <c r="FI41" s="122" t="str">
        <f>IFERROR(VLOOKUP($B41,'LOD 300 - SITE'!$B:AN,39,FALSE),"N/A")</f>
        <v>N/A</v>
      </c>
      <c r="FJ41" s="122" t="str">
        <f>IFERROR(VLOOKUP($B41,'LOD 300 - SITE'!$B:AQ,42,FALSE),"N/A")</f>
        <v>N/A</v>
      </c>
      <c r="FK41" s="122" t="str">
        <f>IFERROR(VLOOKUP($B41,'LOD 300 - SITE'!$B:AT,45,FALSE),"N/A")</f>
        <v>N/A</v>
      </c>
      <c r="FL41" s="123" t="str">
        <f>IFERROR(VLOOKUP($B41,'LOD 300 - SITE'!$B:AW,48,FALSE),"N/A")</f>
        <v>N/A</v>
      </c>
      <c r="FM41" s="87" t="str">
        <f>IFERROR(VLOOKUP($B41,'LOD 300 - SITE'!$B:AZ,51,FALSE),"N/A")</f>
        <v>N/A</v>
      </c>
      <c r="FN41" s="94" t="str">
        <f>IFERROR(VLOOKUP($B41,'LOD 300 - SITE'!$B:BC,54,FALSE),"N/A")</f>
        <v>N/A</v>
      </c>
      <c r="FO41" s="95" t="str">
        <f>IFERROR(VLOOKUP($B41,'LOD 300 - SITE'!$B:BF,57,FALSE),"N/A")</f>
        <v>N/A</v>
      </c>
      <c r="FP41" s="86" t="str">
        <f>IFERROR(VLOOKUP($B41,'LOD 300 - SITE'!$B:BI,60,FALSE),"N/A")</f>
        <v>N/A</v>
      </c>
      <c r="FQ41" s="86" t="str">
        <f>IFERROR(VLOOKUP($B41,'LOD 300 - SITE'!$B:BL,63,FALSE),"N/A")</f>
        <v>N/A</v>
      </c>
      <c r="FR41" s="86" t="str">
        <f>IFERROR(VLOOKUP($B41,'LOD 300 - SITE'!$B:BO,66,FALSE),"N/A")</f>
        <v>N/A</v>
      </c>
      <c r="FS41" s="86" t="str">
        <f>IFERROR(VLOOKUP($B41,'LOD 300 - SITE'!$B:BR,69,FALSE),"N/A")</f>
        <v>N/A</v>
      </c>
      <c r="FT41" s="86" t="str">
        <f>IFERROR(VLOOKUP($B41,'LOD 300 - SITE'!$B:BU,72,FALSE),"N/A")</f>
        <v>N/A</v>
      </c>
      <c r="FU41" s="86" t="str">
        <f>IFERROR(VLOOKUP($B41,'LOD 300 - SITE'!$B:BX,75,FALSE),"N/A")</f>
        <v>N/A</v>
      </c>
      <c r="FV41" s="86" t="str">
        <f>IFERROR(VLOOKUP($B41,'LOD 300 - SITE'!$B:CA,78,FALSE),"N/A")</f>
        <v>N/A</v>
      </c>
      <c r="FW41" s="87" t="str">
        <f>IFERROR(VLOOKUP($B41,'LOD 300 - SITE'!$B:CD,81,FALSE),"N/A")</f>
        <v>N/A</v>
      </c>
      <c r="FX41" s="108" t="str">
        <f>IFERROR(VLOOKUP($B41,'LOD 300 - SITE'!$B:CG,84,FALSE),"N/A")</f>
        <v>N/A</v>
      </c>
      <c r="FY41" s="108" t="str">
        <f>IFERROR(VLOOKUP($B41,'LOD 300 - SITE'!$B:CJ,87,FALSE),"N/A")</f>
        <v>N/A</v>
      </c>
      <c r="FZ41" s="108" t="str">
        <f>IFERROR(VLOOKUP($B41,'LOD 300 - SITE'!$B:CM,90,FALSE),"N/A")</f>
        <v>N/A</v>
      </c>
      <c r="GA41" s="108" t="str">
        <f>IFERROR(VLOOKUP($B41,'LOD 300 - SITE'!$B:CP,93,FALSE),"N/A")</f>
        <v>N/A</v>
      </c>
      <c r="GB41" s="108" t="str">
        <f>IFERROR(VLOOKUP($B41,'LOD 300 - SITE'!$B:CS,96,FALSE),"N/A")</f>
        <v>N/A</v>
      </c>
      <c r="GC41" s="109" t="str">
        <f>IFERROR(VLOOKUP($B41,'LOD 300 - SITE'!$B:CV,99,FALSE),"N/A")</f>
        <v>N/A</v>
      </c>
      <c r="GD41" s="87" t="str">
        <f>IFERROR(VLOOKUP($B41,'LOD 300 - SITE'!$B:CY,102,FALSE),"N/A")</f>
        <v>N/A</v>
      </c>
      <c r="GE41" s="87" t="str">
        <f>IFERROR(VLOOKUP($B41,'LOD 300 - SITE'!$B:DB,105,FALSE),"N/A")</f>
        <v>N/A</v>
      </c>
      <c r="GF41" s="87" t="str">
        <f>IFERROR(VLOOKUP($B41,'LOD 300 - SITE'!$B:DE,108,FALSE),"N/A")</f>
        <v>N/A</v>
      </c>
      <c r="GG41" s="87" t="str">
        <f>IFERROR(VLOOKUP($B41,'LOD 300 - SITE'!$B:DH,111,FALSE),"N/A")</f>
        <v>N/A</v>
      </c>
      <c r="GH41" s="87" t="str">
        <f>IFERROR(VLOOKUP($B41,'LOD 300 - SITE'!$B:DK,114,FALSE),"N/A")</f>
        <v>N/A</v>
      </c>
      <c r="GI41" s="87" t="str">
        <f>IFERROR(VLOOKUP($B41,'LOD 300 - SITE'!$B:DN,117,FALSE),"N/A")</f>
        <v>N/A</v>
      </c>
      <c r="GJ41" s="87" t="str">
        <f>IFERROR(VLOOKUP($B41,'LOD 300 - SITE'!$B:DQ,120,FALSE),"N/A")</f>
        <v>N/A</v>
      </c>
      <c r="GK41" s="87" t="str">
        <f>IFERROR(VLOOKUP($B41,'LOD 300 - SITE'!$B:DT,123,FALSE),"N/A")</f>
        <v>N/A</v>
      </c>
      <c r="GL41" s="87" t="str">
        <f>IFERROR(VLOOKUP($B41,'LOD 300 - SITE'!$B:DW,126,FALSE),"N/A")</f>
        <v>N/A</v>
      </c>
      <c r="GM41" s="110" t="str">
        <f>IFERROR(__xludf.DUMMYFUNCTION("IFERROR(
  MAX(FILTER(FB41:GL41, ISNUMBER(FB41:GL41))),
  GL41
)"),"N/A")</f>
        <v>N/A</v>
      </c>
      <c r="GN41" s="111"/>
      <c r="GO41" s="111"/>
      <c r="GP41" s="111"/>
    </row>
    <row r="42" ht="15.0" hidden="1" customHeight="1">
      <c r="A42" s="60">
        <v>45.0</v>
      </c>
      <c r="B42" s="187" t="s">
        <v>189</v>
      </c>
      <c r="C42" s="188"/>
      <c r="D42" s="189"/>
      <c r="E42" s="189"/>
      <c r="F42" s="13"/>
      <c r="G42" s="189"/>
      <c r="H42" s="190"/>
      <c r="I42" s="191"/>
      <c r="J42" s="191"/>
      <c r="K42" s="189"/>
      <c r="L42" s="189"/>
      <c r="M42" s="192"/>
      <c r="N42" s="192"/>
      <c r="O42" s="192"/>
      <c r="P42" s="193"/>
      <c r="Q42" s="192"/>
      <c r="R42" s="192"/>
      <c r="S42" s="79" t="str">
        <f>IF(OR($D42="C345",$D42="C12A",$D42="DATA"),
   VLOOKUP($B42,'LOD 300 - COLO4'!B:S,14,FALSE),"N/A")</f>
        <v>N/A</v>
      </c>
      <c r="T42" s="76" t="str">
        <f>IF(OR($D42="C345",$D42="C12A",$D42="DATA"),
   VLOOKUP($B42,'LOD 300 - COLO3'!B:T,13,FALSE),"N/A")</f>
        <v>N/A</v>
      </c>
      <c r="U42" s="192"/>
      <c r="V42" s="189"/>
      <c r="W42" s="194"/>
      <c r="X42" s="195"/>
      <c r="Y42" s="195"/>
      <c r="Z42" s="195"/>
      <c r="AA42" s="195"/>
      <c r="AB42" s="195"/>
      <c r="AC42" s="195"/>
      <c r="AD42" s="195"/>
      <c r="AE42" s="195"/>
      <c r="AF42" s="195"/>
      <c r="AG42" s="195"/>
      <c r="AH42" s="195"/>
      <c r="AI42" s="195"/>
      <c r="AJ42" s="196"/>
      <c r="AK42" s="196"/>
      <c r="AL42" s="197"/>
      <c r="AM42" s="196"/>
      <c r="AN42" s="196"/>
      <c r="AO42" s="196"/>
      <c r="AP42" s="196"/>
      <c r="AQ42" s="196"/>
      <c r="AR42" s="196"/>
      <c r="AS42" s="196"/>
      <c r="AT42" s="196"/>
      <c r="AU42" s="196"/>
      <c r="AV42" s="197"/>
      <c r="AW42" s="197"/>
      <c r="AX42" s="197"/>
      <c r="AY42" s="197"/>
      <c r="AZ42" s="197"/>
      <c r="BA42" s="196"/>
      <c r="BB42" s="197"/>
      <c r="BC42" s="198"/>
      <c r="BD42" s="198"/>
      <c r="BE42" s="198"/>
      <c r="BF42" s="198"/>
      <c r="BG42" s="198"/>
      <c r="BH42" s="198"/>
      <c r="BI42" s="198"/>
      <c r="BJ42" s="199"/>
      <c r="BK42" s="200"/>
      <c r="BL42" s="200"/>
      <c r="BM42" s="200"/>
      <c r="BN42" s="200"/>
      <c r="BO42" s="200"/>
      <c r="BP42" s="200"/>
      <c r="BQ42" s="200"/>
      <c r="BR42" s="200"/>
      <c r="BS42" s="200"/>
      <c r="BT42" s="200"/>
      <c r="BU42" s="200"/>
      <c r="BV42" s="200"/>
      <c r="BW42" s="200"/>
      <c r="BX42" s="201"/>
      <c r="BY42" s="201"/>
      <c r="BZ42" s="202"/>
      <c r="CA42" s="203"/>
      <c r="CB42" s="203"/>
      <c r="CC42" s="203"/>
      <c r="CD42" s="203"/>
      <c r="CE42" s="203"/>
      <c r="CF42" s="196"/>
      <c r="CG42" s="202"/>
      <c r="CH42" s="196"/>
      <c r="CI42" s="196"/>
      <c r="CJ42" s="202"/>
      <c r="CK42" s="202"/>
      <c r="CL42" s="202"/>
      <c r="CM42" s="202"/>
      <c r="CN42" s="202"/>
      <c r="CO42" s="196"/>
      <c r="CP42" s="204"/>
      <c r="CQ42" s="202"/>
      <c r="CR42" s="202"/>
      <c r="CS42" s="202"/>
      <c r="CT42" s="202"/>
      <c r="CU42" s="202"/>
      <c r="CV42" s="202"/>
      <c r="CW42" s="202"/>
      <c r="CX42" s="199"/>
      <c r="CY42" s="205"/>
      <c r="CZ42" s="206"/>
      <c r="DA42" s="206"/>
      <c r="DB42" s="206"/>
      <c r="DC42" s="207"/>
      <c r="DD42" s="208"/>
      <c r="DE42" s="205"/>
      <c r="DF42" s="205"/>
      <c r="DG42" s="209"/>
      <c r="DH42" s="196"/>
      <c r="DI42" s="201"/>
      <c r="DJ42" s="202"/>
      <c r="DK42" s="203"/>
      <c r="DL42" s="203"/>
      <c r="DM42" s="203"/>
      <c r="DN42" s="203"/>
      <c r="DO42" s="203"/>
      <c r="DP42" s="196"/>
      <c r="DQ42" s="196"/>
      <c r="DR42" s="196"/>
      <c r="DS42" s="210"/>
      <c r="DT42" s="211"/>
      <c r="DU42" s="211"/>
      <c r="DV42" s="211"/>
      <c r="DW42" s="211"/>
      <c r="DX42" s="211"/>
      <c r="DY42" s="196"/>
      <c r="DZ42" s="197"/>
      <c r="EA42" s="198"/>
      <c r="EB42" s="198"/>
      <c r="EC42" s="198"/>
      <c r="ED42" s="198"/>
      <c r="EE42" s="198"/>
      <c r="EF42" s="198"/>
      <c r="EG42" s="198"/>
      <c r="EH42" s="198"/>
      <c r="EI42" s="196"/>
      <c r="EJ42" s="196"/>
      <c r="EK42" s="196"/>
      <c r="EL42" s="196"/>
      <c r="EM42" s="196"/>
      <c r="EN42" s="196"/>
      <c r="EO42" s="196"/>
      <c r="EP42" s="196"/>
      <c r="EQ42" s="196"/>
      <c r="ER42" s="203"/>
      <c r="ES42" s="203"/>
      <c r="ET42" s="203"/>
      <c r="EU42" s="203"/>
      <c r="EV42" s="203"/>
      <c r="EW42" s="203"/>
      <c r="EX42" s="203"/>
      <c r="EY42" s="203"/>
      <c r="EZ42" s="212"/>
      <c r="FA42" s="212"/>
      <c r="FB42" s="195"/>
      <c r="FC42" s="195"/>
      <c r="FD42" s="195"/>
      <c r="FE42" s="195"/>
      <c r="FF42" s="195"/>
      <c r="FG42" s="195"/>
      <c r="FH42" s="195"/>
      <c r="FI42" s="195"/>
      <c r="FJ42" s="195"/>
      <c r="FK42" s="195"/>
      <c r="FL42" s="213"/>
      <c r="FM42" s="196"/>
      <c r="FN42" s="201"/>
      <c r="FO42" s="202"/>
      <c r="FP42" s="203"/>
      <c r="FQ42" s="203"/>
      <c r="FR42" s="203"/>
      <c r="FS42" s="203"/>
      <c r="FT42" s="203"/>
      <c r="FU42" s="203"/>
      <c r="FV42" s="203"/>
      <c r="FW42" s="196"/>
      <c r="FX42" s="201"/>
      <c r="FY42" s="202"/>
      <c r="FZ42" s="202"/>
      <c r="GA42" s="202"/>
      <c r="GB42" s="202"/>
      <c r="GC42" s="202"/>
      <c r="GD42" s="196"/>
      <c r="GE42" s="204"/>
      <c r="GF42" s="202"/>
      <c r="GG42" s="202"/>
      <c r="GH42" s="202"/>
      <c r="GI42" s="202"/>
      <c r="GJ42" s="202"/>
      <c r="GK42" s="202"/>
      <c r="GL42" s="202"/>
      <c r="GM42" s="214"/>
      <c r="GN42" s="186"/>
      <c r="GO42" s="186"/>
      <c r="GP42" s="186"/>
    </row>
    <row r="43" ht="15.0" customHeight="1" outlineLevel="1">
      <c r="A43" s="60">
        <v>46.0</v>
      </c>
      <c r="B43" s="140" t="s">
        <v>190</v>
      </c>
      <c r="C43" s="70" t="s">
        <v>191</v>
      </c>
      <c r="D43" s="71" t="s">
        <v>90</v>
      </c>
      <c r="E43" s="146" t="s">
        <v>180</v>
      </c>
      <c r="F43" s="13">
        <v>1114.0</v>
      </c>
      <c r="G43" s="139" t="s">
        <v>180</v>
      </c>
      <c r="H43" s="139">
        <v>1114.0</v>
      </c>
      <c r="I43" s="74" t="str">
        <f>IFERROR(VLOOKUP(C40:C182,'R22 RELATÓRIO ACC'!B:F,5,FALSE),"NOT PUBLISHED")</f>
        <v>V14</v>
      </c>
      <c r="J43" s="74" t="str">
        <f>IFERROR(VLOOKUP(C40:C182,'R22 RELATÓRIO ACC'!B:P,15,FALSE),"NOT PUBLISHED")</f>
        <v>29/04/2026</v>
      </c>
      <c r="K43" s="141" t="str">
        <f>IFERROR(VLOOKUP(B40:B231,'RELATÓRIO ACC'!B:F,5,FALSE),"NOT PUBLISHED")</f>
        <v>V2</v>
      </c>
      <c r="L43" s="142" t="str">
        <f>IFERROR(VLOOKUP(B40:B231,'RELATÓRIO ACC'!B:P,15,FALSE),"NOT PUBLISHED")</f>
        <v>07/07/2026</v>
      </c>
      <c r="M43" s="76" t="str">
        <f>IF(OR($D43="UTLS",$D43="GUAR",$D43="STIR",$D43="PUMP",$D43="SITE"),
   VLOOKUP($B43,'LOD 300 - SITE'!B:M,12,FALSE),
   VLOOKUP($B43,'LOD 300 - ADMN'!B:M,12,FALSE)
)</f>
        <v>V7</v>
      </c>
      <c r="N43" s="77">
        <f>IF(OR($D43="UTLS",$D43="GUAR",$D43="STIR",$D43="PUMP",$D43="SITE"),
   VLOOKUP($B43,'LOD 300 - SITE'!B:N,13,FALSE),
   VLOOKUP($B43,'LOD 300 - ADMN'!B:N,13,FALSE)
)</f>
        <v>45870</v>
      </c>
      <c r="O43" s="114" t="str">
        <f>IF(OR($D43="UTLS",$D43="GUAR",$D43="STIR",$D43="PUMP",$D43="SITE"),
   VLOOKUP($B43,'LOD 300 - SITE'!B:O,14,FALSE),
   VLOOKUP($B43,'LOD 300 - ADMN'!B:O,14,FALSE)
)</f>
        <v>R22</v>
      </c>
      <c r="P43" s="79" t="str">
        <f>IF(OR($D43="C345",$D43="C12A",$D43="DATA"),
   VLOOKUP($B43,'LOD 300 - COLO3'!B:M,12,FALSE),"N/A")</f>
        <v>N/A</v>
      </c>
      <c r="Q43" s="76" t="str">
        <f>IF(OR($D43="C345",$D43="C12A",$D43="DATA"),
   VLOOKUP($B43,'LOD 300 - COLO3'!B:N,13,FALSE),"N/A")</f>
        <v>N/A</v>
      </c>
      <c r="R43" s="76" t="str">
        <f>IF(OR($D43="C345",$D43="C12A",$D43="DATA"),
   VLOOKUP($B43,'LOD 300 - COLO3'!B:O,14,FALSE),"N/A")</f>
        <v>N/A</v>
      </c>
      <c r="S43" s="79" t="str">
        <f>IF(OR($D43="C345",$D43="C12A",$D43="DATA"),
   VLOOKUP($B43,'LOD 300 - COLO4'!B:M,12,FALSE),"N/A")</f>
        <v>N/A</v>
      </c>
      <c r="T43" s="76" t="str">
        <f>IF(OR($D43="C345",$D43="C12A",$D43="DATA"),
   VLOOKUP($B43,'LOD 300 - COLO4'!B:T,13,FALSE),"N/A")</f>
        <v>N/A</v>
      </c>
      <c r="U43" s="76" t="str">
        <f>IF(OR($D43="C345",$D43="C12A",$D43="DATA"),
   VLOOKUP($B43,'LOD 300 - COLO4'!B:U,17,FALSE),"N/A")</f>
        <v>N/A</v>
      </c>
      <c r="V43" s="126" t="s">
        <v>87</v>
      </c>
      <c r="W43" s="144" t="str">
        <f>IFERROR(VLOOKUP($B43,'LOD 300 - ADMN'!$B:S,18,FALSE),"N/A")</f>
        <v>N/A</v>
      </c>
      <c r="X43" s="122" t="str">
        <f>IFERROR(VLOOKUP($B43,'LOD 300 - ADMN'!$B:V,21,FALSE),"N/A")</f>
        <v>N/A</v>
      </c>
      <c r="Y43" s="122" t="str">
        <f>IFERROR(VLOOKUP($B43,'LOD 300 - ADMN'!$B:Y,24,FALSE),"N/A")</f>
        <v>N/A</v>
      </c>
      <c r="Z43" s="122" t="str">
        <f>IFERROR(VLOOKUP($B43,'LOD 300 - ADMN'!$B:AB,27,FALSE),"N/A")</f>
        <v>N/A</v>
      </c>
      <c r="AA43" s="122" t="str">
        <f>IFERROR(VLOOKUP($B43,'LOD 300 - ADMN'!$B:AE,30,FALSE),"N/A")</f>
        <v>N/A</v>
      </c>
      <c r="AB43" s="145" t="str">
        <f>IFERROR(VLOOKUP($B43,'LOD 300 - ADMN'!$B:AH,33,FALSE),"N/A")</f>
        <v>N/A</v>
      </c>
      <c r="AC43" s="145" t="str">
        <f>IFERROR(VLOOKUP($B43,'LOD 300 - ADMN'!$B:AK,36,FALSE),"N/A")</f>
        <v>N/A</v>
      </c>
      <c r="AD43" s="122" t="str">
        <f>IFERROR(VLOOKUP($B43,'LOD 300 - ADMN'!$B:AN,39,FALSE),"N/A")</f>
        <v>N/A</v>
      </c>
      <c r="AE43" s="122" t="str">
        <f>IFERROR(VLOOKUP($B43,'LOD 300 - ADMN'!$B:AQ,42,FALSE),"N/A")</f>
        <v>N/A</v>
      </c>
      <c r="AF43" s="122" t="str">
        <f>IFERROR(VLOOKUP($B43,'LOD 300 - ADMN'!$B:AT,45,FALSE),"N/A")</f>
        <v>N/A</v>
      </c>
      <c r="AG43" s="122" t="str">
        <f>IFERROR(VLOOKUP($B43,'LOD 300 - ADMN'!$B:AW,48,FALSE),"N/A")</f>
        <v>N/A</v>
      </c>
      <c r="AH43" s="122" t="str">
        <f>IFERROR(VLOOKUP($B43,'LOD 300 - ADMN'!$B:AZ,51,FALSE),"N/A")</f>
        <v>N/A</v>
      </c>
      <c r="AI43" s="122" t="str">
        <f>IFERROR(VLOOKUP($B43,'LOD 300 - ADMN'!$B:BC,54,FALSE),"N/A")</f>
        <v>N/A</v>
      </c>
      <c r="AJ43" s="87" t="str">
        <f>IFERROR(VLOOKUP($B43,'LOD 300 - ADMN'!$B:BF,57,FALSE),"N/A")</f>
        <v>N/A</v>
      </c>
      <c r="AK43" s="87" t="str">
        <f>IFERROR(VLOOKUP($B43,'LOD 300 - ADMN'!$B:EP,60,FALSE),"N/A")</f>
        <v>N/A</v>
      </c>
      <c r="AL43" s="87" t="str">
        <f>IFERROR(VLOOKUP($B43,'LOD 300 - ADMN'!$B:EQ,63,FALSE),"N/A")</f>
        <v>N/A</v>
      </c>
      <c r="AM43" s="87" t="str">
        <f>IFERROR(VLOOKUP($B43,'LOD 300 - ADMN'!$B:BO,66,FALSE),"N/A")</f>
        <v>N/A</v>
      </c>
      <c r="AN43" s="87" t="str">
        <f>IFERROR(VLOOKUP($B43,'LOD 300 - ADMN'!$B:BR,69,FALSE),"N/A")</f>
        <v>N/A</v>
      </c>
      <c r="AO43" s="87" t="str">
        <f>IFERROR(VLOOKUP($B43,'LOD 300 - ADMN'!$B:BU,72,FALSE),"N/A")</f>
        <v>N/A</v>
      </c>
      <c r="AP43" s="87" t="str">
        <f>IFERROR(VLOOKUP($B43,'LOD 300 - ADMN'!$B:BX,75,FALSE),"N/A")</f>
        <v>N/A</v>
      </c>
      <c r="AQ43" s="87" t="str">
        <f>IFERROR(VLOOKUP($B43,'LOD 300 - ADMN'!$B:CA,78,FALSE),"N/A")</f>
        <v>N/A</v>
      </c>
      <c r="AR43" s="87" t="str">
        <f>IFERROR(VLOOKUP($B43,'LOD 300 - ADMN'!$B:CD,81,FALSE),"N/A")</f>
        <v>N/A</v>
      </c>
      <c r="AS43" s="87" t="str">
        <f>IFERROR(VLOOKUP($B43,'LOD 300 - ADMN'!$B:CG,84,FALSE),"N/A")</f>
        <v>N/A</v>
      </c>
      <c r="AT43" s="87" t="str">
        <f>IFERROR(VLOOKUP($B43,'LOD 300 - ADMN'!$B:CJ,87,FALSE),"N/A")</f>
        <v>N/A</v>
      </c>
      <c r="AU43" s="88" t="str">
        <f>IFERROR(VLOOKUP($B43,'LOD 300 - ADMN'!$B:CM,90,FALSE),"N/A")</f>
        <v>N/A</v>
      </c>
      <c r="AV43" s="88" t="str">
        <f>IFERROR(VLOOKUP($B43,'LOD 300 - ADMN'!$B:CP,93,FALSE),"N/A")</f>
        <v>N/A</v>
      </c>
      <c r="AW43" s="88" t="str">
        <f>IFERROR(VLOOKUP($B43,'LOD 300 - ADMN'!$B:CS,96,FALSE),"N/A")</f>
        <v>N/A</v>
      </c>
      <c r="AX43" s="88" t="str">
        <f>IFERROR(VLOOKUP($B43,'LOD 300 - ADMN'!$B:CV,99,FALSE),"N/A")</f>
        <v>N/A</v>
      </c>
      <c r="AY43" s="88" t="str">
        <f>IFERROR(VLOOKUP($B43,'LOD 300 - ADMN'!$B:CY,102,FALSE),"N/A")</f>
        <v>N/A</v>
      </c>
      <c r="AZ43" s="88" t="str">
        <f>IFERROR(VLOOKUP($B43,'LOD 300 - ADMN'!$B:DB,105,FALSE),"N/A")</f>
        <v>N/A</v>
      </c>
      <c r="BA43" s="87" t="str">
        <f>IFERROR(VLOOKUP($B43,'LOD 300 - ADMN'!$B:DE,108,FALSE),"N/A")</f>
        <v>N/A</v>
      </c>
      <c r="BB43" s="87" t="str">
        <f>IFERROR(VLOOKUP($B43,'LOD 300 - ADMN'!$B:DH,111,FALSE),"N/A")</f>
        <v>N/A</v>
      </c>
      <c r="BC43" s="87" t="str">
        <f>IFERROR(VLOOKUP($B43,'LOD 300 - ADMN'!$B:DK,114,FALSE),"N/A")</f>
        <v>N/A</v>
      </c>
      <c r="BD43" s="87" t="str">
        <f>IFERROR(VLOOKUP($B43,'LOD 300 - ADMN'!$B:DN,117,FALSE),"N/A")</f>
        <v>N/A</v>
      </c>
      <c r="BE43" s="87" t="str">
        <f>IFERROR(VLOOKUP($B43,'LOD 300 - ADMN'!$B:DQ,120,FALSE),"N/A")</f>
        <v>N/A</v>
      </c>
      <c r="BF43" s="87" t="str">
        <f>IFERROR(VLOOKUP($B43,'LOD 300 - ADMN'!$B:DT,123,FALSE),"N/A")</f>
        <v>N/A</v>
      </c>
      <c r="BG43" s="87" t="str">
        <f>IFERROR(VLOOKUP($B43,'LOD 300 - ADMN'!$B:DW,126,FALSE),"N/A")</f>
        <v>N/A</v>
      </c>
      <c r="BH43" s="87" t="str">
        <f>IFERROR(VLOOKUP($B43,'LOD 300 - ADMN'!$B:DZ,129,FALSE),"N/A")</f>
        <v>N/A</v>
      </c>
      <c r="BI43" s="87" t="str">
        <f>IFERROR(VLOOKUP($B43,'LOD 300 - ADMN'!$B:EC,132,FALSE),"N/A")</f>
        <v>N/A</v>
      </c>
      <c r="BJ43" s="90" t="str">
        <f>IFERROR(__xludf.DUMMYFUNCTION("IFERROR(
  MAX(FILTER(X43:BI43, ISNUMBER(X43:BI43))),
  BI43
)"),"N/A")</f>
        <v>N/A</v>
      </c>
      <c r="BK43" s="91" t="str">
        <f>IFERROR(VLOOKUP($B43,'LOD 300 - COLO1'!$B:S,18,FALSE),"N/A")</f>
        <v>N/A</v>
      </c>
      <c r="BL43" s="92" t="str">
        <f>IFERROR(VLOOKUP($B43,'LOD 300 - COLO1'!$B:V,21,FALSE),"N/A")</f>
        <v>N/A</v>
      </c>
      <c r="BM43" s="92" t="str">
        <f>IFERROR(VLOOKUP($B43,'LOD 300 - COLO1'!$B:Y,24,FALSE),"N/A")</f>
        <v>N/A</v>
      </c>
      <c r="BN43" s="92" t="str">
        <f>IFERROR(VLOOKUP($B43,'LOD 300 - COLO1'!$B:AB,27,FALSE),"N/A")</f>
        <v>N/A</v>
      </c>
      <c r="BO43" s="92" t="str">
        <f>IFERROR(VLOOKUP($B43,'LOD 300 - COLO1'!$B:AE,30,FALSE),"N/A")</f>
        <v>N/A</v>
      </c>
      <c r="BP43" s="92" t="str">
        <f>IFERROR(VLOOKUP($B43,'LOD 300 - COLO1'!$B:AH,33,FALSE),"N/A")</f>
        <v>N/A</v>
      </c>
      <c r="BQ43" s="92" t="str">
        <f>IFERROR(VLOOKUP($B43,'LOD 300 - COLO1'!$B:AK,36,FALSE),"N/A")</f>
        <v>N/A</v>
      </c>
      <c r="BR43" s="92" t="str">
        <f>IFERROR(VLOOKUP($B43,'LOD 300 - COLO1'!$B:AN,39,FALSE),"N/A")</f>
        <v>N/A</v>
      </c>
      <c r="BS43" s="92" t="str">
        <f>IFERROR(VLOOKUP($B43,'LOD 300 - COLO1'!$B:AQ,42,FALSE),"N/A")</f>
        <v>N/A</v>
      </c>
      <c r="BT43" s="92" t="str">
        <f>IFERROR(VLOOKUP($B43,'LOD 300 - COLO1'!$B:AT,45,FALSE),"N/A")</f>
        <v>N/A</v>
      </c>
      <c r="BU43" s="92" t="str">
        <f>IFERROR(VLOOKUP($B43,'LOD 300 - COLO1'!$B:AW,48,FALSE),"N/A")</f>
        <v>N/A</v>
      </c>
      <c r="BV43" s="92" t="str">
        <f>IFERROR(VLOOKUP($B43,'LOD 300 - COLO1'!$B:AZ,51,FALSE),"N/A")</f>
        <v>N/A</v>
      </c>
      <c r="BW43" s="92" t="str">
        <f>IFERROR(VLOOKUP($B43,'LOD 300 - COLO1'!$B:BC,54,FALSE),"N/A")</f>
        <v>N/A</v>
      </c>
      <c r="BX43" s="94" t="str">
        <f>IFERROR(VLOOKUP($B43,'LOD 300 - COLO1'!$B:BF,57,FALSE),"N/A")</f>
        <v>N/A</v>
      </c>
      <c r="BY43" s="94" t="str">
        <f>IFERROR(VLOOKUP($B43,'LOD 300 - COLO1'!$B:BI,60,FALSE),"N/A")</f>
        <v>N/A</v>
      </c>
      <c r="BZ43" s="95" t="str">
        <f>IFERROR(VLOOKUP($B43,'LOD 300 - COLO1'!$B:BL,63,FALSE),"N/A")</f>
        <v>N/A</v>
      </c>
      <c r="CA43" s="86" t="str">
        <f>IFERROR(VLOOKUP($B43,'LOD 300 - COLO1'!$B:BO,66,FALSE),"N/A")</f>
        <v>N/A</v>
      </c>
      <c r="CB43" s="86" t="str">
        <f>IFERROR(VLOOKUP($B43,'LOD 300 - COLO1'!$B:BR,69,FALSE),"N/A")</f>
        <v>N/A</v>
      </c>
      <c r="CC43" s="86" t="str">
        <f>IFERROR(VLOOKUP($B43,'LOD 300 - COLO1'!$B:BU,72,FALSE),"N/A")</f>
        <v>N/A</v>
      </c>
      <c r="CD43" s="86" t="str">
        <f>IFERROR(VLOOKUP($B43,'LOD 300 - COLO1'!$B:BX,75,FALSE),"N/A")</f>
        <v>N/A</v>
      </c>
      <c r="CE43" s="86" t="str">
        <f>IFERROR(VLOOKUP($B43,'LOD 300 - COLO1'!$B:CA,78,FALSE),"N/A")</f>
        <v>N/A</v>
      </c>
      <c r="CF43" s="87" t="str">
        <f>IFERROR(VLOOKUP($B43,'LOD 300 - COLO1'!$B:CD,81,FALSE),"N/A")</f>
        <v>N/A</v>
      </c>
      <c r="CG43" s="86" t="str">
        <f>IFERROR(VLOOKUP($B43,'LOD 300 - COLO1'!$B:CG,84,FALSE),"N/A")</f>
        <v>N/A</v>
      </c>
      <c r="CH43" s="87" t="str">
        <f>IFERROR(VLOOKUP($B43,'LOD 300 - COLO1'!$B:CJ,87,FALSE),"N/A")</f>
        <v>N/A</v>
      </c>
      <c r="CI43" s="88" t="str">
        <f>IFERROR(VLOOKUP($B43,'LOD 300 - COLO1'!$B:CM,90,FALSE),"N/A")</f>
        <v>N/A</v>
      </c>
      <c r="CJ43" s="88" t="str">
        <f>IFERROR(VLOOKUP($B43,'LOD 300 - COLO1'!$B:CP,93,FALSE),"N/A")</f>
        <v>N/A</v>
      </c>
      <c r="CK43" s="88" t="str">
        <f>IFERROR(VLOOKUP($B43,'LOD 300 - COLO1'!$B:CS,96,FALSE),"N/A")</f>
        <v>N/A</v>
      </c>
      <c r="CL43" s="88" t="str">
        <f>IFERROR(VLOOKUP($B43,'LOD 300 - COLO1'!$B:CV,99,FALSE),"N/A")</f>
        <v>N/A</v>
      </c>
      <c r="CM43" s="88" t="str">
        <f>IFERROR(VLOOKUP($B43,'LOD 300 - COLO1'!$B:CY,102,FALSE),"N/A")</f>
        <v>N/A</v>
      </c>
      <c r="CN43" s="89" t="str">
        <f>IFERROR(VLOOKUP($B43,'LOD 300 - COLO1'!$B:DB,105,FALSE),"N/A")</f>
        <v>N/A</v>
      </c>
      <c r="CO43" s="87" t="str">
        <f>IFERROR(VLOOKUP($B43,'LOD 300 - COLO1'!$B:EE,108,FALSE),"N/A")</f>
        <v>N/A</v>
      </c>
      <c r="CP43" s="87" t="str">
        <f>IFERROR(VLOOKUP($B43,'LOD 300 - COLO1'!$B:EH,111,FALSE),"N/A")</f>
        <v>N/A</v>
      </c>
      <c r="CQ43" s="87" t="str">
        <f>IFERROR(VLOOKUP($B43,'LOD 300 - COLO1'!$B:EK,114,FALSE),"N/A")</f>
        <v>N/A</v>
      </c>
      <c r="CR43" s="87" t="str">
        <f>IFERROR(VLOOKUP($B43,'LOD 300 - COLO1'!$B:EN,117,FALSE),"N/A")</f>
        <v>N/A</v>
      </c>
      <c r="CS43" s="87" t="str">
        <f>IFERROR(VLOOKUP($B43,'LOD 300 - COLO1'!$B:EQ,120,FALSE),"N/A")</f>
        <v>N/A</v>
      </c>
      <c r="CT43" s="87" t="str">
        <f>IFERROR(VLOOKUP($B43,'LOD 300 - COLO1'!$B:ET,123,FALSE),"N/A")</f>
        <v>N/A</v>
      </c>
      <c r="CU43" s="87" t="str">
        <f>IFERROR(VLOOKUP($B43,'LOD 300 - COLO1'!$B:EW,126,FALSE),"N/A")</f>
        <v>N/A</v>
      </c>
      <c r="CV43" s="87" t="str">
        <f>IFERROR(VLOOKUP($B43,'LOD 300 - COLO1'!$B:EZ,129,FALSE),"N/A")</f>
        <v>N/A</v>
      </c>
      <c r="CW43" s="87" t="str">
        <f>IFERROR(VLOOKUP($B43,'LOD 300 - COLO1'!$B:FC,132,FALSE),"N/A")</f>
        <v>N/A</v>
      </c>
      <c r="CX43" s="96" t="str">
        <f>IFERROR(__xludf.DUMMYFUNCTION("IFERROR(
  MAX(FILTER(BK43:CW43, ISNUMBER(BK43:CW43))),
  CW43
)"),"N/A")</f>
        <v>N/A</v>
      </c>
      <c r="CY43" s="104" t="str">
        <f>IFERROR(VLOOKUP($B43,'LOD 300 - COLO2'!$B:S,18,FALSE),"N/A")</f>
        <v>N/A</v>
      </c>
      <c r="CZ43" s="117" t="str">
        <f>IFERROR(VLOOKUP($B43,'LOD 300 - COLO2'!$B:V,21,FALSE),"N/A")</f>
        <v>N/A</v>
      </c>
      <c r="DA43" s="117" t="str">
        <f>IFERROR(VLOOKUP($B43,'LOD 300 - COLO2'!$B:Y,24,FALSE),"N/A")</f>
        <v>N/A</v>
      </c>
      <c r="DB43" s="117" t="str">
        <f>IFERROR(VLOOKUP($B43,'LOD 300 - COLO2'!$B:AB,27,FALSE),"N/A")</f>
        <v>N/A</v>
      </c>
      <c r="DC43" s="92" t="str">
        <f>IFERROR(VLOOKUP($B43,'LOD 300 - COLO2'!$B:AE,30,FALSE),"N/A")</f>
        <v>N/A</v>
      </c>
      <c r="DD43" s="120" t="str">
        <f>IFERROR(VLOOKUP($B43,'LOD 300 - COLO2'!$B:AH,33,FALSE),"N/A")</f>
        <v>N/A</v>
      </c>
      <c r="DE43" s="117" t="str">
        <f>IFERROR(VLOOKUP($B43,'LOD 300 - COLO2'!$B:AK,36,FALSE),"N/A")</f>
        <v>N/A</v>
      </c>
      <c r="DF43" s="117" t="str">
        <f>IFERROR(VLOOKUP($B43,'LOD 300 - COLO2'!$B:AN,39,FALSE),"N/A")</f>
        <v>N/A</v>
      </c>
      <c r="DG43" s="119" t="str">
        <f>IFERROR(VLOOKUP($B43,'LOD 300 - COLO2'!$B:AQ,42,FALSE),"N/A")</f>
        <v>N/A</v>
      </c>
      <c r="DH43" s="87" t="str">
        <f>IFERROR(VLOOKUP($B43,'LOD 300 - COLO2'!$B:AT,45,FALSE),"N/A")</f>
        <v>N/A</v>
      </c>
      <c r="DI43" s="94" t="str">
        <f>IFERROR(VLOOKUP($B43,'LOD 300 - COLO2'!$B:AW,48,FALSE),"N/A")</f>
        <v>N/A</v>
      </c>
      <c r="DJ43" s="95" t="str">
        <f>IFERROR(VLOOKUP($B43,'LOD 300 - COLO2'!$B:AZ,51,FALSE),"N/A")</f>
        <v>N/A</v>
      </c>
      <c r="DK43" s="86" t="str">
        <f>IFERROR(VLOOKUP($B43,'LOD 300 - COLO2'!$B:BC,54,FALSE),"N/A")</f>
        <v>N/A</v>
      </c>
      <c r="DL43" s="86" t="str">
        <f>IFERROR(VLOOKUP($B43,'LOD 300 - COLO2'!$B:BF,57,FALSE),"N/A")</f>
        <v>N/A</v>
      </c>
      <c r="DM43" s="86" t="str">
        <f>IFERROR(VLOOKUP($B43,'LOD 300 - COLO2'!$B:BI,60,FALSE),"N/A")</f>
        <v>N/A</v>
      </c>
      <c r="DN43" s="86" t="str">
        <f>IFERROR(VLOOKUP($B43,'LOD 300 - COLO2'!$B:BL,63,FALSE),"N/A")</f>
        <v>N/A</v>
      </c>
      <c r="DO43" s="86" t="str">
        <f>IFERROR(VLOOKUP($B43,'LOD 300 - COLO2'!$B:BO,66,FALSE),"N/A")</f>
        <v>N/A</v>
      </c>
      <c r="DP43" s="87" t="str">
        <f>IFERROR(VLOOKUP($B43,'LOD 300 - COLO2'!$B:BR,69,FALSE),"N/A")</f>
        <v>N/A</v>
      </c>
      <c r="DQ43" s="87" t="str">
        <f>IFERROR(VLOOKUP($B43,'LOD 300 - COLO2'!$B:BU,72,FALSE),"N/A")</f>
        <v>N/A</v>
      </c>
      <c r="DR43" s="87" t="str">
        <f>IFERROR(VLOOKUP($B43,'LOD 300 - COLO2'!$B:BX,75,FALSE),"N/A")</f>
        <v>N/A</v>
      </c>
      <c r="DS43" s="98" t="str">
        <f>IFERROR(VLOOKUP($B43,'LOD 300 - COLO2'!$B:CA,78,FALSE),"N/A")</f>
        <v>N/A</v>
      </c>
      <c r="DT43" s="98" t="str">
        <f>IFERROR(VLOOKUP($B43,'LOD 300 - COLO2'!$B:CD,81,FALSE),"N/A")</f>
        <v>N/A</v>
      </c>
      <c r="DU43" s="98" t="str">
        <f>IFERROR(VLOOKUP($B43,'LOD 300 - COLO2'!$B:CG,84,FALSE),"N/A")</f>
        <v>N/A</v>
      </c>
      <c r="DV43" s="98" t="str">
        <f>IFERROR(VLOOKUP($B43,'LOD 300 - COLO2'!$B:CJ,87,FALSE),"N/A")</f>
        <v>N/A</v>
      </c>
      <c r="DW43" s="98" t="str">
        <f>IFERROR(VLOOKUP($B43,'LOD 300 - COLO2'!$B:CM,90,FALSE),"N/A")</f>
        <v>N/A</v>
      </c>
      <c r="DX43" s="98" t="str">
        <f>IFERROR(VLOOKUP($B43,'LOD 300 - COLO2'!$B:CP,93,FALSE),"N/A")</f>
        <v>N/A</v>
      </c>
      <c r="DY43" s="87" t="str">
        <f>IFERROR(VLOOKUP($B43,'LOD 300 - COLO2'!$B:CS,96,FALSE),"N/A")</f>
        <v>N/A</v>
      </c>
      <c r="DZ43" s="87" t="str">
        <f>IFERROR(VLOOKUP($B43,'LOD 300 - COLO2'!$B:CV,99,FALSE),"N/A")</f>
        <v>N/A</v>
      </c>
      <c r="EA43" s="87" t="str">
        <f>IFERROR(VLOOKUP($B43,'LOD 300 - COLO2'!$B:DB,105,FALSE),"N/A")</f>
        <v>N/A</v>
      </c>
      <c r="EB43" s="87" t="str">
        <f>IFERROR(VLOOKUP($B43,'LOD 300 - COLO2'!$B:DB,105,FALSE),"N/A")</f>
        <v>N/A</v>
      </c>
      <c r="EC43" s="87" t="str">
        <f>IFERROR(VLOOKUP($B43,'LOD 300 - COLO2'!$B:DE,108,FALSE),"N/A")</f>
        <v>N/A</v>
      </c>
      <c r="ED43" s="87" t="str">
        <f>IFERROR(VLOOKUP($B43,'LOD 300 - COLO2'!$B:DH,111,FALSE),"N/A")</f>
        <v>N/A</v>
      </c>
      <c r="EE43" s="87" t="str">
        <f>IFERROR(VLOOKUP($B43,'LOD 300 - COLO2'!$B:DK,114,FALSE),"N/A")</f>
        <v>N/A</v>
      </c>
      <c r="EF43" s="87" t="str">
        <f>IFERROR(VLOOKUP($B43,'LOD 300 - COLO2'!$B:DN,117,FALSE),"N/A")</f>
        <v>N/A</v>
      </c>
      <c r="EG43" s="87" t="str">
        <f>IFERROR(VLOOKUP($B43,'LOD 300 - COLO2'!$B:DQ,120,FALSE),"N/A")</f>
        <v>N/A</v>
      </c>
      <c r="EH43" s="99" t="str">
        <f>IFERROR(__xludf.DUMMYFUNCTION("IFERROR(
  MAX(FILTER(CZ43:EG43, ISNUMBER(CZ43:EG43))),
  EG43
)"),"N/A")</f>
        <v>N/A</v>
      </c>
      <c r="EI43" s="100" t="str">
        <f>IFERROR(VLOOKUP($B43,'LOD 300 - COLO3'!$B:R,17,FALSE),"N/A")</f>
        <v>N/A</v>
      </c>
      <c r="EJ43" s="127" t="str">
        <f>IFERROR(VLOOKUP($B43,'LOD 300 - COLO3'!$B:U,20,FALSE),"N/A")</f>
        <v>N/A</v>
      </c>
      <c r="EK43" s="127" t="str">
        <f>IFERROR(VLOOKUP($B43,'LOD 300 - COLO3'!$B:X,23,FALSE),"N/A")</f>
        <v>N/A</v>
      </c>
      <c r="EL43" s="127" t="str">
        <f>IFERROR(VLOOKUP($B43,'LOD 300 - COLO3'!$B:AA,26,FALSE),"N/A")</f>
        <v>N/A</v>
      </c>
      <c r="EM43" s="127" t="str">
        <f>IFERROR(VLOOKUP($B43,'LOD 300 - COLO3'!$B:AD,29,FALSE),"N/A")</f>
        <v>N/A</v>
      </c>
      <c r="EN43" s="127" t="str">
        <f>IFERROR(VLOOKUP($B43,'LOD 300 - COLO3'!$B:AG,32,FALSE),"N/A")</f>
        <v>N/A</v>
      </c>
      <c r="EO43" s="127" t="str">
        <f>IFERROR(VLOOKUP($B43,'LOD 300 - COLO3'!$B:AJ,35,FALSE),"N/A")</f>
        <v>N/A</v>
      </c>
      <c r="EP43" s="100" t="str">
        <f>IFERROR(VLOOKUP($B43,'LOD 300 - COLO3'!$B:AM,38,FALSE),"N/A")</f>
        <v>N/A</v>
      </c>
      <c r="EQ43" s="100" t="str">
        <f>IFERROR(VLOOKUP($B43,'LOD 300 - COLO3'!$B:AP,41,FALSE),"N/A")</f>
        <v>N/A</v>
      </c>
      <c r="ER43" s="100" t="str">
        <f>IFERROR(VLOOKUP($B43,'LOD 300 - COLO3'!$B:AS,44,FALSE),"N/A")</f>
        <v>N/A</v>
      </c>
      <c r="ES43" s="100" t="str">
        <f>IFERROR(VLOOKUP($B43,'LOD 300 - COLO3'!$B:AV,47,FALSE),"N/A")</f>
        <v>N/A</v>
      </c>
      <c r="ET43" s="100" t="str">
        <f>IFERROR(VLOOKUP($B43,'LOD 300 - COLO3'!$B:AY,50,FALSE),"N/A")</f>
        <v>N/A</v>
      </c>
      <c r="EU43" s="100" t="str">
        <f>IFERROR(VLOOKUP($B43,'LOD 300 - COLO3'!$B:BB,53,FALSE),"N/A")</f>
        <v>N/A</v>
      </c>
      <c r="EV43" s="100" t="str">
        <f>IFERROR(VLOOKUP($B43,'LOD 300 - COLO3'!$B:BE,56,FALSE),"N/A")</f>
        <v>N/A</v>
      </c>
      <c r="EW43" s="100" t="str">
        <f>IFERROR(VLOOKUP($B43,'LOD 300 - COLO3'!$B:BL,59,FALSE),"N/A")</f>
        <v>N/A</v>
      </c>
      <c r="EX43" s="100" t="str">
        <f>IFERROR(VLOOKUP($B43,'LOD 300 - COLO3'!$B:BO,62,FALSE),"N/A")</f>
        <v>N/A</v>
      </c>
      <c r="EY43" s="103" t="str">
        <f>IFERROR(__xludf.DUMMYFUNCTION("IFERROR(
  MAX(FILTER(EI43:EX43, ISNUMBER(EI43:EX43))),
  EX43
)"),"N/A")</f>
        <v>N/A</v>
      </c>
      <c r="EZ43" s="104" t="str">
        <f>IFERROR(VLOOKUP($B43,'LOD 300 - COLO4'!$B:BT,17,FALSE),"N/A")</f>
        <v>N/A</v>
      </c>
      <c r="FA43" s="103" t="str">
        <f>IFERROR(__xludf.DUMMYFUNCTION("IFERROR(
  MAX(FILTER(EZ43, ISNUMBER(EZ43))),
  EZ43
)"),"N/A")</f>
        <v>N/A</v>
      </c>
      <c r="FB43" s="121">
        <f>IFERROR(VLOOKUP($B43,'LOD 300 - SITE'!$B:S,18,FALSE),"N/A")</f>
        <v>0.85</v>
      </c>
      <c r="FC43" s="122">
        <f>IFERROR(VLOOKUP($B43,'LOD 300 - SITE'!$B:V,21,FALSE),"N/A")</f>
        <v>1</v>
      </c>
      <c r="FD43" s="122">
        <f>IFERROR(VLOOKUP($B43,'LOD 300 - SITE'!$B:Y,24,FALSE),"N/A")</f>
        <v>1</v>
      </c>
      <c r="FE43" s="122">
        <f>IFERROR(VLOOKUP($B43,'LOD 300 - SITE'!$B:AB,27,FALSE),"N/A")</f>
        <v>1</v>
      </c>
      <c r="FF43" s="122">
        <f>IFERROR(VLOOKUP($B43,'LOD 300 - SITE'!$B:AE,30,FALSE),"N/A")</f>
        <v>1</v>
      </c>
      <c r="FG43" s="122">
        <f>IFERROR(VLOOKUP($B43,'LOD 300 - SITE'!$B:AH,33,FALSE),"N/A")</f>
        <v>1</v>
      </c>
      <c r="FH43" s="122">
        <f>IFERROR(VLOOKUP($B43,'LOD 300 - SITE'!$B:AK,36,FALSE),"N/A")</f>
        <v>1</v>
      </c>
      <c r="FI43" s="122">
        <f>IFERROR(VLOOKUP($B43,'LOD 300 - SITE'!$B:AN,39,FALSE),"N/A")</f>
        <v>1</v>
      </c>
      <c r="FJ43" s="122">
        <f>IFERROR(VLOOKUP($B43,'LOD 300 - SITE'!$B:AQ,42,FALSE),"N/A")</f>
        <v>1</v>
      </c>
      <c r="FK43" s="122">
        <f>IFERROR(VLOOKUP($B43,'LOD 300 - SITE'!$B:AT,45,FALSE),"N/A")</f>
        <v>1</v>
      </c>
      <c r="FL43" s="123">
        <f>IFERROR(VLOOKUP($B43,'LOD 300 - SITE'!$B:AW,48,FALSE),"N/A")</f>
        <v>1</v>
      </c>
      <c r="FM43" s="87">
        <f>IFERROR(VLOOKUP($B43,'LOD 300 - SITE'!$B:AZ,51,FALSE),"N/A")</f>
        <v>1</v>
      </c>
      <c r="FN43" s="94">
        <f>IFERROR(VLOOKUP($B43,'LOD 300 - SITE'!$B:BC,54,FALSE),"N/A")</f>
        <v>1</v>
      </c>
      <c r="FO43" s="95">
        <f>IFERROR(VLOOKUP($B43,'LOD 300 - SITE'!$B:BF,57,FALSE),"N/A")</f>
        <v>1</v>
      </c>
      <c r="FP43" s="86">
        <f>IFERROR(VLOOKUP($B43,'LOD 300 - SITE'!$B:BI,60,FALSE),"N/A")</f>
        <v>1</v>
      </c>
      <c r="FQ43" s="86">
        <f>IFERROR(VLOOKUP($B43,'LOD 300 - SITE'!$B:BL,63,FALSE),"N/A")</f>
        <v>1</v>
      </c>
      <c r="FR43" s="86">
        <f>IFERROR(VLOOKUP($B43,'LOD 300 - SITE'!$B:BO,66,FALSE),"N/A")</f>
        <v>1</v>
      </c>
      <c r="FS43" s="86">
        <f>IFERROR(VLOOKUP($B43,'LOD 300 - SITE'!$B:BR,69,FALSE),"N/A")</f>
        <v>1</v>
      </c>
      <c r="FT43" s="86">
        <f>IFERROR(VLOOKUP($B43,'LOD 300 - SITE'!$B:BU,72,FALSE),"N/A")</f>
        <v>1</v>
      </c>
      <c r="FU43" s="86">
        <f>IFERROR(VLOOKUP($B43,'LOD 300 - SITE'!$B:BX,75,FALSE),"N/A")</f>
        <v>1</v>
      </c>
      <c r="FV43" s="86">
        <f>IFERROR(VLOOKUP($B43,'LOD 300 - SITE'!$B:CA,78,FALSE),"N/A")</f>
        <v>1</v>
      </c>
      <c r="FW43" s="87">
        <f>IFERROR(VLOOKUP($B43,'LOD 300 - SITE'!$B:CD,81,FALSE),"N/A")</f>
        <v>1</v>
      </c>
      <c r="FX43" s="108">
        <f>IFERROR(VLOOKUP($B43,'LOD 300 - SITE'!$B:CG,84,FALSE),"N/A")</f>
        <v>1</v>
      </c>
      <c r="FY43" s="108">
        <f>IFERROR(VLOOKUP($B43,'LOD 300 - SITE'!$B:CJ,87,FALSE),"N/A")</f>
        <v>1</v>
      </c>
      <c r="FZ43" s="108">
        <f>IFERROR(VLOOKUP($B43,'LOD 300 - SITE'!$B:CM,90,FALSE),"N/A")</f>
        <v>1</v>
      </c>
      <c r="GA43" s="108">
        <f>IFERROR(VLOOKUP($B43,'LOD 300 - SITE'!$B:CP,93,FALSE),"N/A")</f>
        <v>1</v>
      </c>
      <c r="GB43" s="108">
        <f>IFERROR(VLOOKUP($B43,'LOD 300 - SITE'!$B:CS,96,FALSE),"N/A")</f>
        <v>1</v>
      </c>
      <c r="GC43" s="109">
        <f>IFERROR(VLOOKUP($B43,'LOD 300 - SITE'!$B:CV,99,FALSE),"N/A")</f>
        <v>1</v>
      </c>
      <c r="GD43" s="87">
        <f>IFERROR(VLOOKUP($B43,'LOD 300 - SITE'!$B:CY,102,FALSE),"N/A")</f>
        <v>1</v>
      </c>
      <c r="GE43" s="87">
        <f>IFERROR(VLOOKUP($B43,'LOD 300 - SITE'!$B:DB,105,FALSE),"N/A")</f>
        <v>1</v>
      </c>
      <c r="GF43" s="87">
        <f>IFERROR(VLOOKUP($B43,'LOD 300 - SITE'!$B:DE,108,FALSE),"N/A")</f>
        <v>1</v>
      </c>
      <c r="GG43" s="87">
        <f>IFERROR(VLOOKUP($B43,'LOD 300 - SITE'!$B:DH,111,FALSE),"N/A")</f>
        <v>1</v>
      </c>
      <c r="GH43" s="87">
        <f>IFERROR(VLOOKUP($B43,'LOD 300 - SITE'!$B:DK,114,FALSE),"N/A")</f>
        <v>1</v>
      </c>
      <c r="GI43" s="87">
        <f>IFERROR(VLOOKUP($B43,'LOD 300 - SITE'!$B:DN,117,FALSE),"N/A")</f>
        <v>1</v>
      </c>
      <c r="GJ43" s="87">
        <f>IFERROR(VLOOKUP($B43,'LOD 300 - SITE'!$B:DQ,120,FALSE),"N/A")</f>
        <v>1</v>
      </c>
      <c r="GK43" s="87">
        <f>IFERROR(VLOOKUP($B43,'LOD 300 - SITE'!$B:DT,123,FALSE),"N/A")</f>
        <v>1</v>
      </c>
      <c r="GL43" s="87">
        <f>IFERROR(VLOOKUP($B43,'LOD 300 - SITE'!$B:DW,126,FALSE),"N/A")</f>
        <v>1</v>
      </c>
      <c r="GM43" s="110">
        <f>IFERROR(__xludf.DUMMYFUNCTION("IFERROR(
  MAX(FILTER(FB43:GL43, ISNUMBER(FB43:GL43))),
  GL43
)"),1.0)</f>
        <v>1</v>
      </c>
      <c r="GN43" s="135"/>
      <c r="GO43" s="135"/>
      <c r="GP43" s="135"/>
    </row>
    <row r="44" ht="15.0" customHeight="1" outlineLevel="1">
      <c r="A44" s="60">
        <v>47.0</v>
      </c>
      <c r="B44" s="140" t="s">
        <v>192</v>
      </c>
      <c r="C44" s="70" t="s">
        <v>193</v>
      </c>
      <c r="D44" s="71" t="s">
        <v>85</v>
      </c>
      <c r="E44" s="146" t="s">
        <v>180</v>
      </c>
      <c r="F44" s="13">
        <v>1114.0</v>
      </c>
      <c r="G44" s="139" t="s">
        <v>180</v>
      </c>
      <c r="H44" s="139">
        <v>1114.0</v>
      </c>
      <c r="I44" s="74" t="str">
        <f>IFERROR(VLOOKUP(C41:C183,'R22 RELATÓRIO ACC'!B:F,5,FALSE),"NOT PUBLISHED")</f>
        <v>V18</v>
      </c>
      <c r="J44" s="74" t="str">
        <f>IFERROR(VLOOKUP(C41:C183,'R22 RELATÓRIO ACC'!B:P,15,FALSE),"NOT PUBLISHED")</f>
        <v>30/04/2026</v>
      </c>
      <c r="K44" s="141" t="str">
        <f>IFERROR(VLOOKUP(B41:B232,'RELATÓRIO ACC'!B:F,5,FALSE),"NOT PUBLISHED")</f>
        <v>V3</v>
      </c>
      <c r="L44" s="142" t="str">
        <f>IFERROR(VLOOKUP(B41:B232,'RELATÓRIO ACC'!B:P,15,FALSE),"NOT PUBLISHED")</f>
        <v>29/06/2026</v>
      </c>
      <c r="M44" s="76" t="str">
        <f>IF(OR($D44="UTLS",$D44="GUAR",$D44="STIR",$D44="PUMP",$D44="SITE"),
   VLOOKUP($B44,'LOD 300 - SITE'!B:M,12,FALSE),
   VLOOKUP($B44,'LOD 300 - ADMN'!B:M,12,FALSE)
)</f>
        <v>V13</v>
      </c>
      <c r="N44" s="77" t="str">
        <f>IF(OR($D44="UTLS",$D44="GUAR",$D44="STIR",$D44="PUMP",$D44="SITE"),
   VLOOKUP($B44,'LOD 300 - SITE'!B:N,13,FALSE),
   VLOOKUP($B44,'LOD 300 - ADMN'!B:N,13,FALSE)
)</f>
        <v>01/10/2025</v>
      </c>
      <c r="O44" s="78" t="str">
        <f>IF(OR($D44="UTLS",$D44="GUAR",$D44="STIR",$D44="PUMP",$D44="SITE"),
   VLOOKUP($B44,'LOD 300 - SITE'!B:O,14,FALSE),
   VLOOKUP($B44,'LOD 300 - ADMN'!B:O,14,FALSE)
)</f>
        <v>R22</v>
      </c>
      <c r="P44" s="79" t="str">
        <f>IF(OR($D44="C345",$D44="C12A",$D44="DATA"),
   VLOOKUP($B44,'LOD 300 - COLO3'!B:M,12,FALSE),"N/A")</f>
        <v>V17</v>
      </c>
      <c r="Q44" s="80">
        <f>IF(OR($D44="C345",$D44="C12A",$D44="DATA"),
   VLOOKUP($B44,'LOD 300 - COLO3'!B:N,13,FALSE),"N/A")</f>
        <v>46121</v>
      </c>
      <c r="R44" s="76" t="str">
        <f>IF(OR($D44="C345",$D44="C12A",$D44="DATA"),
   VLOOKUP($B44,'LOD 300 - COLO3'!B:O,14,FALSE),"N/A")</f>
        <v>R22</v>
      </c>
      <c r="S44" s="79" t="str">
        <f>IF(OR($D44="C345",$D44="C12A",$D44="DATA"),
   VLOOKUP($B44,'LOD 300 - COLO4'!B:M,12,FALSE),"N/A")</f>
        <v>N/A</v>
      </c>
      <c r="T44" s="76" t="str">
        <f>IF(OR($D44="C345",$D44="C12A",$D44="DATA"),
   VLOOKUP($B44,'LOD 300 - COLO4'!B:T,13,FALSE),"N/A")</f>
        <v>N/A</v>
      </c>
      <c r="U44" s="81">
        <f>IF(OR($D44="C345",$D44="C12A",$D44="DATA"),
   VLOOKUP($B44,'LOD 300 - COLO4'!B:U,17,FALSE),"N/A")</f>
        <v>0</v>
      </c>
      <c r="V44" s="126" t="s">
        <v>194</v>
      </c>
      <c r="W44" s="144">
        <f>IFERROR(VLOOKUP($B44,'LOD 300 - ADMN'!$B:S,18,FALSE),"N/A")</f>
        <v>0.48</v>
      </c>
      <c r="X44" s="122">
        <f>IFERROR(VLOOKUP($B44,'LOD 300 - ADMN'!$B:V,21,FALSE),"N/A")</f>
        <v>0.9</v>
      </c>
      <c r="Y44" s="122">
        <f>IFERROR(VLOOKUP($B44,'LOD 300 - ADMN'!$B:Y,24,FALSE),"N/A")</f>
        <v>0.9</v>
      </c>
      <c r="Z44" s="122">
        <f>IFERROR(VLOOKUP($B44,'LOD 300 - ADMN'!$B:AB,27,FALSE),"N/A")</f>
        <v>1</v>
      </c>
      <c r="AA44" s="122">
        <f>IFERROR(VLOOKUP($B44,'LOD 300 - ADMN'!$B:AE,30,FALSE),"N/A")</f>
        <v>1</v>
      </c>
      <c r="AB44" s="145">
        <f>IFERROR(VLOOKUP($B44,'LOD 300 - ADMN'!$B:AH,33,FALSE),"N/A")</f>
        <v>1</v>
      </c>
      <c r="AC44" s="145">
        <f>IFERROR(VLOOKUP($B44,'LOD 300 - ADMN'!$B:AK,36,FALSE),"N/A")</f>
        <v>1</v>
      </c>
      <c r="AD44" s="122">
        <f>IFERROR(VLOOKUP($B44,'LOD 300 - ADMN'!$B:AN,39,FALSE),"N/A")</f>
        <v>1</v>
      </c>
      <c r="AE44" s="122">
        <f>IFERROR(VLOOKUP($B44,'LOD 300 - ADMN'!$B:AQ,42,FALSE),"N/A")</f>
        <v>1</v>
      </c>
      <c r="AF44" s="122">
        <f>IFERROR(VLOOKUP($B44,'LOD 300 - ADMN'!$B:AT,45,FALSE),"N/A")</f>
        <v>1</v>
      </c>
      <c r="AG44" s="122">
        <f>IFERROR(VLOOKUP($B44,'LOD 300 - ADMN'!$B:AW,48,FALSE),"N/A")</f>
        <v>1</v>
      </c>
      <c r="AH44" s="122">
        <f>IFERROR(VLOOKUP($B44,'LOD 300 - ADMN'!$B:AZ,51,FALSE),"N/A")</f>
        <v>1</v>
      </c>
      <c r="AI44" s="122">
        <f>IFERROR(VLOOKUP($B44,'LOD 300 - ADMN'!$B:BC,54,FALSE),"N/A")</f>
        <v>1</v>
      </c>
      <c r="AJ44" s="87">
        <f>IFERROR(VLOOKUP($B44,'LOD 300 - ADMN'!$B:BF,57,FALSE),"N/A")</f>
        <v>1</v>
      </c>
      <c r="AK44" s="87">
        <f>IFERROR(VLOOKUP($B44,'LOD 300 - ADMN'!$B:EP,60,FALSE),"N/A")</f>
        <v>1</v>
      </c>
      <c r="AL44" s="87">
        <f>IFERROR(VLOOKUP($B44,'LOD 300 - ADMN'!$B:EQ,63,FALSE),"N/A")</f>
        <v>1</v>
      </c>
      <c r="AM44" s="87">
        <f>IFERROR(VLOOKUP($B44,'LOD 300 - ADMN'!$B:BO,66,FALSE),"N/A")</f>
        <v>1</v>
      </c>
      <c r="AN44" s="87">
        <f>IFERROR(VLOOKUP($B44,'LOD 300 - ADMN'!$B:BR,69,FALSE),"N/A")</f>
        <v>1</v>
      </c>
      <c r="AO44" s="87">
        <f>IFERROR(VLOOKUP($B44,'LOD 300 - ADMN'!$B:BU,72,FALSE),"N/A")</f>
        <v>1</v>
      </c>
      <c r="AP44" s="87">
        <f>IFERROR(VLOOKUP($B44,'LOD 300 - ADMN'!$B:BX,75,FALSE),"N/A")</f>
        <v>1</v>
      </c>
      <c r="AQ44" s="87">
        <f>IFERROR(VLOOKUP($B44,'LOD 300 - ADMN'!$B:CA,78,FALSE),"N/A")</f>
        <v>1</v>
      </c>
      <c r="AR44" s="87">
        <f>IFERROR(VLOOKUP($B44,'LOD 300 - ADMN'!$B:CD,81,FALSE),"N/A")</f>
        <v>1</v>
      </c>
      <c r="AS44" s="87">
        <f>IFERROR(VLOOKUP($B44,'LOD 300 - ADMN'!$B:CG,84,FALSE),"N/A")</f>
        <v>1</v>
      </c>
      <c r="AT44" s="87">
        <f>IFERROR(VLOOKUP($B44,'LOD 300 - ADMN'!$B:CJ,87,FALSE),"N/A")</f>
        <v>1</v>
      </c>
      <c r="AU44" s="88">
        <f>IFERROR(VLOOKUP($B44,'LOD 300 - ADMN'!$B:CM,90,FALSE),"N/A")</f>
        <v>1</v>
      </c>
      <c r="AV44" s="88">
        <f>IFERROR(VLOOKUP($B44,'LOD 300 - ADMN'!$B:CP,93,FALSE),"N/A")</f>
        <v>1</v>
      </c>
      <c r="AW44" s="88">
        <f>IFERROR(VLOOKUP($B44,'LOD 300 - ADMN'!$B:CS,96,FALSE),"N/A")</f>
        <v>1</v>
      </c>
      <c r="AX44" s="88">
        <f>IFERROR(VLOOKUP($B44,'LOD 300 - ADMN'!$B:CV,99,FALSE),"N/A")</f>
        <v>1</v>
      </c>
      <c r="AY44" s="88">
        <f>IFERROR(VLOOKUP($B44,'LOD 300 - ADMN'!$B:CY,102,FALSE),"N/A")</f>
        <v>1</v>
      </c>
      <c r="AZ44" s="88">
        <f>IFERROR(VLOOKUP($B44,'LOD 300 - ADMN'!$B:DB,105,FALSE),"N/A")</f>
        <v>1</v>
      </c>
      <c r="BA44" s="87">
        <f>IFERROR(VLOOKUP($B44,'LOD 300 - ADMN'!$B:DE,108,FALSE),"N/A")</f>
        <v>1</v>
      </c>
      <c r="BB44" s="87">
        <f>IFERROR(VLOOKUP($B44,'LOD 300 - ADMN'!$B:DH,111,FALSE),"N/A")</f>
        <v>1</v>
      </c>
      <c r="BC44" s="87">
        <f>IFERROR(VLOOKUP($B44,'LOD 300 - ADMN'!$B:DK,114,FALSE),"N/A")</f>
        <v>1</v>
      </c>
      <c r="BD44" s="87">
        <f>IFERROR(VLOOKUP($B44,'LOD 300 - ADMN'!$B:DN,117,FALSE),"N/A")</f>
        <v>1</v>
      </c>
      <c r="BE44" s="87">
        <f>IFERROR(VLOOKUP($B44,'LOD 300 - ADMN'!$B:DQ,120,FALSE),"N/A")</f>
        <v>1</v>
      </c>
      <c r="BF44" s="87">
        <f>IFERROR(VLOOKUP($B44,'LOD 300 - ADMN'!$B:DT,123,FALSE),"N/A")</f>
        <v>1</v>
      </c>
      <c r="BG44" s="87">
        <f>IFERROR(VLOOKUP($B44,'LOD 300 - ADMN'!$B:DW,126,FALSE),"N/A")</f>
        <v>1</v>
      </c>
      <c r="BH44" s="87">
        <f>IFERROR(VLOOKUP($B44,'LOD 300 - ADMN'!$B:DZ,129,FALSE),"N/A")</f>
        <v>1</v>
      </c>
      <c r="BI44" s="87">
        <f>IFERROR(VLOOKUP($B44,'LOD 300 - ADMN'!$B:EC,132,FALSE),"N/A")</f>
        <v>1</v>
      </c>
      <c r="BJ44" s="90">
        <f>IFERROR(__xludf.DUMMYFUNCTION("IFERROR(
  MAX(FILTER(X44:BI44, ISNUMBER(X44:BI44))),
  BI44
)"),1.0)</f>
        <v>1</v>
      </c>
      <c r="BK44" s="91">
        <f>IFERROR(VLOOKUP($B44,'LOD 300 - COLO1'!$B:S,18,FALSE),"N/A")</f>
        <v>0.43</v>
      </c>
      <c r="BL44" s="92">
        <f>IFERROR(VLOOKUP($B44,'LOD 300 - COLO1'!$B:V,21,FALSE),"N/A")</f>
        <v>0.9</v>
      </c>
      <c r="BM44" s="92">
        <f>IFERROR(VLOOKUP($B44,'LOD 300 - COLO1'!$B:Y,24,FALSE),"N/A")</f>
        <v>0.95</v>
      </c>
      <c r="BN44" s="92">
        <f>IFERROR(VLOOKUP($B44,'LOD 300 - COLO1'!$B:AB,27,FALSE),"N/A")</f>
        <v>1</v>
      </c>
      <c r="BO44" s="92">
        <f>IFERROR(VLOOKUP($B44,'LOD 300 - COLO1'!$B:AE,30,FALSE),"N/A")</f>
        <v>1</v>
      </c>
      <c r="BP44" s="92">
        <f>IFERROR(VLOOKUP($B44,'LOD 300 - COLO1'!$B:AH,33,FALSE),"N/A")</f>
        <v>1</v>
      </c>
      <c r="BQ44" s="92">
        <f>IFERROR(VLOOKUP($B44,'LOD 300 - COLO1'!$B:AK,36,FALSE),"N/A")</f>
        <v>1</v>
      </c>
      <c r="BR44" s="92">
        <f>IFERROR(VLOOKUP($B44,'LOD 300 - COLO1'!$B:AN,39,FALSE),"N/A")</f>
        <v>1</v>
      </c>
      <c r="BS44" s="92">
        <f>IFERROR(VLOOKUP($B44,'LOD 300 - COLO1'!$B:AQ,42,FALSE),"N/A")</f>
        <v>1</v>
      </c>
      <c r="BT44" s="92">
        <f>IFERROR(VLOOKUP($B44,'LOD 300 - COLO1'!$B:AT,45,FALSE),"N/A")</f>
        <v>1</v>
      </c>
      <c r="BU44" s="92">
        <f>IFERROR(VLOOKUP($B44,'LOD 300 - COLO1'!$B:AW,48,FALSE),"N/A")</f>
        <v>1</v>
      </c>
      <c r="BV44" s="92">
        <f>IFERROR(VLOOKUP($B44,'LOD 300 - COLO1'!$B:AZ,51,FALSE),"N/A")</f>
        <v>1</v>
      </c>
      <c r="BW44" s="92">
        <f>IFERROR(VLOOKUP($B44,'LOD 300 - COLO1'!$B:BC,54,FALSE),"N/A")</f>
        <v>1</v>
      </c>
      <c r="BX44" s="94">
        <f>IFERROR(VLOOKUP($B44,'LOD 300 - COLO1'!$B:BF,57,FALSE),"N/A")</f>
        <v>1</v>
      </c>
      <c r="BY44" s="94">
        <f>IFERROR(VLOOKUP($B44,'LOD 300 - COLO1'!$B:BI,60,FALSE),"N/A")</f>
        <v>1</v>
      </c>
      <c r="BZ44" s="95">
        <f>IFERROR(VLOOKUP($B44,'LOD 300 - COLO1'!$B:BL,63,FALSE),"N/A")</f>
        <v>1</v>
      </c>
      <c r="CA44" s="86">
        <f>IFERROR(VLOOKUP($B44,'LOD 300 - COLO1'!$B:BO,66,FALSE),"N/A")</f>
        <v>1</v>
      </c>
      <c r="CB44" s="86">
        <f>IFERROR(VLOOKUP($B44,'LOD 300 - COLO1'!$B:BR,69,FALSE),"N/A")</f>
        <v>1</v>
      </c>
      <c r="CC44" s="86">
        <f>IFERROR(VLOOKUP($B44,'LOD 300 - COLO1'!$B:BU,72,FALSE),"N/A")</f>
        <v>1</v>
      </c>
      <c r="CD44" s="86">
        <f>IFERROR(VLOOKUP($B44,'LOD 300 - COLO1'!$B:BX,75,FALSE),"N/A")</f>
        <v>1</v>
      </c>
      <c r="CE44" s="86">
        <f>IFERROR(VLOOKUP($B44,'LOD 300 - COLO1'!$B:CA,78,FALSE),"N/A")</f>
        <v>1</v>
      </c>
      <c r="CF44" s="87">
        <f>IFERROR(VLOOKUP($B44,'LOD 300 - COLO1'!$B:CD,81,FALSE),"N/A")</f>
        <v>1</v>
      </c>
      <c r="CG44" s="86">
        <f>IFERROR(VLOOKUP($B44,'LOD 300 - COLO1'!$B:CG,84,FALSE),"N/A")</f>
        <v>1</v>
      </c>
      <c r="CH44" s="87">
        <f>IFERROR(VLOOKUP($B44,'LOD 300 - COLO1'!$B:CJ,87,FALSE),"N/A")</f>
        <v>1</v>
      </c>
      <c r="CI44" s="88">
        <f>IFERROR(VLOOKUP($B44,'LOD 300 - COLO1'!$B:CM,90,FALSE),"N/A")</f>
        <v>1</v>
      </c>
      <c r="CJ44" s="88">
        <f>IFERROR(VLOOKUP($B44,'LOD 300 - COLO1'!$B:CP,93,FALSE),"N/A")</f>
        <v>1</v>
      </c>
      <c r="CK44" s="88">
        <f>IFERROR(VLOOKUP($B44,'LOD 300 - COLO1'!$B:CS,96,FALSE),"N/A")</f>
        <v>1</v>
      </c>
      <c r="CL44" s="88">
        <f>IFERROR(VLOOKUP($B44,'LOD 300 - COLO1'!$B:CV,99,FALSE),"N/A")</f>
        <v>1</v>
      </c>
      <c r="CM44" s="88">
        <f>IFERROR(VLOOKUP($B44,'LOD 300 - COLO1'!$B:CY,102,FALSE),"N/A")</f>
        <v>1</v>
      </c>
      <c r="CN44" s="89">
        <f>IFERROR(VLOOKUP($B44,'LOD 300 - COLO1'!$B:DB,105,FALSE),"N/A")</f>
        <v>1</v>
      </c>
      <c r="CO44" s="87">
        <f>IFERROR(VLOOKUP($B44,'LOD 300 - COLO1'!$B:EE,108,FALSE),"N/A")</f>
        <v>1</v>
      </c>
      <c r="CP44" s="87">
        <f>IFERROR(VLOOKUP($B44,'LOD 300 - COLO1'!$B:EH,111,FALSE),"N/A")</f>
        <v>1</v>
      </c>
      <c r="CQ44" s="87">
        <f>IFERROR(VLOOKUP($B44,'LOD 300 - COLO1'!$B:EK,114,FALSE),"N/A")</f>
        <v>1</v>
      </c>
      <c r="CR44" s="87">
        <f>IFERROR(VLOOKUP($B44,'LOD 300 - COLO1'!$B:EN,117,FALSE),"N/A")</f>
        <v>1</v>
      </c>
      <c r="CS44" s="87">
        <f>IFERROR(VLOOKUP($B44,'LOD 300 - COLO1'!$B:EQ,120,FALSE),"N/A")</f>
        <v>1</v>
      </c>
      <c r="CT44" s="87">
        <f>IFERROR(VLOOKUP($B44,'LOD 300 - COLO1'!$B:ET,123,FALSE),"N/A")</f>
        <v>1</v>
      </c>
      <c r="CU44" s="87">
        <f>IFERROR(VLOOKUP($B44,'LOD 300 - COLO1'!$B:EW,126,FALSE),"N/A")</f>
        <v>1</v>
      </c>
      <c r="CV44" s="87">
        <f>IFERROR(VLOOKUP($B44,'LOD 300 - COLO1'!$B:EZ,129,FALSE),"N/A")</f>
        <v>1</v>
      </c>
      <c r="CW44" s="87">
        <f>IFERROR(VLOOKUP($B44,'LOD 300 - COLO1'!$B:FC,132,FALSE),"N/A")</f>
        <v>1</v>
      </c>
      <c r="CX44" s="96">
        <f>IFERROR(__xludf.DUMMYFUNCTION("IFERROR(
  MAX(FILTER(BK44:CW44, ISNUMBER(BK44:CW44))),
  CW44
)"),1.0)</f>
        <v>1</v>
      </c>
      <c r="CY44" s="104">
        <f>IFERROR(VLOOKUP($B44,'LOD 300 - COLO2'!$B:S,18,FALSE),"N/A")</f>
        <v>0.82</v>
      </c>
      <c r="CZ44" s="117" t="str">
        <f>IFERROR(VLOOKUP($B44,'LOD 300 - COLO2'!$B:V,21,FALSE),"N/A")</f>
        <v>OUTDATED MODEL</v>
      </c>
      <c r="DA44" s="117" t="str">
        <f>IFERROR(VLOOKUP($B44,'LOD 300 - COLO2'!$B:Y,24,FALSE),"N/A")</f>
        <v>OUTDATED MODEL</v>
      </c>
      <c r="DB44" s="117">
        <f>IFERROR(VLOOKUP($B44,'LOD 300 - COLO2'!$B:AB,27,FALSE),"N/A")</f>
        <v>1</v>
      </c>
      <c r="DC44" s="92">
        <f>IFERROR(VLOOKUP($B44,'LOD 300 - COLO2'!$B:AE,30,FALSE),"N/A")</f>
        <v>1</v>
      </c>
      <c r="DD44" s="120">
        <f>IFERROR(VLOOKUP($B44,'LOD 300 - COLO2'!$B:AH,33,FALSE),"N/A")</f>
        <v>1</v>
      </c>
      <c r="DE44" s="117">
        <f>IFERROR(VLOOKUP($B44,'LOD 300 - COLO2'!$B:AK,36,FALSE),"N/A")</f>
        <v>1</v>
      </c>
      <c r="DF44" s="117">
        <f>IFERROR(VLOOKUP($B44,'LOD 300 - COLO2'!$B:AN,39,FALSE),"N/A")</f>
        <v>1</v>
      </c>
      <c r="DG44" s="119">
        <f>IFERROR(VLOOKUP($B44,'LOD 300 - COLO2'!$B:AQ,42,FALSE),"N/A")</f>
        <v>1</v>
      </c>
      <c r="DH44" s="87">
        <f>IFERROR(VLOOKUP($B44,'LOD 300 - COLO2'!$B:AT,45,FALSE),"N/A")</f>
        <v>1</v>
      </c>
      <c r="DI44" s="94">
        <f>IFERROR(VLOOKUP($B44,'LOD 300 - COLO2'!$B:AW,48,FALSE),"N/A")</f>
        <v>1</v>
      </c>
      <c r="DJ44" s="95">
        <f>IFERROR(VLOOKUP($B44,'LOD 300 - COLO2'!$B:AZ,51,FALSE),"N/A")</f>
        <v>1</v>
      </c>
      <c r="DK44" s="86">
        <f>IFERROR(VLOOKUP($B44,'LOD 300 - COLO2'!$B:BC,54,FALSE),"N/A")</f>
        <v>1</v>
      </c>
      <c r="DL44" s="86">
        <f>IFERROR(VLOOKUP($B44,'LOD 300 - COLO2'!$B:BF,57,FALSE),"N/A")</f>
        <v>1</v>
      </c>
      <c r="DM44" s="86">
        <f>IFERROR(VLOOKUP($B44,'LOD 300 - COLO2'!$B:BI,60,FALSE),"N/A")</f>
        <v>1</v>
      </c>
      <c r="DN44" s="86">
        <f>IFERROR(VLOOKUP($B44,'LOD 300 - COLO2'!$B:BL,63,FALSE),"N/A")</f>
        <v>1</v>
      </c>
      <c r="DO44" s="86">
        <f>IFERROR(VLOOKUP($B44,'LOD 300 - COLO2'!$B:BO,66,FALSE),"N/A")</f>
        <v>1</v>
      </c>
      <c r="DP44" s="87">
        <f>IFERROR(VLOOKUP($B44,'LOD 300 - COLO2'!$B:BR,69,FALSE),"N/A")</f>
        <v>1</v>
      </c>
      <c r="DQ44" s="87">
        <f>IFERROR(VLOOKUP($B44,'LOD 300 - COLO2'!$B:BU,72,FALSE),"N/A")</f>
        <v>1</v>
      </c>
      <c r="DR44" s="87">
        <f>IFERROR(VLOOKUP($B44,'LOD 300 - COLO2'!$B:BX,75,FALSE),"N/A")</f>
        <v>1</v>
      </c>
      <c r="DS44" s="98">
        <f>IFERROR(VLOOKUP($B44,'LOD 300 - COLO2'!$B:CA,78,FALSE),"N/A")</f>
        <v>1</v>
      </c>
      <c r="DT44" s="98">
        <f>IFERROR(VLOOKUP($B44,'LOD 300 - COLO2'!$B:CD,81,FALSE),"N/A")</f>
        <v>1</v>
      </c>
      <c r="DU44" s="98">
        <f>IFERROR(VLOOKUP($B44,'LOD 300 - COLO2'!$B:CG,84,FALSE),"N/A")</f>
        <v>1</v>
      </c>
      <c r="DV44" s="98">
        <f>IFERROR(VLOOKUP($B44,'LOD 300 - COLO2'!$B:CJ,87,FALSE),"N/A")</f>
        <v>1</v>
      </c>
      <c r="DW44" s="98">
        <f>IFERROR(VLOOKUP($B44,'LOD 300 - COLO2'!$B:CM,90,FALSE),"N/A")</f>
        <v>1</v>
      </c>
      <c r="DX44" s="98">
        <f>IFERROR(VLOOKUP($B44,'LOD 300 - COLO2'!$B:CP,93,FALSE),"N/A")</f>
        <v>1</v>
      </c>
      <c r="DY44" s="87">
        <f>IFERROR(VLOOKUP($B44,'LOD 300 - COLO2'!$B:CS,96,FALSE),"N/A")</f>
        <v>1</v>
      </c>
      <c r="DZ44" s="87">
        <f>IFERROR(VLOOKUP($B44,'LOD 300 - COLO2'!$B:CV,99,FALSE),"N/A")</f>
        <v>1</v>
      </c>
      <c r="EA44" s="87">
        <f>IFERROR(VLOOKUP($B44,'LOD 300 - COLO2'!$B:DB,105,FALSE),"N/A")</f>
        <v>1</v>
      </c>
      <c r="EB44" s="87">
        <f>IFERROR(VLOOKUP($B44,'LOD 300 - COLO2'!$B:DB,105,FALSE),"N/A")</f>
        <v>1</v>
      </c>
      <c r="EC44" s="87">
        <f>IFERROR(VLOOKUP($B44,'LOD 300 - COLO2'!$B:DE,108,FALSE),"N/A")</f>
        <v>1</v>
      </c>
      <c r="ED44" s="87">
        <f>IFERROR(VLOOKUP($B44,'LOD 300 - COLO2'!$B:DH,111,FALSE),"N/A")</f>
        <v>1</v>
      </c>
      <c r="EE44" s="87">
        <f>IFERROR(VLOOKUP($B44,'LOD 300 - COLO2'!$B:DK,114,FALSE),"N/A")</f>
        <v>1</v>
      </c>
      <c r="EF44" s="87">
        <f>IFERROR(VLOOKUP($B44,'LOD 300 - COLO2'!$B:DN,117,FALSE),"N/A")</f>
        <v>1</v>
      </c>
      <c r="EG44" s="87">
        <f>IFERROR(VLOOKUP($B44,'LOD 300 - COLO2'!$B:DQ,120,FALSE),"N/A")</f>
        <v>1</v>
      </c>
      <c r="EH44" s="99">
        <f>IFERROR(__xludf.DUMMYFUNCTION("IFERROR(
  MAX(FILTER(CZ44:EG44, ISNUMBER(CZ44:EG44))),
  EG44
)"),1.0)</f>
        <v>1</v>
      </c>
      <c r="EI44" s="100">
        <f>IFERROR(VLOOKUP($B44,'LOD 300 - COLO3'!$B:R,17,FALSE),"N/A")</f>
        <v>0</v>
      </c>
      <c r="EJ44" s="127">
        <f>IFERROR(VLOOKUP($B44,'LOD 300 - COLO3'!$B:U,20,FALSE),"N/A")</f>
        <v>1</v>
      </c>
      <c r="EK44" s="127">
        <f>IFERROR(VLOOKUP($B44,'LOD 300 - COLO3'!$B:X,23,FALSE),"N/A")</f>
        <v>1</v>
      </c>
      <c r="EL44" s="127">
        <f>IFERROR(VLOOKUP($B44,'LOD 300 - COLO3'!$B:AA,26,FALSE),"N/A")</f>
        <v>1</v>
      </c>
      <c r="EM44" s="127">
        <f>IFERROR(VLOOKUP($B44,'LOD 300 - COLO3'!$B:AD,29,FALSE),"N/A")</f>
        <v>1</v>
      </c>
      <c r="EN44" s="127">
        <f>IFERROR(VLOOKUP($B44,'LOD 300 - COLO3'!$B:AG,32,FALSE),"N/A")</f>
        <v>1</v>
      </c>
      <c r="EO44" s="127">
        <f>IFERROR(VLOOKUP($B44,'LOD 300 - COLO3'!$B:AJ,35,FALSE),"N/A")</f>
        <v>1</v>
      </c>
      <c r="EP44" s="100">
        <f>IFERROR(VLOOKUP($B44,'LOD 300 - COLO3'!$B:AM,38,FALSE),"N/A")</f>
        <v>1</v>
      </c>
      <c r="EQ44" s="100">
        <f>IFERROR(VLOOKUP($B44,'LOD 300 - COLO3'!$B:AP,41,FALSE),"N/A")</f>
        <v>1</v>
      </c>
      <c r="ER44" s="100">
        <f>IFERROR(VLOOKUP($B44,'LOD 300 - COLO3'!$B:AS,44,FALSE),"N/A")</f>
        <v>1</v>
      </c>
      <c r="ES44" s="100">
        <f>IFERROR(VLOOKUP($B44,'LOD 300 - COLO3'!$B:AV,47,FALSE),"N/A")</f>
        <v>1</v>
      </c>
      <c r="ET44" s="100">
        <f>IFERROR(VLOOKUP($B44,'LOD 300 - COLO3'!$B:AY,50,FALSE),"N/A")</f>
        <v>1</v>
      </c>
      <c r="EU44" s="100">
        <f>IFERROR(VLOOKUP($B44,'LOD 300 - COLO3'!$B:BB,53,FALSE),"N/A")</f>
        <v>1</v>
      </c>
      <c r="EV44" s="100">
        <f>IFERROR(VLOOKUP($B44,'LOD 300 - COLO3'!$B:BE,56,FALSE),"N/A")</f>
        <v>1</v>
      </c>
      <c r="EW44" s="100">
        <f>IFERROR(VLOOKUP($B44,'LOD 300 - COLO3'!$B:BL,59,FALSE),"N/A")</f>
        <v>1</v>
      </c>
      <c r="EX44" s="100">
        <f>IFERROR(VLOOKUP($B44,'LOD 300 - COLO3'!$B:BO,62,FALSE),"N/A")</f>
        <v>1</v>
      </c>
      <c r="EY44" s="103">
        <f>IFERROR(__xludf.DUMMYFUNCTION("IFERROR(
  MAX(FILTER(EI44:EX44, ISNUMBER(EI44:EX44))),
  EX44
)"),1.0)</f>
        <v>1</v>
      </c>
      <c r="EZ44" s="104">
        <f>IFERROR(VLOOKUP($B44,'LOD 300 - COLO4'!$B:BT,17,FALSE),"N/A")</f>
        <v>0</v>
      </c>
      <c r="FA44" s="103">
        <f>IFERROR(__xludf.DUMMYFUNCTION("IFERROR(
  MAX(FILTER(EZ44, ISNUMBER(EZ44))),
  EZ44
)"),0.0)</f>
        <v>0</v>
      </c>
      <c r="FB44" s="121" t="str">
        <f>IFERROR(VLOOKUP($B44,'LOD 300 - SITE'!$B:S,18,FALSE),"N/A")</f>
        <v>N/A</v>
      </c>
      <c r="FC44" s="122" t="str">
        <f>IFERROR(VLOOKUP($B44,'LOD 300 - SITE'!$B:V,21,FALSE),"N/A")</f>
        <v>N/A</v>
      </c>
      <c r="FD44" s="122" t="str">
        <f>IFERROR(VLOOKUP($B44,'LOD 300 - SITE'!$B:Y,24,FALSE),"N/A")</f>
        <v>N/A</v>
      </c>
      <c r="FE44" s="122" t="str">
        <f>IFERROR(VLOOKUP($B44,'LOD 300 - SITE'!$B:AB,27,FALSE),"N/A")</f>
        <v>N/A</v>
      </c>
      <c r="FF44" s="122" t="str">
        <f>IFERROR(VLOOKUP($B44,'LOD 300 - SITE'!$B:AE,30,FALSE),"N/A")</f>
        <v>N/A</v>
      </c>
      <c r="FG44" s="122" t="str">
        <f>IFERROR(VLOOKUP($B44,'LOD 300 - SITE'!$B:AH,33,FALSE),"N/A")</f>
        <v>N/A</v>
      </c>
      <c r="FH44" s="122" t="str">
        <f>IFERROR(VLOOKUP($B44,'LOD 300 - SITE'!$B:AK,36,FALSE),"N/A")</f>
        <v>N/A</v>
      </c>
      <c r="FI44" s="122" t="str">
        <f>IFERROR(VLOOKUP($B44,'LOD 300 - SITE'!$B:AN,39,FALSE),"N/A")</f>
        <v>N/A</v>
      </c>
      <c r="FJ44" s="122" t="str">
        <f>IFERROR(VLOOKUP($B44,'LOD 300 - SITE'!$B:AQ,42,FALSE),"N/A")</f>
        <v>N/A</v>
      </c>
      <c r="FK44" s="122" t="str">
        <f>IFERROR(VLOOKUP($B44,'LOD 300 - SITE'!$B:AT,45,FALSE),"N/A")</f>
        <v>N/A</v>
      </c>
      <c r="FL44" s="123" t="str">
        <f>IFERROR(VLOOKUP($B44,'LOD 300 - SITE'!$B:AW,48,FALSE),"N/A")</f>
        <v>N/A</v>
      </c>
      <c r="FM44" s="87" t="str">
        <f>IFERROR(VLOOKUP($B44,'LOD 300 - SITE'!$B:AZ,51,FALSE),"N/A")</f>
        <v>N/A</v>
      </c>
      <c r="FN44" s="94" t="str">
        <f>IFERROR(VLOOKUP($B44,'LOD 300 - SITE'!$B:BC,54,FALSE),"N/A")</f>
        <v>N/A</v>
      </c>
      <c r="FO44" s="95" t="str">
        <f>IFERROR(VLOOKUP($B44,'LOD 300 - SITE'!$B:BF,57,FALSE),"N/A")</f>
        <v>N/A</v>
      </c>
      <c r="FP44" s="86" t="str">
        <f>IFERROR(VLOOKUP($B44,'LOD 300 - SITE'!$B:BI,60,FALSE),"N/A")</f>
        <v>N/A</v>
      </c>
      <c r="FQ44" s="86" t="str">
        <f>IFERROR(VLOOKUP($B44,'LOD 300 - SITE'!$B:BL,63,FALSE),"N/A")</f>
        <v>N/A</v>
      </c>
      <c r="FR44" s="86" t="str">
        <f>IFERROR(VLOOKUP($B44,'LOD 300 - SITE'!$B:BO,66,FALSE),"N/A")</f>
        <v>N/A</v>
      </c>
      <c r="FS44" s="86" t="str">
        <f>IFERROR(VLOOKUP($B44,'LOD 300 - SITE'!$B:BR,69,FALSE),"N/A")</f>
        <v>N/A</v>
      </c>
      <c r="FT44" s="86" t="str">
        <f>IFERROR(VLOOKUP($B44,'LOD 300 - SITE'!$B:BU,72,FALSE),"N/A")</f>
        <v>N/A</v>
      </c>
      <c r="FU44" s="86" t="str">
        <f>IFERROR(VLOOKUP($B44,'LOD 300 - SITE'!$B:BX,75,FALSE),"N/A")</f>
        <v>N/A</v>
      </c>
      <c r="FV44" s="86" t="str">
        <f>IFERROR(VLOOKUP($B44,'LOD 300 - SITE'!$B:CA,78,FALSE),"N/A")</f>
        <v>N/A</v>
      </c>
      <c r="FW44" s="87" t="str">
        <f>IFERROR(VLOOKUP($B44,'LOD 300 - SITE'!$B:CD,81,FALSE),"N/A")</f>
        <v>N/A</v>
      </c>
      <c r="FX44" s="108" t="str">
        <f>IFERROR(VLOOKUP($B44,'LOD 300 - SITE'!$B:CG,84,FALSE),"N/A")</f>
        <v>N/A</v>
      </c>
      <c r="FY44" s="108" t="str">
        <f>IFERROR(VLOOKUP($B44,'LOD 300 - SITE'!$B:CJ,87,FALSE),"N/A")</f>
        <v>N/A</v>
      </c>
      <c r="FZ44" s="108" t="str">
        <f>IFERROR(VLOOKUP($B44,'LOD 300 - SITE'!$B:CM,90,FALSE),"N/A")</f>
        <v>N/A</v>
      </c>
      <c r="GA44" s="108" t="str">
        <f>IFERROR(VLOOKUP($B44,'LOD 300 - SITE'!$B:CP,93,FALSE),"N/A")</f>
        <v>N/A</v>
      </c>
      <c r="GB44" s="108" t="str">
        <f>IFERROR(VLOOKUP($B44,'LOD 300 - SITE'!$B:CS,96,FALSE),"N/A")</f>
        <v>N/A</v>
      </c>
      <c r="GC44" s="109" t="str">
        <f>IFERROR(VLOOKUP($B44,'LOD 300 - SITE'!$B:CV,99,FALSE),"N/A")</f>
        <v>N/A</v>
      </c>
      <c r="GD44" s="87" t="str">
        <f>IFERROR(VLOOKUP($B44,'LOD 300 - SITE'!$B:CY,102,FALSE),"N/A")</f>
        <v>N/A</v>
      </c>
      <c r="GE44" s="87" t="str">
        <f>IFERROR(VLOOKUP($B44,'LOD 300 - SITE'!$B:DB,105,FALSE),"N/A")</f>
        <v>N/A</v>
      </c>
      <c r="GF44" s="87" t="str">
        <f>IFERROR(VLOOKUP($B44,'LOD 300 - SITE'!$B:DE,108,FALSE),"N/A")</f>
        <v>N/A</v>
      </c>
      <c r="GG44" s="87" t="str">
        <f>IFERROR(VLOOKUP($B44,'LOD 300 - SITE'!$B:DH,111,FALSE),"N/A")</f>
        <v>N/A</v>
      </c>
      <c r="GH44" s="87" t="str">
        <f>IFERROR(VLOOKUP($B44,'LOD 300 - SITE'!$B:DK,114,FALSE),"N/A")</f>
        <v>N/A</v>
      </c>
      <c r="GI44" s="87" t="str">
        <f>IFERROR(VLOOKUP($B44,'LOD 300 - SITE'!$B:DN,117,FALSE),"N/A")</f>
        <v>N/A</v>
      </c>
      <c r="GJ44" s="87" t="str">
        <f>IFERROR(VLOOKUP($B44,'LOD 300 - SITE'!$B:DQ,120,FALSE),"N/A")</f>
        <v>N/A</v>
      </c>
      <c r="GK44" s="87" t="str">
        <f>IFERROR(VLOOKUP($B44,'LOD 300 - SITE'!$B:DT,123,FALSE),"N/A")</f>
        <v>N/A</v>
      </c>
      <c r="GL44" s="87" t="str">
        <f>IFERROR(VLOOKUP($B44,'LOD 300 - SITE'!$B:DW,126,FALSE),"N/A")</f>
        <v>N/A</v>
      </c>
      <c r="GM44" s="110" t="str">
        <f>IFERROR(__xludf.DUMMYFUNCTION("IFERROR(
  MAX(FILTER(FB44:GL44, ISNUMBER(FB44:GL44))),
  GL44
)"),"N/A")</f>
        <v>N/A</v>
      </c>
      <c r="GN44" s="111"/>
      <c r="GO44" s="111"/>
      <c r="GP44" s="111"/>
    </row>
    <row r="45" ht="15.0" hidden="1" customHeight="1">
      <c r="A45" s="60">
        <v>48.0</v>
      </c>
      <c r="B45" s="158" t="s">
        <v>195</v>
      </c>
      <c r="C45" s="159"/>
      <c r="D45" s="216"/>
      <c r="E45" s="216"/>
      <c r="F45" s="13"/>
      <c r="G45" s="216"/>
      <c r="H45" s="217"/>
      <c r="I45" s="218"/>
      <c r="J45" s="218"/>
      <c r="K45" s="216"/>
      <c r="L45" s="216"/>
      <c r="M45" s="219"/>
      <c r="N45" s="219"/>
      <c r="O45" s="219"/>
      <c r="P45" s="220"/>
      <c r="Q45" s="219"/>
      <c r="R45" s="219"/>
      <c r="S45" s="79" t="str">
        <f>IF(OR($D45="C345",$D45="C12A",$D45="DATA"),
   VLOOKUP($B45,'LOD 300 - COLO4'!B:S,14,FALSE),"N/A")</f>
        <v>N/A</v>
      </c>
      <c r="T45" s="76" t="str">
        <f>IF(OR($D45="C345",$D45="C12A",$D45="DATA"),
   VLOOKUP($B45,'LOD 300 - COLO3'!B:T,13,FALSE),"N/A")</f>
        <v>N/A</v>
      </c>
      <c r="U45" s="219"/>
      <c r="V45" s="216"/>
      <c r="W45" s="221"/>
      <c r="X45" s="222"/>
      <c r="Y45" s="222"/>
      <c r="Z45" s="222"/>
      <c r="AA45" s="222"/>
      <c r="AB45" s="222"/>
      <c r="AC45" s="222"/>
      <c r="AD45" s="222"/>
      <c r="AE45" s="222"/>
      <c r="AF45" s="222"/>
      <c r="AG45" s="222"/>
      <c r="AH45" s="222"/>
      <c r="AI45" s="222"/>
      <c r="AJ45" s="223"/>
      <c r="AK45" s="223"/>
      <c r="AL45" s="224"/>
      <c r="AM45" s="223"/>
      <c r="AN45" s="223"/>
      <c r="AO45" s="223"/>
      <c r="AP45" s="223"/>
      <c r="AQ45" s="223"/>
      <c r="AR45" s="223"/>
      <c r="AS45" s="223"/>
      <c r="AT45" s="223"/>
      <c r="AU45" s="223"/>
      <c r="AV45" s="224"/>
      <c r="AW45" s="224"/>
      <c r="AX45" s="224"/>
      <c r="AY45" s="224"/>
      <c r="AZ45" s="224"/>
      <c r="BA45" s="223"/>
      <c r="BB45" s="224"/>
      <c r="BC45" s="225"/>
      <c r="BD45" s="225"/>
      <c r="BE45" s="225"/>
      <c r="BF45" s="225"/>
      <c r="BG45" s="225"/>
      <c r="BH45" s="225"/>
      <c r="BI45" s="225"/>
      <c r="BJ45" s="226"/>
      <c r="BK45" s="227"/>
      <c r="BL45" s="227"/>
      <c r="BM45" s="227"/>
      <c r="BN45" s="227"/>
      <c r="BO45" s="227"/>
      <c r="BP45" s="227"/>
      <c r="BQ45" s="227"/>
      <c r="BR45" s="227"/>
      <c r="BS45" s="227"/>
      <c r="BT45" s="227"/>
      <c r="BU45" s="227"/>
      <c r="BV45" s="227"/>
      <c r="BW45" s="227"/>
      <c r="BX45" s="228"/>
      <c r="BY45" s="228"/>
      <c r="BZ45" s="229"/>
      <c r="CA45" s="230"/>
      <c r="CB45" s="230"/>
      <c r="CC45" s="230"/>
      <c r="CD45" s="230"/>
      <c r="CE45" s="230"/>
      <c r="CF45" s="223"/>
      <c r="CG45" s="229"/>
      <c r="CH45" s="223"/>
      <c r="CI45" s="223"/>
      <c r="CJ45" s="229"/>
      <c r="CK45" s="229"/>
      <c r="CL45" s="229"/>
      <c r="CM45" s="229"/>
      <c r="CN45" s="229"/>
      <c r="CO45" s="223"/>
      <c r="CP45" s="231"/>
      <c r="CQ45" s="229"/>
      <c r="CR45" s="229"/>
      <c r="CS45" s="229"/>
      <c r="CT45" s="229"/>
      <c r="CU45" s="229"/>
      <c r="CV45" s="229"/>
      <c r="CW45" s="229"/>
      <c r="CX45" s="226"/>
      <c r="CY45" s="232"/>
      <c r="CZ45" s="233"/>
      <c r="DA45" s="233"/>
      <c r="DB45" s="233"/>
      <c r="DC45" s="234"/>
      <c r="DD45" s="235"/>
      <c r="DE45" s="232"/>
      <c r="DF45" s="232"/>
      <c r="DG45" s="236"/>
      <c r="DH45" s="223"/>
      <c r="DI45" s="228"/>
      <c r="DJ45" s="229"/>
      <c r="DK45" s="230"/>
      <c r="DL45" s="230"/>
      <c r="DM45" s="230"/>
      <c r="DN45" s="230"/>
      <c r="DO45" s="230"/>
      <c r="DP45" s="223"/>
      <c r="DQ45" s="223"/>
      <c r="DR45" s="223"/>
      <c r="DS45" s="237"/>
      <c r="DT45" s="238"/>
      <c r="DU45" s="238"/>
      <c r="DV45" s="238"/>
      <c r="DW45" s="238"/>
      <c r="DX45" s="238"/>
      <c r="DY45" s="223"/>
      <c r="DZ45" s="224"/>
      <c r="EA45" s="225"/>
      <c r="EB45" s="225"/>
      <c r="EC45" s="225"/>
      <c r="ED45" s="225"/>
      <c r="EE45" s="225"/>
      <c r="EF45" s="225"/>
      <c r="EG45" s="225"/>
      <c r="EH45" s="225"/>
      <c r="EI45" s="223"/>
      <c r="EJ45" s="223"/>
      <c r="EK45" s="223"/>
      <c r="EL45" s="223"/>
      <c r="EM45" s="223"/>
      <c r="EN45" s="223"/>
      <c r="EO45" s="223"/>
      <c r="EP45" s="223"/>
      <c r="EQ45" s="223"/>
      <c r="ER45" s="230"/>
      <c r="ES45" s="230"/>
      <c r="ET45" s="230"/>
      <c r="EU45" s="230"/>
      <c r="EV45" s="230"/>
      <c r="EW45" s="230"/>
      <c r="EX45" s="230"/>
      <c r="EY45" s="230"/>
      <c r="EZ45" s="239"/>
      <c r="FA45" s="239"/>
      <c r="FB45" s="222"/>
      <c r="FC45" s="222"/>
      <c r="FD45" s="222"/>
      <c r="FE45" s="222"/>
      <c r="FF45" s="222"/>
      <c r="FG45" s="222"/>
      <c r="FH45" s="222"/>
      <c r="FI45" s="222"/>
      <c r="FJ45" s="222"/>
      <c r="FK45" s="222"/>
      <c r="FL45" s="240"/>
      <c r="FM45" s="223"/>
      <c r="FN45" s="228"/>
      <c r="FO45" s="229"/>
      <c r="FP45" s="230"/>
      <c r="FQ45" s="230"/>
      <c r="FR45" s="230"/>
      <c r="FS45" s="230"/>
      <c r="FT45" s="230"/>
      <c r="FU45" s="230"/>
      <c r="FV45" s="230"/>
      <c r="FW45" s="223"/>
      <c r="FX45" s="228"/>
      <c r="FY45" s="229"/>
      <c r="FZ45" s="229"/>
      <c r="GA45" s="229"/>
      <c r="GB45" s="229"/>
      <c r="GC45" s="229"/>
      <c r="GD45" s="223"/>
      <c r="GE45" s="231"/>
      <c r="GF45" s="229"/>
      <c r="GG45" s="229"/>
      <c r="GH45" s="229"/>
      <c r="GI45" s="229"/>
      <c r="GJ45" s="229"/>
      <c r="GK45" s="229"/>
      <c r="GL45" s="229"/>
      <c r="GM45" s="241"/>
      <c r="GN45" s="215"/>
      <c r="GO45" s="215"/>
      <c r="GP45" s="215"/>
    </row>
    <row r="46" ht="15.0" customHeight="1" outlineLevel="1">
      <c r="A46" s="60">
        <v>49.0</v>
      </c>
      <c r="B46" s="140" t="s">
        <v>196</v>
      </c>
      <c r="C46" s="70" t="s">
        <v>197</v>
      </c>
      <c r="D46" s="71" t="s">
        <v>85</v>
      </c>
      <c r="E46" s="146" t="s">
        <v>169</v>
      </c>
      <c r="F46" s="13">
        <v>1112.0</v>
      </c>
      <c r="G46" s="139" t="s">
        <v>170</v>
      </c>
      <c r="H46" s="139">
        <v>1129.0</v>
      </c>
      <c r="I46" s="74" t="str">
        <f>IFERROR(VLOOKUP(C43:C185,'R22 RELATÓRIO ACC'!B:F,5,FALSE),"NOT PUBLISHED")</f>
        <v>V33</v>
      </c>
      <c r="J46" s="74" t="str">
        <f>IFERROR(VLOOKUP(C43:C185,'R22 RELATÓRIO ACC'!B:P,15,FALSE),"NOT PUBLISHED")</f>
        <v>04/03/2026</v>
      </c>
      <c r="K46" s="141" t="str">
        <f>IFERROR(VLOOKUP(B43:B234,'RELATÓRIO ACC'!B:F,5,FALSE),"NOT PUBLISHED")</f>
        <v>V2</v>
      </c>
      <c r="L46" s="142" t="str">
        <f>IFERROR(VLOOKUP(B43:B234,'RELATÓRIO ACC'!B:P,15,FALSE),"NOT PUBLISHED")</f>
        <v>13/07/2026</v>
      </c>
      <c r="M46" s="76" t="str">
        <f>IF(OR($D46="UTLS",$D46="GUAR",$D46="STIR",$D46="PUMP",$D46="SITE"),
   VLOOKUP($B46,'LOD 300 - SITE'!B:M,12,FALSE),
   VLOOKUP($B46,'LOD 300 - ADMN'!B:M,12,FALSE)
)</f>
        <v>V28</v>
      </c>
      <c r="N46" s="77" t="str">
        <f>IF(OR($D46="UTLS",$D46="GUAR",$D46="STIR",$D46="PUMP",$D46="SITE"),
   VLOOKUP($B46,'LOD 300 - SITE'!B:N,13,FALSE),
   VLOOKUP($B46,'LOD 300 - ADMN'!B:N,13,FALSE)
)</f>
        <v>31/10/2025</v>
      </c>
      <c r="O46" s="78" t="str">
        <f>IF(OR($D46="UTLS",$D46="GUAR",$D46="STIR",$D46="PUMP",$D46="SITE"),
   VLOOKUP($B46,'LOD 300 - SITE'!B:O,14,FALSE),
   VLOOKUP($B46,'LOD 300 - ADMN'!B:O,14,FALSE)
)</f>
        <v>R22</v>
      </c>
      <c r="P46" s="79" t="str">
        <f>IF(OR($D46="C345",$D46="C12A",$D46="DATA"),
   VLOOKUP($B46,'LOD 300 - COLO3'!B:M,12,FALSE),"N/A")</f>
        <v>V1</v>
      </c>
      <c r="Q46" s="77">
        <f>IF(OR($D46="C345",$D46="C12A",$D46="DATA"),
   VLOOKUP($B46,'LOD 300 - COLO3'!B:N,13,FALSE),"N/A")</f>
        <v>46161</v>
      </c>
      <c r="R46" s="76" t="str">
        <f>IF(OR($D46="C345",$D46="C12A",$D46="DATA"),
   VLOOKUP($B46,'LOD 300 - COLO3'!B:O,14,FALSE),"N/A")</f>
        <v>R24</v>
      </c>
      <c r="S46" s="79" t="str">
        <f>IF(OR($D46="C345",$D46="C12A",$D46="DATA"),
   VLOOKUP($B46,'LOD 300 - COLO4'!B:M,12,FALSE),"N/A")</f>
        <v>N/A</v>
      </c>
      <c r="T46" s="76" t="str">
        <f>IF(OR($D46="C345",$D46="C12A",$D46="DATA"),
   VLOOKUP($B46,'LOD 300 - COLO4'!B:T,13,FALSE),"N/A")</f>
        <v>N/A</v>
      </c>
      <c r="U46" s="81">
        <f>IF(OR($D46="C345",$D46="C12A",$D46="DATA"),
   VLOOKUP($B46,'LOD 300 - COLO4'!B:U,17,FALSE),"N/A")</f>
        <v>0</v>
      </c>
      <c r="V46" s="126" t="s">
        <v>91</v>
      </c>
      <c r="W46" s="144">
        <f>IFERROR(VLOOKUP($B46,'LOD 300 - ADMN'!$B:S,18,FALSE),"N/A")</f>
        <v>0.52</v>
      </c>
      <c r="X46" s="122">
        <f>IFERROR(VLOOKUP($B46,'LOD 300 - ADMN'!$B:V,21,FALSE),"N/A")</f>
        <v>0.94</v>
      </c>
      <c r="Y46" s="122">
        <f>IFERROR(VLOOKUP($B46,'LOD 300 - ADMN'!$B:Y,24,FALSE),"N/A")</f>
        <v>1</v>
      </c>
      <c r="Z46" s="122">
        <f>IFERROR(VLOOKUP($B46,'LOD 300 - ADMN'!$B:AB,27,FALSE),"N/A")</f>
        <v>1</v>
      </c>
      <c r="AA46" s="122">
        <f>IFERROR(VLOOKUP($B46,'LOD 300 - ADMN'!$B:AE,30,FALSE),"N/A")</f>
        <v>1</v>
      </c>
      <c r="AB46" s="145">
        <f>IFERROR(VLOOKUP($B46,'LOD 300 - ADMN'!$B:AH,33,FALSE),"N/A")</f>
        <v>1</v>
      </c>
      <c r="AC46" s="145">
        <f>IFERROR(VLOOKUP($B46,'LOD 300 - ADMN'!$B:AK,36,FALSE),"N/A")</f>
        <v>1</v>
      </c>
      <c r="AD46" s="122">
        <f>IFERROR(VLOOKUP($B46,'LOD 300 - ADMN'!$B:AN,39,FALSE),"N/A")</f>
        <v>1</v>
      </c>
      <c r="AE46" s="122">
        <f>IFERROR(VLOOKUP($B46,'LOD 300 - ADMN'!$B:AQ,42,FALSE),"N/A")</f>
        <v>1</v>
      </c>
      <c r="AF46" s="122">
        <f>IFERROR(VLOOKUP($B46,'LOD 300 - ADMN'!$B:AT,45,FALSE),"N/A")</f>
        <v>1</v>
      </c>
      <c r="AG46" s="122">
        <f>IFERROR(VLOOKUP($B46,'LOD 300 - ADMN'!$B:AW,48,FALSE),"N/A")</f>
        <v>1</v>
      </c>
      <c r="AH46" s="122">
        <f>IFERROR(VLOOKUP($B46,'LOD 300 - ADMN'!$B:AZ,51,FALSE),"N/A")</f>
        <v>1</v>
      </c>
      <c r="AI46" s="122">
        <f>IFERROR(VLOOKUP($B46,'LOD 300 - ADMN'!$B:BC,54,FALSE),"N/A")</f>
        <v>1</v>
      </c>
      <c r="AJ46" s="87">
        <f>IFERROR(VLOOKUP($B46,'LOD 300 - ADMN'!$B:BF,57,FALSE),"N/A")</f>
        <v>1</v>
      </c>
      <c r="AK46" s="87">
        <f>IFERROR(VLOOKUP($B46,'LOD 300 - ADMN'!$B:EP,60,FALSE),"N/A")</f>
        <v>1</v>
      </c>
      <c r="AL46" s="87">
        <f>IFERROR(VLOOKUP($B46,'LOD 300 - ADMN'!$B:EQ,63,FALSE),"N/A")</f>
        <v>1</v>
      </c>
      <c r="AM46" s="87">
        <f>IFERROR(VLOOKUP($B46,'LOD 300 - ADMN'!$B:BO,66,FALSE),"N/A")</f>
        <v>1</v>
      </c>
      <c r="AN46" s="87">
        <f>IFERROR(VLOOKUP($B46,'LOD 300 - ADMN'!$B:BR,69,FALSE),"N/A")</f>
        <v>1</v>
      </c>
      <c r="AO46" s="87">
        <f>IFERROR(VLOOKUP($B46,'LOD 300 - ADMN'!$B:BU,72,FALSE),"N/A")</f>
        <v>1</v>
      </c>
      <c r="AP46" s="87">
        <f>IFERROR(VLOOKUP($B46,'LOD 300 - ADMN'!$B:BX,75,FALSE),"N/A")</f>
        <v>1</v>
      </c>
      <c r="AQ46" s="87">
        <f>IFERROR(VLOOKUP($B46,'LOD 300 - ADMN'!$B:CA,78,FALSE),"N/A")</f>
        <v>1</v>
      </c>
      <c r="AR46" s="87">
        <f>IFERROR(VLOOKUP($B46,'LOD 300 - ADMN'!$B:CD,81,FALSE),"N/A")</f>
        <v>1</v>
      </c>
      <c r="AS46" s="87">
        <f>IFERROR(VLOOKUP($B46,'LOD 300 - ADMN'!$B:CG,84,FALSE),"N/A")</f>
        <v>1</v>
      </c>
      <c r="AT46" s="87">
        <f>IFERROR(VLOOKUP($B46,'LOD 300 - ADMN'!$B:CJ,87,FALSE),"N/A")</f>
        <v>1</v>
      </c>
      <c r="AU46" s="88">
        <f>IFERROR(VLOOKUP($B46,'LOD 300 - ADMN'!$B:CM,90,FALSE),"N/A")</f>
        <v>1</v>
      </c>
      <c r="AV46" s="88">
        <f>IFERROR(VLOOKUP($B46,'LOD 300 - ADMN'!$B:CP,93,FALSE),"N/A")</f>
        <v>1</v>
      </c>
      <c r="AW46" s="88">
        <f>IFERROR(VLOOKUP($B46,'LOD 300 - ADMN'!$B:CS,96,FALSE),"N/A")</f>
        <v>1</v>
      </c>
      <c r="AX46" s="88">
        <f>IFERROR(VLOOKUP($B46,'LOD 300 - ADMN'!$B:CV,99,FALSE),"N/A")</f>
        <v>1</v>
      </c>
      <c r="AY46" s="88">
        <f>IFERROR(VLOOKUP($B46,'LOD 300 - ADMN'!$B:CY,102,FALSE),"N/A")</f>
        <v>1</v>
      </c>
      <c r="AZ46" s="88">
        <f>IFERROR(VLOOKUP($B46,'LOD 300 - ADMN'!$B:DB,105,FALSE),"N/A")</f>
        <v>1</v>
      </c>
      <c r="BA46" s="87">
        <f>IFERROR(VLOOKUP($B46,'LOD 300 - ADMN'!$B:DE,108,FALSE),"N/A")</f>
        <v>1</v>
      </c>
      <c r="BB46" s="87">
        <f>IFERROR(VLOOKUP($B46,'LOD 300 - ADMN'!$B:DH,111,FALSE),"N/A")</f>
        <v>1</v>
      </c>
      <c r="BC46" s="87">
        <f>IFERROR(VLOOKUP($B46,'LOD 300 - ADMN'!$B:DK,114,FALSE),"N/A")</f>
        <v>1</v>
      </c>
      <c r="BD46" s="87">
        <f>IFERROR(VLOOKUP($B46,'LOD 300 - ADMN'!$B:DN,117,FALSE),"N/A")</f>
        <v>1</v>
      </c>
      <c r="BE46" s="87">
        <f>IFERROR(VLOOKUP($B46,'LOD 300 - ADMN'!$B:DQ,120,FALSE),"N/A")</f>
        <v>1</v>
      </c>
      <c r="BF46" s="87">
        <f>IFERROR(VLOOKUP($B46,'LOD 300 - ADMN'!$B:DT,123,FALSE),"N/A")</f>
        <v>1</v>
      </c>
      <c r="BG46" s="87">
        <f>IFERROR(VLOOKUP($B46,'LOD 300 - ADMN'!$B:DW,126,FALSE),"N/A")</f>
        <v>1</v>
      </c>
      <c r="BH46" s="87">
        <f>IFERROR(VLOOKUP($B46,'LOD 300 - ADMN'!$B:DZ,129,FALSE),"N/A")</f>
        <v>1</v>
      </c>
      <c r="BI46" s="87">
        <f>IFERROR(VLOOKUP($B46,'LOD 300 - ADMN'!$B:EC,132,FALSE),"N/A")</f>
        <v>1</v>
      </c>
      <c r="BJ46" s="90">
        <f>IFERROR(__xludf.DUMMYFUNCTION("IFERROR(
  MAX(FILTER(X46:BI46, ISNUMBER(X46:BI46))),
  BI46
)"),1.0)</f>
        <v>1</v>
      </c>
      <c r="BK46" s="91">
        <f>IFERROR(VLOOKUP($B46,'LOD 300 - COLO1'!$B:S,18,FALSE),"N/A")</f>
        <v>0.5</v>
      </c>
      <c r="BL46" s="92">
        <f>IFERROR(VLOOKUP($B46,'LOD 300 - COLO1'!$B:V,21,FALSE),"N/A")</f>
        <v>0.95</v>
      </c>
      <c r="BM46" s="92">
        <f>IFERROR(VLOOKUP($B46,'LOD 300 - COLO1'!$B:Y,24,FALSE),"N/A")</f>
        <v>1</v>
      </c>
      <c r="BN46" s="92">
        <f>IFERROR(VLOOKUP($B46,'LOD 300 - COLO1'!$B:AB,27,FALSE),"N/A")</f>
        <v>1</v>
      </c>
      <c r="BO46" s="92">
        <f>IFERROR(VLOOKUP($B46,'LOD 300 - COLO1'!$B:AE,30,FALSE),"N/A")</f>
        <v>1</v>
      </c>
      <c r="BP46" s="92">
        <f>IFERROR(VLOOKUP($B46,'LOD 300 - COLO1'!$B:AH,33,FALSE),"N/A")</f>
        <v>1</v>
      </c>
      <c r="BQ46" s="92">
        <f>IFERROR(VLOOKUP($B46,'LOD 300 - COLO1'!$B:AK,36,FALSE),"N/A")</f>
        <v>1</v>
      </c>
      <c r="BR46" s="92">
        <f>IFERROR(VLOOKUP($B46,'LOD 300 - COLO1'!$B:AN,39,FALSE),"N/A")</f>
        <v>1</v>
      </c>
      <c r="BS46" s="92">
        <f>IFERROR(VLOOKUP($B46,'LOD 300 - COLO1'!$B:AQ,42,FALSE),"N/A")</f>
        <v>1</v>
      </c>
      <c r="BT46" s="92">
        <f>IFERROR(VLOOKUP($B46,'LOD 300 - COLO1'!$B:AT,45,FALSE),"N/A")</f>
        <v>1</v>
      </c>
      <c r="BU46" s="92">
        <f>IFERROR(VLOOKUP($B46,'LOD 300 - COLO1'!$B:AW,48,FALSE),"N/A")</f>
        <v>1</v>
      </c>
      <c r="BV46" s="92">
        <f>IFERROR(VLOOKUP($B46,'LOD 300 - COLO1'!$B:AZ,51,FALSE),"N/A")</f>
        <v>1</v>
      </c>
      <c r="BW46" s="92">
        <f>IFERROR(VLOOKUP($B46,'LOD 300 - COLO1'!$B:BC,54,FALSE),"N/A")</f>
        <v>1</v>
      </c>
      <c r="BX46" s="94">
        <f>IFERROR(VLOOKUP($B46,'LOD 300 - COLO1'!$B:BF,57,FALSE),"N/A")</f>
        <v>1</v>
      </c>
      <c r="BY46" s="94">
        <f>IFERROR(VLOOKUP($B46,'LOD 300 - COLO1'!$B:BI,60,FALSE),"N/A")</f>
        <v>1</v>
      </c>
      <c r="BZ46" s="95">
        <f>IFERROR(VLOOKUP($B46,'LOD 300 - COLO1'!$B:BL,63,FALSE),"N/A")</f>
        <v>1</v>
      </c>
      <c r="CA46" s="86">
        <f>IFERROR(VLOOKUP($B46,'LOD 300 - COLO1'!$B:BO,66,FALSE),"N/A")</f>
        <v>1</v>
      </c>
      <c r="CB46" s="86">
        <f>IFERROR(VLOOKUP($B46,'LOD 300 - COLO1'!$B:BR,69,FALSE),"N/A")</f>
        <v>1</v>
      </c>
      <c r="CC46" s="86">
        <f>IFERROR(VLOOKUP($B46,'LOD 300 - COLO1'!$B:BU,72,FALSE),"N/A")</f>
        <v>1</v>
      </c>
      <c r="CD46" s="86">
        <f>IFERROR(VLOOKUP($B46,'LOD 300 - COLO1'!$B:BX,75,FALSE),"N/A")</f>
        <v>1</v>
      </c>
      <c r="CE46" s="86">
        <f>IFERROR(VLOOKUP($B46,'LOD 300 - COLO1'!$B:CA,78,FALSE),"N/A")</f>
        <v>1</v>
      </c>
      <c r="CF46" s="87">
        <f>IFERROR(VLOOKUP($B46,'LOD 300 - COLO1'!$B:CD,81,FALSE),"N/A")</f>
        <v>1</v>
      </c>
      <c r="CG46" s="86">
        <f>IFERROR(VLOOKUP($B46,'LOD 300 - COLO1'!$B:CG,84,FALSE),"N/A")</f>
        <v>1</v>
      </c>
      <c r="CH46" s="87">
        <f>IFERROR(VLOOKUP($B46,'LOD 300 - COLO1'!$B:CJ,87,FALSE),"N/A")</f>
        <v>1</v>
      </c>
      <c r="CI46" s="88">
        <f>IFERROR(VLOOKUP($B46,'LOD 300 - COLO1'!$B:CM,90,FALSE),"N/A")</f>
        <v>1</v>
      </c>
      <c r="CJ46" s="88">
        <f>IFERROR(VLOOKUP($B46,'LOD 300 - COLO1'!$B:CP,93,FALSE),"N/A")</f>
        <v>1</v>
      </c>
      <c r="CK46" s="88">
        <f>IFERROR(VLOOKUP($B46,'LOD 300 - COLO1'!$B:CS,96,FALSE),"N/A")</f>
        <v>1</v>
      </c>
      <c r="CL46" s="88">
        <f>IFERROR(VLOOKUP($B46,'LOD 300 - COLO1'!$B:CV,99,FALSE),"N/A")</f>
        <v>1</v>
      </c>
      <c r="CM46" s="88">
        <f>IFERROR(VLOOKUP($B46,'LOD 300 - COLO1'!$B:CY,102,FALSE),"N/A")</f>
        <v>1</v>
      </c>
      <c r="CN46" s="89">
        <f>IFERROR(VLOOKUP($B46,'LOD 300 - COLO1'!$B:DB,105,FALSE),"N/A")</f>
        <v>1</v>
      </c>
      <c r="CO46" s="87">
        <f>IFERROR(VLOOKUP($B46,'LOD 300 - COLO1'!$B:EE,108,FALSE),"N/A")</f>
        <v>1</v>
      </c>
      <c r="CP46" s="87">
        <f>IFERROR(VLOOKUP($B46,'LOD 300 - COLO1'!$B:EH,111,FALSE),"N/A")</f>
        <v>1</v>
      </c>
      <c r="CQ46" s="87">
        <f>IFERROR(VLOOKUP($B46,'LOD 300 - COLO1'!$B:EK,114,FALSE),"N/A")</f>
        <v>1</v>
      </c>
      <c r="CR46" s="87">
        <f>IFERROR(VLOOKUP($B46,'LOD 300 - COLO1'!$B:EN,117,FALSE),"N/A")</f>
        <v>1</v>
      </c>
      <c r="CS46" s="87">
        <f>IFERROR(VLOOKUP($B46,'LOD 300 - COLO1'!$B:EQ,120,FALSE),"N/A")</f>
        <v>1</v>
      </c>
      <c r="CT46" s="87">
        <f>IFERROR(VLOOKUP($B46,'LOD 300 - COLO1'!$B:ET,123,FALSE),"N/A")</f>
        <v>1</v>
      </c>
      <c r="CU46" s="87">
        <f>IFERROR(VLOOKUP($B46,'LOD 300 - COLO1'!$B:EW,126,FALSE),"N/A")</f>
        <v>1</v>
      </c>
      <c r="CV46" s="87">
        <f>IFERROR(VLOOKUP($B46,'LOD 300 - COLO1'!$B:EZ,129,FALSE),"N/A")</f>
        <v>1</v>
      </c>
      <c r="CW46" s="87">
        <f>IFERROR(VLOOKUP($B46,'LOD 300 - COLO1'!$B:FC,132,FALSE),"N/A")</f>
        <v>1</v>
      </c>
      <c r="CX46" s="96">
        <f>IFERROR(__xludf.DUMMYFUNCTION("IFERROR(
  MAX(FILTER(BK46:CW46, ISNUMBER(BK46:CW46))),
  CW46
)"),1.0)</f>
        <v>1</v>
      </c>
      <c r="CY46" s="104">
        <f>IFERROR(VLOOKUP($B46,'LOD 300 - COLO2'!$B:S,18,FALSE),"N/A")</f>
        <v>0.44</v>
      </c>
      <c r="CZ46" s="117" t="str">
        <f>IFERROR(VLOOKUP($B46,'LOD 300 - COLO2'!$B:V,21,FALSE),"N/A")</f>
        <v>OUTDATED MODEL</v>
      </c>
      <c r="DA46" s="117" t="str">
        <f>IFERROR(VLOOKUP($B46,'LOD 300 - COLO2'!$B:Y,24,FALSE),"N/A")</f>
        <v>OUTDATED MODEL</v>
      </c>
      <c r="DB46" s="117">
        <f>IFERROR(VLOOKUP($B46,'LOD 300 - COLO2'!$B:AB,27,FALSE),"N/A")</f>
        <v>0.97</v>
      </c>
      <c r="DC46" s="92" t="str">
        <f>IFERROR(VLOOKUP($B46,'LOD 300 - COLO2'!$B:AE,30,FALSE),"N/A")</f>
        <v>OUTDATED MODEL</v>
      </c>
      <c r="DD46" s="120">
        <f>IFERROR(VLOOKUP($B46,'LOD 300 - COLO2'!$B:AH,33,FALSE),"N/A")</f>
        <v>1</v>
      </c>
      <c r="DE46" s="117">
        <f>IFERROR(VLOOKUP($B46,'LOD 300 - COLO2'!$B:AK,36,FALSE),"N/A")</f>
        <v>1</v>
      </c>
      <c r="DF46" s="117">
        <f>IFERROR(VLOOKUP($B46,'LOD 300 - COLO2'!$B:AN,39,FALSE),"N/A")</f>
        <v>1</v>
      </c>
      <c r="DG46" s="119">
        <f>IFERROR(VLOOKUP($B46,'LOD 300 - COLO2'!$B:AQ,42,FALSE),"N/A")</f>
        <v>1</v>
      </c>
      <c r="DH46" s="87">
        <f>IFERROR(VLOOKUP($B46,'LOD 300 - COLO2'!$B:AT,45,FALSE),"N/A")</f>
        <v>1</v>
      </c>
      <c r="DI46" s="94">
        <f>IFERROR(VLOOKUP($B46,'LOD 300 - COLO2'!$B:AW,48,FALSE),"N/A")</f>
        <v>1</v>
      </c>
      <c r="DJ46" s="95">
        <f>IFERROR(VLOOKUP($B46,'LOD 300 - COLO2'!$B:AZ,51,FALSE),"N/A")</f>
        <v>1</v>
      </c>
      <c r="DK46" s="86">
        <f>IFERROR(VLOOKUP($B46,'LOD 300 - COLO2'!$B:BC,54,FALSE),"N/A")</f>
        <v>1</v>
      </c>
      <c r="DL46" s="86">
        <f>IFERROR(VLOOKUP($B46,'LOD 300 - COLO2'!$B:BF,57,FALSE),"N/A")</f>
        <v>1</v>
      </c>
      <c r="DM46" s="86">
        <f>IFERROR(VLOOKUP($B46,'LOD 300 - COLO2'!$B:BI,60,FALSE),"N/A")</f>
        <v>1</v>
      </c>
      <c r="DN46" s="86">
        <f>IFERROR(VLOOKUP($B46,'LOD 300 - COLO2'!$B:BL,63,FALSE),"N/A")</f>
        <v>1</v>
      </c>
      <c r="DO46" s="86">
        <f>IFERROR(VLOOKUP($B46,'LOD 300 - COLO2'!$B:BO,66,FALSE),"N/A")</f>
        <v>1</v>
      </c>
      <c r="DP46" s="87">
        <f>IFERROR(VLOOKUP($B46,'LOD 300 - COLO2'!$B:BR,69,FALSE),"N/A")</f>
        <v>1</v>
      </c>
      <c r="DQ46" s="87">
        <f>IFERROR(VLOOKUP($B46,'LOD 300 - COLO2'!$B:BU,72,FALSE),"N/A")</f>
        <v>1</v>
      </c>
      <c r="DR46" s="87">
        <f>IFERROR(VLOOKUP($B46,'LOD 300 - COLO2'!$B:BX,75,FALSE),"N/A")</f>
        <v>1</v>
      </c>
      <c r="DS46" s="98">
        <f>IFERROR(VLOOKUP($B46,'LOD 300 - COLO2'!$B:CA,78,FALSE),"N/A")</f>
        <v>1</v>
      </c>
      <c r="DT46" s="98">
        <f>IFERROR(VLOOKUP($B46,'LOD 300 - COLO2'!$B:CD,81,FALSE),"N/A")</f>
        <v>1</v>
      </c>
      <c r="DU46" s="98">
        <f>IFERROR(VLOOKUP($B46,'LOD 300 - COLO2'!$B:CG,84,FALSE),"N/A")</f>
        <v>1</v>
      </c>
      <c r="DV46" s="98">
        <f>IFERROR(VLOOKUP($B46,'LOD 300 - COLO2'!$B:CJ,87,FALSE),"N/A")</f>
        <v>1</v>
      </c>
      <c r="DW46" s="98">
        <f>IFERROR(VLOOKUP($B46,'LOD 300 - COLO2'!$B:CM,90,FALSE),"N/A")</f>
        <v>1</v>
      </c>
      <c r="DX46" s="98">
        <f>IFERROR(VLOOKUP($B46,'LOD 300 - COLO2'!$B:CP,93,FALSE),"N/A")</f>
        <v>1</v>
      </c>
      <c r="DY46" s="87">
        <f>IFERROR(VLOOKUP($B46,'LOD 300 - COLO2'!$B:CS,96,FALSE),"N/A")</f>
        <v>1</v>
      </c>
      <c r="DZ46" s="87">
        <f>IFERROR(VLOOKUP($B46,'LOD 300 - COLO2'!$B:CV,99,FALSE),"N/A")</f>
        <v>1</v>
      </c>
      <c r="EA46" s="87">
        <f>IFERROR(VLOOKUP($B46,'LOD 300 - COLO2'!$B:DB,105,FALSE),"N/A")</f>
        <v>1</v>
      </c>
      <c r="EB46" s="87">
        <f>IFERROR(VLOOKUP($B46,'LOD 300 - COLO2'!$B:DB,105,FALSE),"N/A")</f>
        <v>1</v>
      </c>
      <c r="EC46" s="87">
        <f>IFERROR(VLOOKUP($B46,'LOD 300 - COLO2'!$B:DE,108,FALSE),"N/A")</f>
        <v>1</v>
      </c>
      <c r="ED46" s="87">
        <f>IFERROR(VLOOKUP($B46,'LOD 300 - COLO2'!$B:DH,111,FALSE),"N/A")</f>
        <v>1</v>
      </c>
      <c r="EE46" s="87">
        <f>IFERROR(VLOOKUP($B46,'LOD 300 - COLO2'!$B:DK,114,FALSE),"N/A")</f>
        <v>1</v>
      </c>
      <c r="EF46" s="87">
        <f>IFERROR(VLOOKUP($B46,'LOD 300 - COLO2'!$B:DN,117,FALSE),"N/A")</f>
        <v>1</v>
      </c>
      <c r="EG46" s="87">
        <f>IFERROR(VLOOKUP($B46,'LOD 300 - COLO2'!$B:DQ,120,FALSE),"N/A")</f>
        <v>1</v>
      </c>
      <c r="EH46" s="99">
        <f>IFERROR(__xludf.DUMMYFUNCTION("IFERROR(
  MAX(FILTER(CZ46:EG46, ISNUMBER(CZ46:EG46))),
  EG46
)"),1.0)</f>
        <v>1</v>
      </c>
      <c r="EI46" s="100">
        <f>IFERROR(VLOOKUP($B46,'LOD 300 - COLO3'!$B:R,17,FALSE),"N/A")</f>
        <v>0</v>
      </c>
      <c r="EJ46" s="127" t="str">
        <f>IFERROR(VLOOKUP($B46,'LOD 300 - COLO3'!$B:U,20,FALSE),"N/A")</f>
        <v>NEXT ROUND</v>
      </c>
      <c r="EK46" s="127" t="str">
        <f>IFERROR(VLOOKUP($B46,'LOD 300 - COLO3'!$B:X,23,FALSE),"N/A")</f>
        <v>NEXT ROUND</v>
      </c>
      <c r="EL46" s="127">
        <f>IFERROR(VLOOKUP($B46,'LOD 300 - COLO3'!$B:AA,26,FALSE),"N/A")</f>
        <v>0.95</v>
      </c>
      <c r="EM46" s="127" t="str">
        <f>IFERROR(VLOOKUP($B46,'LOD 300 - COLO3'!$B:AD,29,FALSE),"N/A")</f>
        <v>OUTDATED MODEL</v>
      </c>
      <c r="EN46" s="127" t="str">
        <f>IFERROR(VLOOKUP($B46,'LOD 300 - COLO3'!$B:AG,32,FALSE),"N/A")</f>
        <v>OUTDATED MODEL</v>
      </c>
      <c r="EO46" s="127" t="str">
        <f>IFERROR(VLOOKUP($B46,'LOD 300 - COLO3'!$B:AJ,35,FALSE),"N/A")</f>
        <v>OUTDATED MODEL</v>
      </c>
      <c r="EP46" s="100" t="str">
        <f>IFERROR(VLOOKUP($B46,'LOD 300 - COLO3'!$B:AM,38,FALSE),"N/A")</f>
        <v>IMPROPER</v>
      </c>
      <c r="EQ46" s="100" t="str">
        <f>IFERROR(VLOOKUP($B46,'LOD 300 - COLO3'!$B:AP,41,FALSE),"N/A")</f>
        <v>OUTDATED MODEL</v>
      </c>
      <c r="ER46" s="100" t="str">
        <f>IFERROR(VLOOKUP($B46,'LOD 300 - COLO3'!$B:AS,44,FALSE),"N/A")</f>
        <v>OUTDATED MODEL</v>
      </c>
      <c r="ES46" s="100" t="str">
        <f>IFERROR(VLOOKUP($B46,'LOD 300 - COLO3'!$B:AV,47,FALSE),"N/A")</f>
        <v>OUTDATED MODEL</v>
      </c>
      <c r="ET46" s="100" t="str">
        <f>IFERROR(VLOOKUP($B46,'LOD 300 - COLO3'!$B:AY,50,FALSE),"N/A")</f>
        <v>OUTDATED MODEL</v>
      </c>
      <c r="EU46" s="100" t="str">
        <f>IFERROR(VLOOKUP($B46,'LOD 300 - COLO3'!$B:BB,53,FALSE),"N/A")</f>
        <v>OUTDATED MODEL</v>
      </c>
      <c r="EV46" s="100" t="str">
        <f>IFERROR(VLOOKUP($B46,'LOD 300 - COLO3'!$B:BE,56,FALSE),"N/A")</f>
        <v>OUTDATED MODEL</v>
      </c>
      <c r="EW46" s="100">
        <f>IFERROR(VLOOKUP($B46,'LOD 300 - COLO3'!$B:BL,59,FALSE),"N/A")</f>
        <v>1</v>
      </c>
      <c r="EX46" s="100">
        <f>IFERROR(VLOOKUP($B46,'LOD 300 - COLO3'!$B:BO,62,FALSE),"N/A")</f>
        <v>1</v>
      </c>
      <c r="EY46" s="103">
        <f>IFERROR(__xludf.DUMMYFUNCTION("IFERROR(
  MAX(FILTER(EI46:EX46, ISNUMBER(EI46:EX46))),
  EX46
)"),1.0)</f>
        <v>1</v>
      </c>
      <c r="EZ46" s="104">
        <f>IFERROR(VLOOKUP($B46,'LOD 300 - COLO4'!$B:BT,17,FALSE),"N/A")</f>
        <v>0</v>
      </c>
      <c r="FA46" s="103">
        <f>IFERROR(__xludf.DUMMYFUNCTION("IFERROR(
  MAX(FILTER(EZ46, ISNUMBER(EZ46))),
  EZ46
)"),0.0)</f>
        <v>0</v>
      </c>
      <c r="FB46" s="121" t="str">
        <f>IFERROR(VLOOKUP($B46,'LOD 300 - SITE'!$B:S,18,FALSE),"N/A")</f>
        <v>N/A</v>
      </c>
      <c r="FC46" s="122" t="str">
        <f>IFERROR(VLOOKUP($B46,'LOD 300 - SITE'!$B:V,21,FALSE),"N/A")</f>
        <v>N/A</v>
      </c>
      <c r="FD46" s="122" t="str">
        <f>IFERROR(VLOOKUP($B46,'LOD 300 - SITE'!$B:Y,24,FALSE),"N/A")</f>
        <v>N/A</v>
      </c>
      <c r="FE46" s="122" t="str">
        <f>IFERROR(VLOOKUP($B46,'LOD 300 - SITE'!$B:AB,27,FALSE),"N/A")</f>
        <v>N/A</v>
      </c>
      <c r="FF46" s="122" t="str">
        <f>IFERROR(VLOOKUP($B46,'LOD 300 - SITE'!$B:AE,30,FALSE),"N/A")</f>
        <v>N/A</v>
      </c>
      <c r="FG46" s="122" t="str">
        <f>IFERROR(VLOOKUP($B46,'LOD 300 - SITE'!$B:AH,33,FALSE),"N/A")</f>
        <v>N/A</v>
      </c>
      <c r="FH46" s="122" t="str">
        <f>IFERROR(VLOOKUP($B46,'LOD 300 - SITE'!$B:AK,36,FALSE),"N/A")</f>
        <v>N/A</v>
      </c>
      <c r="FI46" s="122" t="str">
        <f>IFERROR(VLOOKUP($B46,'LOD 300 - SITE'!$B:AN,39,FALSE),"N/A")</f>
        <v>N/A</v>
      </c>
      <c r="FJ46" s="122" t="str">
        <f>IFERROR(VLOOKUP($B46,'LOD 300 - SITE'!$B:AQ,42,FALSE),"N/A")</f>
        <v>N/A</v>
      </c>
      <c r="FK46" s="122" t="str">
        <f>IFERROR(VLOOKUP($B46,'LOD 300 - SITE'!$B:AT,45,FALSE),"N/A")</f>
        <v>N/A</v>
      </c>
      <c r="FL46" s="123" t="str">
        <f>IFERROR(VLOOKUP($B46,'LOD 300 - SITE'!$B:AW,48,FALSE),"N/A")</f>
        <v>N/A</v>
      </c>
      <c r="FM46" s="87" t="str">
        <f>IFERROR(VLOOKUP($B46,'LOD 300 - SITE'!$B:AZ,51,FALSE),"N/A")</f>
        <v>N/A</v>
      </c>
      <c r="FN46" s="94" t="str">
        <f>IFERROR(VLOOKUP($B46,'LOD 300 - SITE'!$B:BC,54,FALSE),"N/A")</f>
        <v>N/A</v>
      </c>
      <c r="FO46" s="95" t="str">
        <f>IFERROR(VLOOKUP($B46,'LOD 300 - SITE'!$B:BF,57,FALSE),"N/A")</f>
        <v>N/A</v>
      </c>
      <c r="FP46" s="86" t="str">
        <f>IFERROR(VLOOKUP($B46,'LOD 300 - SITE'!$B:BI,60,FALSE),"N/A")</f>
        <v>N/A</v>
      </c>
      <c r="FQ46" s="86" t="str">
        <f>IFERROR(VLOOKUP($B46,'LOD 300 - SITE'!$B:BL,63,FALSE),"N/A")</f>
        <v>N/A</v>
      </c>
      <c r="FR46" s="86" t="str">
        <f>IFERROR(VLOOKUP($B46,'LOD 300 - SITE'!$B:BO,66,FALSE),"N/A")</f>
        <v>N/A</v>
      </c>
      <c r="FS46" s="86" t="str">
        <f>IFERROR(VLOOKUP($B46,'LOD 300 - SITE'!$B:BR,69,FALSE),"N/A")</f>
        <v>N/A</v>
      </c>
      <c r="FT46" s="86" t="str">
        <f>IFERROR(VLOOKUP($B46,'LOD 300 - SITE'!$B:BU,72,FALSE),"N/A")</f>
        <v>N/A</v>
      </c>
      <c r="FU46" s="86" t="str">
        <f>IFERROR(VLOOKUP($B46,'LOD 300 - SITE'!$B:BX,75,FALSE),"N/A")</f>
        <v>N/A</v>
      </c>
      <c r="FV46" s="86" t="str">
        <f>IFERROR(VLOOKUP($B46,'LOD 300 - SITE'!$B:CA,78,FALSE),"N/A")</f>
        <v>N/A</v>
      </c>
      <c r="FW46" s="87" t="str">
        <f>IFERROR(VLOOKUP($B46,'LOD 300 - SITE'!$B:CD,81,FALSE),"N/A")</f>
        <v>N/A</v>
      </c>
      <c r="FX46" s="108" t="str">
        <f>IFERROR(VLOOKUP($B46,'LOD 300 - SITE'!$B:CG,84,FALSE),"N/A")</f>
        <v>N/A</v>
      </c>
      <c r="FY46" s="108" t="str">
        <f>IFERROR(VLOOKUP($B46,'LOD 300 - SITE'!$B:CJ,87,FALSE),"N/A")</f>
        <v>N/A</v>
      </c>
      <c r="FZ46" s="108" t="str">
        <f>IFERROR(VLOOKUP($B46,'LOD 300 - SITE'!$B:CM,90,FALSE),"N/A")</f>
        <v>N/A</v>
      </c>
      <c r="GA46" s="108" t="str">
        <f>IFERROR(VLOOKUP($B46,'LOD 300 - SITE'!$B:CP,93,FALSE),"N/A")</f>
        <v>N/A</v>
      </c>
      <c r="GB46" s="108" t="str">
        <f>IFERROR(VLOOKUP($B46,'LOD 300 - SITE'!$B:CS,96,FALSE),"N/A")</f>
        <v>N/A</v>
      </c>
      <c r="GC46" s="109" t="str">
        <f>IFERROR(VLOOKUP($B46,'LOD 300 - SITE'!$B:CV,99,FALSE),"N/A")</f>
        <v>N/A</v>
      </c>
      <c r="GD46" s="87" t="str">
        <f>IFERROR(VLOOKUP($B46,'LOD 300 - SITE'!$B:CY,102,FALSE),"N/A")</f>
        <v>N/A</v>
      </c>
      <c r="GE46" s="87" t="str">
        <f>IFERROR(VLOOKUP($B46,'LOD 300 - SITE'!$B:DB,105,FALSE),"N/A")</f>
        <v>N/A</v>
      </c>
      <c r="GF46" s="87" t="str">
        <f>IFERROR(VLOOKUP($B46,'LOD 300 - SITE'!$B:DE,108,FALSE),"N/A")</f>
        <v>N/A</v>
      </c>
      <c r="GG46" s="87" t="str">
        <f>IFERROR(VLOOKUP($B46,'LOD 300 - SITE'!$B:DH,111,FALSE),"N/A")</f>
        <v>N/A</v>
      </c>
      <c r="GH46" s="87" t="str">
        <f>IFERROR(VLOOKUP($B46,'LOD 300 - SITE'!$B:DK,114,FALSE),"N/A")</f>
        <v>N/A</v>
      </c>
      <c r="GI46" s="87" t="str">
        <f>IFERROR(VLOOKUP($B46,'LOD 300 - SITE'!$B:DN,117,FALSE),"N/A")</f>
        <v>N/A</v>
      </c>
      <c r="GJ46" s="87" t="str">
        <f>IFERROR(VLOOKUP($B46,'LOD 300 - SITE'!$B:DQ,120,FALSE),"N/A")</f>
        <v>N/A</v>
      </c>
      <c r="GK46" s="87" t="str">
        <f>IFERROR(VLOOKUP($B46,'LOD 300 - SITE'!$B:DT,123,FALSE),"N/A")</f>
        <v>N/A</v>
      </c>
      <c r="GL46" s="87" t="str">
        <f>IFERROR(VLOOKUP($B46,'LOD 300 - SITE'!$B:DW,126,FALSE),"N/A")</f>
        <v>N/A</v>
      </c>
      <c r="GM46" s="110" t="str">
        <f>IFERROR(__xludf.DUMMYFUNCTION("IFERROR(
  MAX(FILTER(FB46:GL46, ISNUMBER(FB46:GL46))),
  GL46
)"),"N/A")</f>
        <v>N/A</v>
      </c>
      <c r="GN46" s="111"/>
      <c r="GO46" s="111"/>
      <c r="GP46" s="111"/>
    </row>
    <row r="47" ht="15.0" customHeight="1" outlineLevel="1">
      <c r="A47" s="60">
        <v>50.0</v>
      </c>
      <c r="B47" s="140" t="s">
        <v>198</v>
      </c>
      <c r="C47" s="70" t="s">
        <v>199</v>
      </c>
      <c r="D47" s="71" t="s">
        <v>200</v>
      </c>
      <c r="E47" s="146" t="s">
        <v>169</v>
      </c>
      <c r="F47" s="13">
        <v>1112.0</v>
      </c>
      <c r="G47" s="139" t="s">
        <v>170</v>
      </c>
      <c r="H47" s="139">
        <v>1129.0</v>
      </c>
      <c r="I47" s="74" t="str">
        <f>IFERROR(VLOOKUP(C44:C186,'R22 RELATÓRIO ACC'!B:F,5,FALSE),"NOT PUBLISHED")</f>
        <v>V32</v>
      </c>
      <c r="J47" s="74" t="str">
        <f>IFERROR(VLOOKUP(C44:C186,'R22 RELATÓRIO ACC'!B:P,15,FALSE),"NOT PUBLISHED")</f>
        <v>24/04/2026</v>
      </c>
      <c r="K47" s="141" t="str">
        <f>IFERROR(VLOOKUP(B44:B235,'RELATÓRIO ACC'!B:F,5,FALSE),"NOT PUBLISHED")</f>
        <v>V3</v>
      </c>
      <c r="L47" s="142" t="str">
        <f>IFERROR(VLOOKUP(B44:B235,'RELATÓRIO ACC'!B:P,15,FALSE),"NOT PUBLISHED")</f>
        <v>03/07/2026</v>
      </c>
      <c r="M47" s="76" t="str">
        <f>IF(OR($D47="UTLS",$D47="GUAR",$D47="STIR",$D47="PUMP",$D47="SITE"),
   VLOOKUP($B47,'LOD 300 - SITE'!B:M,12,FALSE),
   VLOOKUP($B47,'LOD 300 - ADMN'!B:M,12,FALSE)
)</f>
        <v>V22</v>
      </c>
      <c r="N47" s="77" t="str">
        <f>IF(OR($D47="UTLS",$D47="GUAR",$D47="STIR",$D47="PUMP",$D47="SITE"),
   VLOOKUP($B47,'LOD 300 - SITE'!B:N,13,FALSE),
   VLOOKUP($B47,'LOD 300 - ADMN'!B:N,13,FALSE)
)</f>
        <v>08/10/2025</v>
      </c>
      <c r="O47" s="114" t="str">
        <f>IF(OR($D47="UTLS",$D47="GUAR",$D47="STIR",$D47="PUMP",$D47="SITE"),
   VLOOKUP($B47,'LOD 300 - SITE'!B:O,14,FALSE),
   VLOOKUP($B47,'LOD 300 - ADMN'!B:O,14,FALSE)
)</f>
        <v>R22</v>
      </c>
      <c r="P47" s="79" t="str">
        <f>IF(OR($D47="C345",$D47="C12A",$D47="DATA"),
   VLOOKUP($B47,'LOD 300 - COLO3'!B:M,12,FALSE),"N/A")</f>
        <v>N/A</v>
      </c>
      <c r="Q47" s="76" t="str">
        <f>IF(OR($D47="C345",$D47="C12A",$D47="DATA"),
   VLOOKUP($B47,'LOD 300 - COLO3'!B:N,13,FALSE),"N/A")</f>
        <v>N/A</v>
      </c>
      <c r="R47" s="76" t="str">
        <f>IF(OR($D47="C345",$D47="C12A",$D47="DATA"),
   VLOOKUP($B47,'LOD 300 - COLO3'!B:O,14,FALSE),"N/A")</f>
        <v>N/A</v>
      </c>
      <c r="S47" s="79" t="str">
        <f>IF(OR($D47="C345",$D47="C12A",$D47="DATA"),
   VLOOKUP($B47,'LOD 300 - COLO4'!B:M,12,FALSE),"N/A")</f>
        <v>N/A</v>
      </c>
      <c r="T47" s="76" t="str">
        <f>IF(OR($D47="C345",$D47="C12A",$D47="DATA"),
   VLOOKUP($B47,'LOD 300 - COLO4'!B:T,13,FALSE),"N/A")</f>
        <v>N/A</v>
      </c>
      <c r="U47" s="76" t="str">
        <f>IF(OR($D47="C345",$D47="C12A",$D47="DATA"),
   VLOOKUP($B47,'LOD 300 - COLO4'!B:U,17,FALSE),"N/A")</f>
        <v>N/A</v>
      </c>
      <c r="V47" s="126" t="s">
        <v>91</v>
      </c>
      <c r="W47" s="144" t="str">
        <f>IFERROR(VLOOKUP($B47,'LOD 300 - ADMN'!$B:S,18,FALSE),"N/A")</f>
        <v>N/A</v>
      </c>
      <c r="X47" s="122" t="str">
        <f>IFERROR(VLOOKUP($B47,'LOD 300 - ADMN'!$B:V,21,FALSE),"N/A")</f>
        <v>N/A</v>
      </c>
      <c r="Y47" s="122" t="str">
        <f>IFERROR(VLOOKUP($B47,'LOD 300 - ADMN'!$B:Y,24,FALSE),"N/A")</f>
        <v>N/A</v>
      </c>
      <c r="Z47" s="122" t="str">
        <f>IFERROR(VLOOKUP($B47,'LOD 300 - ADMN'!$B:AB,27,FALSE),"N/A")</f>
        <v>N/A</v>
      </c>
      <c r="AA47" s="122" t="str">
        <f>IFERROR(VLOOKUP($B47,'LOD 300 - ADMN'!$B:AE,30,FALSE),"N/A")</f>
        <v>N/A</v>
      </c>
      <c r="AB47" s="145" t="str">
        <f>IFERROR(VLOOKUP($B47,'LOD 300 - ADMN'!$B:AH,33,FALSE),"N/A")</f>
        <v>N/A</v>
      </c>
      <c r="AC47" s="145" t="str">
        <f>IFERROR(VLOOKUP($B47,'LOD 300 - ADMN'!$B:AK,36,FALSE),"N/A")</f>
        <v>N/A</v>
      </c>
      <c r="AD47" s="122" t="str">
        <f>IFERROR(VLOOKUP($B47,'LOD 300 - ADMN'!$B:AN,39,FALSE),"N/A")</f>
        <v>N/A</v>
      </c>
      <c r="AE47" s="122" t="str">
        <f>IFERROR(VLOOKUP($B47,'LOD 300 - ADMN'!$B:AQ,42,FALSE),"N/A")</f>
        <v>N/A</v>
      </c>
      <c r="AF47" s="122" t="str">
        <f>IFERROR(VLOOKUP($B47,'LOD 300 - ADMN'!$B:AT,45,FALSE),"N/A")</f>
        <v>N/A</v>
      </c>
      <c r="AG47" s="122" t="str">
        <f>IFERROR(VLOOKUP($B47,'LOD 300 - ADMN'!$B:AW,48,FALSE),"N/A")</f>
        <v>N/A</v>
      </c>
      <c r="AH47" s="122" t="str">
        <f>IFERROR(VLOOKUP($B47,'LOD 300 - ADMN'!$B:AZ,51,FALSE),"N/A")</f>
        <v>N/A</v>
      </c>
      <c r="AI47" s="122" t="str">
        <f>IFERROR(VLOOKUP($B47,'LOD 300 - ADMN'!$B:BC,54,FALSE),"N/A")</f>
        <v>N/A</v>
      </c>
      <c r="AJ47" s="87" t="str">
        <f>IFERROR(VLOOKUP($B47,'LOD 300 - ADMN'!$B:BF,57,FALSE),"N/A")</f>
        <v>N/A</v>
      </c>
      <c r="AK47" s="87" t="str">
        <f>IFERROR(VLOOKUP($B47,'LOD 300 - ADMN'!$B:EP,60,FALSE),"N/A")</f>
        <v>N/A</v>
      </c>
      <c r="AL47" s="87" t="str">
        <f>IFERROR(VLOOKUP($B47,'LOD 300 - ADMN'!$B:EQ,63,FALSE),"N/A")</f>
        <v>N/A</v>
      </c>
      <c r="AM47" s="87" t="str">
        <f>IFERROR(VLOOKUP($B47,'LOD 300 - ADMN'!$B:BO,66,FALSE),"N/A")</f>
        <v>N/A</v>
      </c>
      <c r="AN47" s="87" t="str">
        <f>IFERROR(VLOOKUP($B47,'LOD 300 - ADMN'!$B:BR,69,FALSE),"N/A")</f>
        <v>N/A</v>
      </c>
      <c r="AO47" s="87" t="str">
        <f>IFERROR(VLOOKUP($B47,'LOD 300 - ADMN'!$B:BU,72,FALSE),"N/A")</f>
        <v>N/A</v>
      </c>
      <c r="AP47" s="87" t="str">
        <f>IFERROR(VLOOKUP($B47,'LOD 300 - ADMN'!$B:BX,75,FALSE),"N/A")</f>
        <v>N/A</v>
      </c>
      <c r="AQ47" s="87" t="str">
        <f>IFERROR(VLOOKUP($B47,'LOD 300 - ADMN'!$B:CA,78,FALSE),"N/A")</f>
        <v>N/A</v>
      </c>
      <c r="AR47" s="87" t="str">
        <f>IFERROR(VLOOKUP($B47,'LOD 300 - ADMN'!$B:CD,81,FALSE),"N/A")</f>
        <v>N/A</v>
      </c>
      <c r="AS47" s="87" t="str">
        <f>IFERROR(VLOOKUP($B47,'LOD 300 - ADMN'!$B:CG,84,FALSE),"N/A")</f>
        <v>N/A</v>
      </c>
      <c r="AT47" s="87" t="str">
        <f>IFERROR(VLOOKUP($B47,'LOD 300 - ADMN'!$B:CJ,87,FALSE),"N/A")</f>
        <v>N/A</v>
      </c>
      <c r="AU47" s="88" t="str">
        <f>IFERROR(VLOOKUP($B47,'LOD 300 - ADMN'!$B:CM,90,FALSE),"N/A")</f>
        <v>N/A</v>
      </c>
      <c r="AV47" s="88" t="str">
        <f>IFERROR(VLOOKUP($B47,'LOD 300 - ADMN'!$B:CP,93,FALSE),"N/A")</f>
        <v>N/A</v>
      </c>
      <c r="AW47" s="88" t="str">
        <f>IFERROR(VLOOKUP($B47,'LOD 300 - ADMN'!$B:CS,96,FALSE),"N/A")</f>
        <v>N/A</v>
      </c>
      <c r="AX47" s="88" t="str">
        <f>IFERROR(VLOOKUP($B47,'LOD 300 - ADMN'!$B:CV,99,FALSE),"N/A")</f>
        <v>N/A</v>
      </c>
      <c r="AY47" s="88" t="str">
        <f>IFERROR(VLOOKUP($B47,'LOD 300 - ADMN'!$B:CY,102,FALSE),"N/A")</f>
        <v>N/A</v>
      </c>
      <c r="AZ47" s="88" t="str">
        <f>IFERROR(VLOOKUP($B47,'LOD 300 - ADMN'!$B:DB,105,FALSE),"N/A")</f>
        <v>N/A</v>
      </c>
      <c r="BA47" s="87" t="str">
        <f>IFERROR(VLOOKUP($B47,'LOD 300 - ADMN'!$B:DE,108,FALSE),"N/A")</f>
        <v>N/A</v>
      </c>
      <c r="BB47" s="87" t="str">
        <f>IFERROR(VLOOKUP($B47,'LOD 300 - ADMN'!$B:DH,111,FALSE),"N/A")</f>
        <v>N/A</v>
      </c>
      <c r="BC47" s="87" t="str">
        <f>IFERROR(VLOOKUP($B47,'LOD 300 - ADMN'!$B:DK,114,FALSE),"N/A")</f>
        <v>N/A</v>
      </c>
      <c r="BD47" s="87" t="str">
        <f>IFERROR(VLOOKUP($B47,'LOD 300 - ADMN'!$B:DN,117,FALSE),"N/A")</f>
        <v>N/A</v>
      </c>
      <c r="BE47" s="87" t="str">
        <f>IFERROR(VLOOKUP($B47,'LOD 300 - ADMN'!$B:DQ,120,FALSE),"N/A")</f>
        <v>N/A</v>
      </c>
      <c r="BF47" s="87" t="str">
        <f>IFERROR(VLOOKUP($B47,'LOD 300 - ADMN'!$B:DT,123,FALSE),"N/A")</f>
        <v>N/A</v>
      </c>
      <c r="BG47" s="87" t="str">
        <f>IFERROR(VLOOKUP($B47,'LOD 300 - ADMN'!$B:DW,126,FALSE),"N/A")</f>
        <v>N/A</v>
      </c>
      <c r="BH47" s="87" t="str">
        <f>IFERROR(VLOOKUP($B47,'LOD 300 - ADMN'!$B:DZ,129,FALSE),"N/A")</f>
        <v>N/A</v>
      </c>
      <c r="BI47" s="87" t="str">
        <f>IFERROR(VLOOKUP($B47,'LOD 300 - ADMN'!$B:EC,132,FALSE),"N/A")</f>
        <v>N/A</v>
      </c>
      <c r="BJ47" s="90" t="str">
        <f>IFERROR(__xludf.DUMMYFUNCTION("IFERROR(
  MAX(FILTER(X47:BI47, ISNUMBER(X47:BI47))),
  BI47
)"),"N/A")</f>
        <v>N/A</v>
      </c>
      <c r="BK47" s="91" t="str">
        <f>IFERROR(VLOOKUP($B47,'LOD 300 - COLO1'!$B:S,18,FALSE),"N/A")</f>
        <v>N/A</v>
      </c>
      <c r="BL47" s="92" t="str">
        <f>IFERROR(VLOOKUP($B47,'LOD 300 - COLO1'!$B:V,21,FALSE),"N/A")</f>
        <v>N/A</v>
      </c>
      <c r="BM47" s="92" t="str">
        <f>IFERROR(VLOOKUP($B47,'LOD 300 - COLO1'!$B:Y,24,FALSE),"N/A")</f>
        <v>N/A</v>
      </c>
      <c r="BN47" s="92" t="str">
        <f>IFERROR(VLOOKUP($B47,'LOD 300 - COLO1'!$B:AB,27,FALSE),"N/A")</f>
        <v>N/A</v>
      </c>
      <c r="BO47" s="92" t="str">
        <f>IFERROR(VLOOKUP($B47,'LOD 300 - COLO1'!$B:AE,30,FALSE),"N/A")</f>
        <v>N/A</v>
      </c>
      <c r="BP47" s="92" t="str">
        <f>IFERROR(VLOOKUP($B47,'LOD 300 - COLO1'!$B:AH,33,FALSE),"N/A")</f>
        <v>N/A</v>
      </c>
      <c r="BQ47" s="92" t="str">
        <f>IFERROR(VLOOKUP($B47,'LOD 300 - COLO1'!$B:AK,36,FALSE),"N/A")</f>
        <v>N/A</v>
      </c>
      <c r="BR47" s="92" t="str">
        <f>IFERROR(VLOOKUP($B47,'LOD 300 - COLO1'!$B:AN,39,FALSE),"N/A")</f>
        <v>N/A</v>
      </c>
      <c r="BS47" s="92" t="str">
        <f>IFERROR(VLOOKUP($B47,'LOD 300 - COLO1'!$B:AQ,42,FALSE),"N/A")</f>
        <v>N/A</v>
      </c>
      <c r="BT47" s="92" t="str">
        <f>IFERROR(VLOOKUP($B47,'LOD 300 - COLO1'!$B:AT,45,FALSE),"N/A")</f>
        <v>N/A</v>
      </c>
      <c r="BU47" s="92" t="str">
        <f>IFERROR(VLOOKUP($B47,'LOD 300 - COLO1'!$B:AW,48,FALSE),"N/A")</f>
        <v>N/A</v>
      </c>
      <c r="BV47" s="92" t="str">
        <f>IFERROR(VLOOKUP($B47,'LOD 300 - COLO1'!$B:AZ,51,FALSE),"N/A")</f>
        <v>N/A</v>
      </c>
      <c r="BW47" s="92" t="str">
        <f>IFERROR(VLOOKUP($B47,'LOD 300 - COLO1'!$B:BC,54,FALSE),"N/A")</f>
        <v>N/A</v>
      </c>
      <c r="BX47" s="94" t="str">
        <f>IFERROR(VLOOKUP($B47,'LOD 300 - COLO1'!$B:BF,57,FALSE),"N/A")</f>
        <v>N/A</v>
      </c>
      <c r="BY47" s="94" t="str">
        <f>IFERROR(VLOOKUP($B47,'LOD 300 - COLO1'!$B:BI,60,FALSE),"N/A")</f>
        <v>N/A</v>
      </c>
      <c r="BZ47" s="95" t="str">
        <f>IFERROR(VLOOKUP($B47,'LOD 300 - COLO1'!$B:BL,63,FALSE),"N/A")</f>
        <v>N/A</v>
      </c>
      <c r="CA47" s="86" t="str">
        <f>IFERROR(VLOOKUP($B47,'LOD 300 - COLO1'!$B:BO,66,FALSE),"N/A")</f>
        <v>N/A</v>
      </c>
      <c r="CB47" s="86" t="str">
        <f>IFERROR(VLOOKUP($B47,'LOD 300 - COLO1'!$B:BR,69,FALSE),"N/A")</f>
        <v>N/A</v>
      </c>
      <c r="CC47" s="86" t="str">
        <f>IFERROR(VLOOKUP($B47,'LOD 300 - COLO1'!$B:BU,72,FALSE),"N/A")</f>
        <v>N/A</v>
      </c>
      <c r="CD47" s="86" t="str">
        <f>IFERROR(VLOOKUP($B47,'LOD 300 - COLO1'!$B:BX,75,FALSE),"N/A")</f>
        <v>N/A</v>
      </c>
      <c r="CE47" s="86" t="str">
        <f>IFERROR(VLOOKUP($B47,'LOD 300 - COLO1'!$B:CA,78,FALSE),"N/A")</f>
        <v>N/A</v>
      </c>
      <c r="CF47" s="87" t="str">
        <f>IFERROR(VLOOKUP($B47,'LOD 300 - COLO1'!$B:CD,81,FALSE),"N/A")</f>
        <v>N/A</v>
      </c>
      <c r="CG47" s="86" t="str">
        <f>IFERROR(VLOOKUP($B47,'LOD 300 - COLO1'!$B:CG,84,FALSE),"N/A")</f>
        <v>N/A</v>
      </c>
      <c r="CH47" s="87" t="str">
        <f>IFERROR(VLOOKUP($B47,'LOD 300 - COLO1'!$B:CJ,87,FALSE),"N/A")</f>
        <v>N/A</v>
      </c>
      <c r="CI47" s="88" t="str">
        <f>IFERROR(VLOOKUP($B47,'LOD 300 - COLO1'!$B:CM,90,FALSE),"N/A")</f>
        <v>N/A</v>
      </c>
      <c r="CJ47" s="88" t="str">
        <f>IFERROR(VLOOKUP($B47,'LOD 300 - COLO1'!$B:CP,93,FALSE),"N/A")</f>
        <v>N/A</v>
      </c>
      <c r="CK47" s="88" t="str">
        <f>IFERROR(VLOOKUP($B47,'LOD 300 - COLO1'!$B:CS,96,FALSE),"N/A")</f>
        <v>N/A</v>
      </c>
      <c r="CL47" s="88" t="str">
        <f>IFERROR(VLOOKUP($B47,'LOD 300 - COLO1'!$B:CV,99,FALSE),"N/A")</f>
        <v>N/A</v>
      </c>
      <c r="CM47" s="88" t="str">
        <f>IFERROR(VLOOKUP($B47,'LOD 300 - COLO1'!$B:CY,102,FALSE),"N/A")</f>
        <v>N/A</v>
      </c>
      <c r="CN47" s="89" t="str">
        <f>IFERROR(VLOOKUP($B47,'LOD 300 - COLO1'!$B:DB,105,FALSE),"N/A")</f>
        <v>N/A</v>
      </c>
      <c r="CO47" s="87" t="str">
        <f>IFERROR(VLOOKUP($B47,'LOD 300 - COLO1'!$B:EE,108,FALSE),"N/A")</f>
        <v>N/A</v>
      </c>
      <c r="CP47" s="87" t="str">
        <f>IFERROR(VLOOKUP($B47,'LOD 300 - COLO1'!$B:EH,111,FALSE),"N/A")</f>
        <v>N/A</v>
      </c>
      <c r="CQ47" s="87" t="str">
        <f>IFERROR(VLOOKUP($B47,'LOD 300 - COLO1'!$B:EK,114,FALSE),"N/A")</f>
        <v>N/A</v>
      </c>
      <c r="CR47" s="87" t="str">
        <f>IFERROR(VLOOKUP($B47,'LOD 300 - COLO1'!$B:EN,117,FALSE),"N/A")</f>
        <v>N/A</v>
      </c>
      <c r="CS47" s="87" t="str">
        <f>IFERROR(VLOOKUP($B47,'LOD 300 - COLO1'!$B:EQ,120,FALSE),"N/A")</f>
        <v>N/A</v>
      </c>
      <c r="CT47" s="87" t="str">
        <f>IFERROR(VLOOKUP($B47,'LOD 300 - COLO1'!$B:ET,123,FALSE),"N/A")</f>
        <v>N/A</v>
      </c>
      <c r="CU47" s="87" t="str">
        <f>IFERROR(VLOOKUP($B47,'LOD 300 - COLO1'!$B:EW,126,FALSE),"N/A")</f>
        <v>N/A</v>
      </c>
      <c r="CV47" s="87" t="str">
        <f>IFERROR(VLOOKUP($B47,'LOD 300 - COLO1'!$B:EZ,129,FALSE),"N/A")</f>
        <v>N/A</v>
      </c>
      <c r="CW47" s="87" t="str">
        <f>IFERROR(VLOOKUP($B47,'LOD 300 - COLO1'!$B:FC,132,FALSE),"N/A")</f>
        <v>N/A</v>
      </c>
      <c r="CX47" s="96" t="str">
        <f>IFERROR(__xludf.DUMMYFUNCTION("IFERROR(
  MAX(FILTER(BK47:CW47, ISNUMBER(BK47:CW47))),
  CW47
)"),"N/A")</f>
        <v>N/A</v>
      </c>
      <c r="CY47" s="104" t="str">
        <f>IFERROR(VLOOKUP($B47,'LOD 300 - COLO2'!$B:S,18,FALSE),"N/A")</f>
        <v>N/A</v>
      </c>
      <c r="CZ47" s="117" t="str">
        <f>IFERROR(VLOOKUP($B47,'LOD 300 - COLO2'!$B:V,21,FALSE),"N/A")</f>
        <v>N/A</v>
      </c>
      <c r="DA47" s="117" t="str">
        <f>IFERROR(VLOOKUP($B47,'LOD 300 - COLO2'!$B:Y,24,FALSE),"N/A")</f>
        <v>N/A</v>
      </c>
      <c r="DB47" s="117" t="str">
        <f>IFERROR(VLOOKUP($B47,'LOD 300 - COLO2'!$B:AB,27,FALSE),"N/A")</f>
        <v>N/A</v>
      </c>
      <c r="DC47" s="92" t="str">
        <f>IFERROR(VLOOKUP($B47,'LOD 300 - COLO2'!$B:AE,30,FALSE),"N/A")</f>
        <v>N/A</v>
      </c>
      <c r="DD47" s="120" t="str">
        <f>IFERROR(VLOOKUP($B47,'LOD 300 - COLO2'!$B:AH,33,FALSE),"N/A")</f>
        <v>N/A</v>
      </c>
      <c r="DE47" s="117" t="str">
        <f>IFERROR(VLOOKUP($B47,'LOD 300 - COLO2'!$B:AK,36,FALSE),"N/A")</f>
        <v>N/A</v>
      </c>
      <c r="DF47" s="117" t="str">
        <f>IFERROR(VLOOKUP($B47,'LOD 300 - COLO2'!$B:AN,39,FALSE),"N/A")</f>
        <v>N/A</v>
      </c>
      <c r="DG47" s="119" t="str">
        <f>IFERROR(VLOOKUP($B47,'LOD 300 - COLO2'!$B:AQ,42,FALSE),"N/A")</f>
        <v>N/A</v>
      </c>
      <c r="DH47" s="87" t="str">
        <f>IFERROR(VLOOKUP($B47,'LOD 300 - COLO2'!$B:AT,45,FALSE),"N/A")</f>
        <v>N/A</v>
      </c>
      <c r="DI47" s="94" t="str">
        <f>IFERROR(VLOOKUP($B47,'LOD 300 - COLO2'!$B:AW,48,FALSE),"N/A")</f>
        <v>N/A</v>
      </c>
      <c r="DJ47" s="95" t="str">
        <f>IFERROR(VLOOKUP($B47,'LOD 300 - COLO2'!$B:AZ,51,FALSE),"N/A")</f>
        <v>N/A</v>
      </c>
      <c r="DK47" s="86" t="str">
        <f>IFERROR(VLOOKUP($B47,'LOD 300 - COLO2'!$B:BC,54,FALSE),"N/A")</f>
        <v>N/A</v>
      </c>
      <c r="DL47" s="86" t="str">
        <f>IFERROR(VLOOKUP($B47,'LOD 300 - COLO2'!$B:BF,57,FALSE),"N/A")</f>
        <v>N/A</v>
      </c>
      <c r="DM47" s="86" t="str">
        <f>IFERROR(VLOOKUP($B47,'LOD 300 - COLO2'!$B:BI,60,FALSE),"N/A")</f>
        <v>N/A</v>
      </c>
      <c r="DN47" s="86" t="str">
        <f>IFERROR(VLOOKUP($B47,'LOD 300 - COLO2'!$B:BL,63,FALSE),"N/A")</f>
        <v>N/A</v>
      </c>
      <c r="DO47" s="86" t="str">
        <f>IFERROR(VLOOKUP($B47,'LOD 300 - COLO2'!$B:BO,66,FALSE),"N/A")</f>
        <v>N/A</v>
      </c>
      <c r="DP47" s="87" t="str">
        <f>IFERROR(VLOOKUP($B47,'LOD 300 - COLO2'!$B:BR,69,FALSE),"N/A")</f>
        <v>N/A</v>
      </c>
      <c r="DQ47" s="87" t="str">
        <f>IFERROR(VLOOKUP($B47,'LOD 300 - COLO2'!$B:BU,72,FALSE),"N/A")</f>
        <v>N/A</v>
      </c>
      <c r="DR47" s="87" t="str">
        <f>IFERROR(VLOOKUP($B47,'LOD 300 - COLO2'!$B:BX,75,FALSE),"N/A")</f>
        <v>N/A</v>
      </c>
      <c r="DS47" s="98" t="str">
        <f>IFERROR(VLOOKUP($B47,'LOD 300 - COLO2'!$B:CA,78,FALSE),"N/A")</f>
        <v>N/A</v>
      </c>
      <c r="DT47" s="98" t="str">
        <f>IFERROR(VLOOKUP($B47,'LOD 300 - COLO2'!$B:CD,81,FALSE),"N/A")</f>
        <v>N/A</v>
      </c>
      <c r="DU47" s="98" t="str">
        <f>IFERROR(VLOOKUP($B47,'LOD 300 - COLO2'!$B:CG,84,FALSE),"N/A")</f>
        <v>N/A</v>
      </c>
      <c r="DV47" s="98" t="str">
        <f>IFERROR(VLOOKUP($B47,'LOD 300 - COLO2'!$B:CJ,87,FALSE),"N/A")</f>
        <v>N/A</v>
      </c>
      <c r="DW47" s="98" t="str">
        <f>IFERROR(VLOOKUP($B47,'LOD 300 - COLO2'!$B:CM,90,FALSE),"N/A")</f>
        <v>N/A</v>
      </c>
      <c r="DX47" s="98" t="str">
        <f>IFERROR(VLOOKUP($B47,'LOD 300 - COLO2'!$B:CP,93,FALSE),"N/A")</f>
        <v>N/A</v>
      </c>
      <c r="DY47" s="87" t="str">
        <f>IFERROR(VLOOKUP($B47,'LOD 300 - COLO2'!$B:CS,96,FALSE),"N/A")</f>
        <v>N/A</v>
      </c>
      <c r="DZ47" s="87" t="str">
        <f>IFERROR(VLOOKUP($B47,'LOD 300 - COLO2'!$B:CV,99,FALSE),"N/A")</f>
        <v>N/A</v>
      </c>
      <c r="EA47" s="87" t="str">
        <f>IFERROR(VLOOKUP($B47,'LOD 300 - COLO2'!$B:DB,105,FALSE),"N/A")</f>
        <v>N/A</v>
      </c>
      <c r="EB47" s="87" t="str">
        <f>IFERROR(VLOOKUP($B47,'LOD 300 - COLO2'!$B:DB,105,FALSE),"N/A")</f>
        <v>N/A</v>
      </c>
      <c r="EC47" s="87" t="str">
        <f>IFERROR(VLOOKUP($B47,'LOD 300 - COLO2'!$B:DE,108,FALSE),"N/A")</f>
        <v>N/A</v>
      </c>
      <c r="ED47" s="87" t="str">
        <f>IFERROR(VLOOKUP($B47,'LOD 300 - COLO2'!$B:DH,111,FALSE),"N/A")</f>
        <v>N/A</v>
      </c>
      <c r="EE47" s="87" t="str">
        <f>IFERROR(VLOOKUP($B47,'LOD 300 - COLO2'!$B:DK,114,FALSE),"N/A")</f>
        <v>N/A</v>
      </c>
      <c r="EF47" s="87" t="str">
        <f>IFERROR(VLOOKUP($B47,'LOD 300 - COLO2'!$B:DN,117,FALSE),"N/A")</f>
        <v>N/A</v>
      </c>
      <c r="EG47" s="87" t="str">
        <f>IFERROR(VLOOKUP($B47,'LOD 300 - COLO2'!$B:DQ,120,FALSE),"N/A")</f>
        <v>N/A</v>
      </c>
      <c r="EH47" s="99" t="str">
        <f>IFERROR(__xludf.DUMMYFUNCTION("IFERROR(
  MAX(FILTER(CZ47:EG47, ISNUMBER(CZ47:EG47))),
  EG47
)"),"N/A")</f>
        <v>N/A</v>
      </c>
      <c r="EI47" s="100" t="str">
        <f>IFERROR(VLOOKUP($B47,'LOD 300 - COLO3'!$B:R,17,FALSE),"N/A")</f>
        <v>N/A</v>
      </c>
      <c r="EJ47" s="127" t="str">
        <f>IFERROR(VLOOKUP($B47,'LOD 300 - COLO3'!$B:U,20,FALSE),"N/A")</f>
        <v>N/A</v>
      </c>
      <c r="EK47" s="127" t="str">
        <f>IFERROR(VLOOKUP($B47,'LOD 300 - COLO3'!$B:X,23,FALSE),"N/A")</f>
        <v>N/A</v>
      </c>
      <c r="EL47" s="127" t="str">
        <f>IFERROR(VLOOKUP($B47,'LOD 300 - COLO3'!$B:AA,26,FALSE),"N/A")</f>
        <v>N/A</v>
      </c>
      <c r="EM47" s="127" t="str">
        <f>IFERROR(VLOOKUP($B47,'LOD 300 - COLO3'!$B:AD,29,FALSE),"N/A")</f>
        <v>N/A</v>
      </c>
      <c r="EN47" s="127" t="str">
        <f>IFERROR(VLOOKUP($B47,'LOD 300 - COLO3'!$B:AG,32,FALSE),"N/A")</f>
        <v>N/A</v>
      </c>
      <c r="EO47" s="127" t="str">
        <f>IFERROR(VLOOKUP($B47,'LOD 300 - COLO3'!$B:AJ,35,FALSE),"N/A")</f>
        <v>N/A</v>
      </c>
      <c r="EP47" s="100" t="str">
        <f>IFERROR(VLOOKUP($B47,'LOD 300 - COLO3'!$B:AM,38,FALSE),"N/A")</f>
        <v>N/A</v>
      </c>
      <c r="EQ47" s="100" t="str">
        <f>IFERROR(VLOOKUP($B47,'LOD 300 - COLO3'!$B:AP,41,FALSE),"N/A")</f>
        <v>N/A</v>
      </c>
      <c r="ER47" s="100" t="str">
        <f>IFERROR(VLOOKUP($B47,'LOD 300 - COLO3'!$B:AS,44,FALSE),"N/A")</f>
        <v>N/A</v>
      </c>
      <c r="ES47" s="100" t="str">
        <f>IFERROR(VLOOKUP($B47,'LOD 300 - COLO3'!$B:AV,47,FALSE),"N/A")</f>
        <v>N/A</v>
      </c>
      <c r="ET47" s="100" t="str">
        <f>IFERROR(VLOOKUP($B47,'LOD 300 - COLO3'!$B:AY,50,FALSE),"N/A")</f>
        <v>N/A</v>
      </c>
      <c r="EU47" s="100" t="str">
        <f>IFERROR(VLOOKUP($B47,'LOD 300 - COLO3'!$B:BB,53,FALSE),"N/A")</f>
        <v>N/A</v>
      </c>
      <c r="EV47" s="100" t="str">
        <f>IFERROR(VLOOKUP($B47,'LOD 300 - COLO3'!$B:BE,56,FALSE),"N/A")</f>
        <v>N/A</v>
      </c>
      <c r="EW47" s="100" t="str">
        <f>IFERROR(VLOOKUP($B47,'LOD 300 - COLO3'!$B:BL,59,FALSE),"N/A")</f>
        <v>N/A</v>
      </c>
      <c r="EX47" s="100" t="str">
        <f>IFERROR(VLOOKUP($B47,'LOD 300 - COLO3'!$B:BO,62,FALSE),"N/A")</f>
        <v>N/A</v>
      </c>
      <c r="EY47" s="103" t="str">
        <f>IFERROR(__xludf.DUMMYFUNCTION("IFERROR(
  MAX(FILTER(EI47:EX47, ISNUMBER(EI47:EX47))),
  EX47
)"),"N/A")</f>
        <v>N/A</v>
      </c>
      <c r="EZ47" s="104" t="str">
        <f>IFERROR(VLOOKUP($B47,'LOD 300 - COLO4'!$B:BT,17,FALSE),"N/A")</f>
        <v>N/A</v>
      </c>
      <c r="FA47" s="103" t="str">
        <f>IFERROR(__xludf.DUMMYFUNCTION("IFERROR(
  MAX(FILTER(EZ47, ISNUMBER(EZ47))),
  EZ47
)"),"N/A")</f>
        <v>N/A</v>
      </c>
      <c r="FB47" s="121">
        <f>IFERROR(VLOOKUP($B47,'LOD 300 - SITE'!$B:S,18,FALSE),"N/A")</f>
        <v>0.83</v>
      </c>
      <c r="FC47" s="122">
        <f>IFERROR(VLOOKUP($B47,'LOD 300 - SITE'!$B:V,21,FALSE),"N/A")</f>
        <v>0.98</v>
      </c>
      <c r="FD47" s="122" t="str">
        <f>IFERROR(VLOOKUP($B47,'LOD 300 - SITE'!$B:Y,24,FALSE),"N/A")</f>
        <v>OUTDATED MODEL</v>
      </c>
      <c r="FE47" s="122" t="str">
        <f>IFERROR(VLOOKUP($B47,'LOD 300 - SITE'!$B:AB,27,FALSE),"N/A")</f>
        <v>OUTDATED MODEL</v>
      </c>
      <c r="FF47" s="122" t="str">
        <f>IFERROR(VLOOKUP($B47,'LOD 300 - SITE'!$B:AE,30,FALSE),"N/A")</f>
        <v>OUTDATED MODEL</v>
      </c>
      <c r="FG47" s="122">
        <f>IFERROR(VLOOKUP($B47,'LOD 300 - SITE'!$B:AH,33,FALSE),"N/A")</f>
        <v>1</v>
      </c>
      <c r="FH47" s="122">
        <f>IFERROR(VLOOKUP($B47,'LOD 300 - SITE'!$B:AK,36,FALSE),"N/A")</f>
        <v>1</v>
      </c>
      <c r="FI47" s="122">
        <f>IFERROR(VLOOKUP($B47,'LOD 300 - SITE'!$B:AN,39,FALSE),"N/A")</f>
        <v>1</v>
      </c>
      <c r="FJ47" s="122">
        <f>IFERROR(VLOOKUP($B47,'LOD 300 - SITE'!$B:AQ,42,FALSE),"N/A")</f>
        <v>1</v>
      </c>
      <c r="FK47" s="122">
        <f>IFERROR(VLOOKUP($B47,'LOD 300 - SITE'!$B:AT,45,FALSE),"N/A")</f>
        <v>1</v>
      </c>
      <c r="FL47" s="123">
        <f>IFERROR(VLOOKUP($B47,'LOD 300 - SITE'!$B:AW,48,FALSE),"N/A")</f>
        <v>1</v>
      </c>
      <c r="FM47" s="87">
        <f>IFERROR(VLOOKUP($B47,'LOD 300 - SITE'!$B:AZ,51,FALSE),"N/A")</f>
        <v>1</v>
      </c>
      <c r="FN47" s="94">
        <f>IFERROR(VLOOKUP($B47,'LOD 300 - SITE'!$B:BC,54,FALSE),"N/A")</f>
        <v>1</v>
      </c>
      <c r="FO47" s="95">
        <f>IFERROR(VLOOKUP($B47,'LOD 300 - SITE'!$B:BF,57,FALSE),"N/A")</f>
        <v>1</v>
      </c>
      <c r="FP47" s="86">
        <f>IFERROR(VLOOKUP($B47,'LOD 300 - SITE'!$B:BI,60,FALSE),"N/A")</f>
        <v>1</v>
      </c>
      <c r="FQ47" s="86">
        <f>IFERROR(VLOOKUP($B47,'LOD 300 - SITE'!$B:BL,63,FALSE),"N/A")</f>
        <v>1</v>
      </c>
      <c r="FR47" s="86">
        <f>IFERROR(VLOOKUP($B47,'LOD 300 - SITE'!$B:BO,66,FALSE),"N/A")</f>
        <v>1</v>
      </c>
      <c r="FS47" s="86">
        <f>IFERROR(VLOOKUP($B47,'LOD 300 - SITE'!$B:BR,69,FALSE),"N/A")</f>
        <v>1</v>
      </c>
      <c r="FT47" s="86">
        <f>IFERROR(VLOOKUP($B47,'LOD 300 - SITE'!$B:BU,72,FALSE),"N/A")</f>
        <v>1</v>
      </c>
      <c r="FU47" s="86">
        <f>IFERROR(VLOOKUP($B47,'LOD 300 - SITE'!$B:BX,75,FALSE),"N/A")</f>
        <v>1</v>
      </c>
      <c r="FV47" s="86">
        <f>IFERROR(VLOOKUP($B47,'LOD 300 - SITE'!$B:CA,78,FALSE),"N/A")</f>
        <v>1</v>
      </c>
      <c r="FW47" s="87">
        <f>IFERROR(VLOOKUP($B47,'LOD 300 - SITE'!$B:CD,81,FALSE),"N/A")</f>
        <v>1</v>
      </c>
      <c r="FX47" s="108">
        <f>IFERROR(VLOOKUP($B47,'LOD 300 - SITE'!$B:CG,84,FALSE),"N/A")</f>
        <v>1</v>
      </c>
      <c r="FY47" s="108">
        <f>IFERROR(VLOOKUP($B47,'LOD 300 - SITE'!$B:CJ,87,FALSE),"N/A")</f>
        <v>1</v>
      </c>
      <c r="FZ47" s="108">
        <f>IFERROR(VLOOKUP($B47,'LOD 300 - SITE'!$B:CM,90,FALSE),"N/A")</f>
        <v>1</v>
      </c>
      <c r="GA47" s="108">
        <f>IFERROR(VLOOKUP($B47,'LOD 300 - SITE'!$B:CP,93,FALSE),"N/A")</f>
        <v>1</v>
      </c>
      <c r="GB47" s="108">
        <f>IFERROR(VLOOKUP($B47,'LOD 300 - SITE'!$B:CS,96,FALSE),"N/A")</f>
        <v>1</v>
      </c>
      <c r="GC47" s="109">
        <f>IFERROR(VLOOKUP($B47,'LOD 300 - SITE'!$B:CV,99,FALSE),"N/A")</f>
        <v>1</v>
      </c>
      <c r="GD47" s="87">
        <f>IFERROR(VLOOKUP($B47,'LOD 300 - SITE'!$B:CY,102,FALSE),"N/A")</f>
        <v>1</v>
      </c>
      <c r="GE47" s="87">
        <f>IFERROR(VLOOKUP($B47,'LOD 300 - SITE'!$B:DB,105,FALSE),"N/A")</f>
        <v>1</v>
      </c>
      <c r="GF47" s="87">
        <f>IFERROR(VLOOKUP($B47,'LOD 300 - SITE'!$B:DE,108,FALSE),"N/A")</f>
        <v>1</v>
      </c>
      <c r="GG47" s="87">
        <f>IFERROR(VLOOKUP($B47,'LOD 300 - SITE'!$B:DH,111,FALSE),"N/A")</f>
        <v>1</v>
      </c>
      <c r="GH47" s="87">
        <f>IFERROR(VLOOKUP($B47,'LOD 300 - SITE'!$B:DK,114,FALSE),"N/A")</f>
        <v>1</v>
      </c>
      <c r="GI47" s="87">
        <f>IFERROR(VLOOKUP($B47,'LOD 300 - SITE'!$B:DN,117,FALSE),"N/A")</f>
        <v>1</v>
      </c>
      <c r="GJ47" s="87">
        <f>IFERROR(VLOOKUP($B47,'LOD 300 - SITE'!$B:DQ,120,FALSE),"N/A")</f>
        <v>1</v>
      </c>
      <c r="GK47" s="87">
        <f>IFERROR(VLOOKUP($B47,'LOD 300 - SITE'!$B:DT,123,FALSE),"N/A")</f>
        <v>1</v>
      </c>
      <c r="GL47" s="87">
        <f>IFERROR(VLOOKUP($B47,'LOD 300 - SITE'!$B:DW,126,FALSE),"N/A")</f>
        <v>1</v>
      </c>
      <c r="GM47" s="110">
        <f>IFERROR(__xludf.DUMMYFUNCTION("IFERROR(
  MAX(FILTER(FB47:GL47, ISNUMBER(FB47:GL47))),
  GL47
)"),1.0)</f>
        <v>1</v>
      </c>
      <c r="GN47" s="68"/>
      <c r="GO47" s="68"/>
      <c r="GP47" s="68"/>
    </row>
    <row r="48" ht="15.0" hidden="1" customHeight="1">
      <c r="A48" s="60">
        <v>51.0</v>
      </c>
      <c r="B48" s="187" t="s">
        <v>201</v>
      </c>
      <c r="C48" s="188"/>
      <c r="D48" s="189"/>
      <c r="E48" s="189"/>
      <c r="F48" s="13"/>
      <c r="G48" s="189"/>
      <c r="H48" s="190"/>
      <c r="I48" s="191"/>
      <c r="J48" s="191"/>
      <c r="K48" s="189"/>
      <c r="L48" s="189"/>
      <c r="M48" s="192"/>
      <c r="N48" s="192"/>
      <c r="O48" s="192"/>
      <c r="P48" s="193"/>
      <c r="Q48" s="192"/>
      <c r="R48" s="192"/>
      <c r="S48" s="79" t="str">
        <f>IF(OR($D48="C345",$D48="C12A",$D48="DATA"),
   VLOOKUP($B48,'LOD 300 - COLO4'!B:S,14,FALSE),"N/A")</f>
        <v>N/A</v>
      </c>
      <c r="T48" s="76" t="str">
        <f>IF(OR($D48="C345",$D48="C12A",$D48="DATA"),
   VLOOKUP($B48,'LOD 300 - COLO3'!B:T,13,FALSE),"N/A")</f>
        <v>N/A</v>
      </c>
      <c r="U48" s="192"/>
      <c r="V48" s="189"/>
      <c r="W48" s="242"/>
      <c r="X48" s="243"/>
      <c r="Y48" s="243"/>
      <c r="Z48" s="243"/>
      <c r="AA48" s="243"/>
      <c r="AB48" s="243"/>
      <c r="AC48" s="243"/>
      <c r="AD48" s="243"/>
      <c r="AE48" s="243"/>
      <c r="AF48" s="243"/>
      <c r="AG48" s="243"/>
      <c r="AH48" s="243"/>
      <c r="AI48" s="243"/>
      <c r="AJ48" s="244"/>
      <c r="AK48" s="244"/>
      <c r="AL48" s="245"/>
      <c r="AM48" s="244"/>
      <c r="AN48" s="244"/>
      <c r="AO48" s="244"/>
      <c r="AP48" s="244"/>
      <c r="AQ48" s="244"/>
      <c r="AR48" s="244"/>
      <c r="AS48" s="244"/>
      <c r="AT48" s="244"/>
      <c r="AU48" s="244"/>
      <c r="AV48" s="245"/>
      <c r="AW48" s="245"/>
      <c r="AX48" s="245"/>
      <c r="AY48" s="245"/>
      <c r="AZ48" s="245"/>
      <c r="BA48" s="244"/>
      <c r="BB48" s="245"/>
      <c r="BC48" s="246"/>
      <c r="BD48" s="246"/>
      <c r="BE48" s="246"/>
      <c r="BF48" s="246"/>
      <c r="BG48" s="246"/>
      <c r="BH48" s="246"/>
      <c r="BI48" s="246"/>
      <c r="BJ48" s="247"/>
      <c r="BK48" s="248"/>
      <c r="BL48" s="248"/>
      <c r="BM48" s="248"/>
      <c r="BN48" s="248"/>
      <c r="BO48" s="248"/>
      <c r="BP48" s="248"/>
      <c r="BQ48" s="248"/>
      <c r="BR48" s="248"/>
      <c r="BS48" s="248"/>
      <c r="BT48" s="248"/>
      <c r="BU48" s="248"/>
      <c r="BV48" s="248"/>
      <c r="BW48" s="248"/>
      <c r="BX48" s="249"/>
      <c r="BY48" s="249"/>
      <c r="BZ48" s="250"/>
      <c r="CA48" s="251"/>
      <c r="CB48" s="251"/>
      <c r="CC48" s="251"/>
      <c r="CD48" s="251"/>
      <c r="CE48" s="251"/>
      <c r="CF48" s="244"/>
      <c r="CG48" s="250"/>
      <c r="CH48" s="244"/>
      <c r="CI48" s="244"/>
      <c r="CJ48" s="250"/>
      <c r="CK48" s="250"/>
      <c r="CL48" s="250"/>
      <c r="CM48" s="250"/>
      <c r="CN48" s="250"/>
      <c r="CO48" s="244"/>
      <c r="CP48" s="252"/>
      <c r="CQ48" s="250"/>
      <c r="CR48" s="250"/>
      <c r="CS48" s="250"/>
      <c r="CT48" s="250"/>
      <c r="CU48" s="250"/>
      <c r="CV48" s="250"/>
      <c r="CW48" s="250"/>
      <c r="CX48" s="247"/>
      <c r="CY48" s="253"/>
      <c r="CZ48" s="254"/>
      <c r="DA48" s="254"/>
      <c r="DB48" s="254"/>
      <c r="DC48" s="255"/>
      <c r="DD48" s="256"/>
      <c r="DE48" s="253"/>
      <c r="DF48" s="253"/>
      <c r="DG48" s="189"/>
      <c r="DH48" s="244"/>
      <c r="DI48" s="249"/>
      <c r="DJ48" s="250"/>
      <c r="DK48" s="251"/>
      <c r="DL48" s="251"/>
      <c r="DM48" s="251"/>
      <c r="DN48" s="251"/>
      <c r="DO48" s="251"/>
      <c r="DP48" s="244"/>
      <c r="DQ48" s="244"/>
      <c r="DR48" s="244"/>
      <c r="DS48" s="257"/>
      <c r="DT48" s="258"/>
      <c r="DU48" s="258"/>
      <c r="DV48" s="258"/>
      <c r="DW48" s="258"/>
      <c r="DX48" s="258"/>
      <c r="DY48" s="244"/>
      <c r="DZ48" s="245"/>
      <c r="EA48" s="246"/>
      <c r="EB48" s="246"/>
      <c r="EC48" s="246"/>
      <c r="ED48" s="246"/>
      <c r="EE48" s="246"/>
      <c r="EF48" s="246"/>
      <c r="EG48" s="246"/>
      <c r="EH48" s="246"/>
      <c r="EI48" s="244"/>
      <c r="EJ48" s="244"/>
      <c r="EK48" s="244"/>
      <c r="EL48" s="244"/>
      <c r="EM48" s="244"/>
      <c r="EN48" s="244"/>
      <c r="EO48" s="244"/>
      <c r="EP48" s="244"/>
      <c r="EQ48" s="244"/>
      <c r="ER48" s="251"/>
      <c r="ES48" s="251"/>
      <c r="ET48" s="251"/>
      <c r="EU48" s="251"/>
      <c r="EV48" s="251"/>
      <c r="EW48" s="251"/>
      <c r="EX48" s="251"/>
      <c r="EY48" s="251"/>
      <c r="EZ48" s="259"/>
      <c r="FA48" s="259"/>
      <c r="FB48" s="243"/>
      <c r="FC48" s="243"/>
      <c r="FD48" s="243"/>
      <c r="FE48" s="243"/>
      <c r="FF48" s="243"/>
      <c r="FG48" s="243"/>
      <c r="FH48" s="243"/>
      <c r="FI48" s="243"/>
      <c r="FJ48" s="243"/>
      <c r="FK48" s="243"/>
      <c r="FL48" s="260"/>
      <c r="FM48" s="244"/>
      <c r="FN48" s="249"/>
      <c r="FO48" s="250"/>
      <c r="FP48" s="251"/>
      <c r="FQ48" s="251"/>
      <c r="FR48" s="251"/>
      <c r="FS48" s="251"/>
      <c r="FT48" s="251"/>
      <c r="FU48" s="251"/>
      <c r="FV48" s="251"/>
      <c r="FW48" s="244"/>
      <c r="FX48" s="249"/>
      <c r="FY48" s="250"/>
      <c r="FZ48" s="250"/>
      <c r="GA48" s="250"/>
      <c r="GB48" s="250"/>
      <c r="GC48" s="250"/>
      <c r="GD48" s="244"/>
      <c r="GE48" s="252"/>
      <c r="GF48" s="250"/>
      <c r="GG48" s="250"/>
      <c r="GH48" s="250"/>
      <c r="GI48" s="250"/>
      <c r="GJ48" s="250"/>
      <c r="GK48" s="250"/>
      <c r="GL48" s="250"/>
      <c r="GM48" s="261"/>
      <c r="GN48" s="135"/>
      <c r="GO48" s="215"/>
      <c r="GP48" s="215"/>
    </row>
    <row r="49" ht="15.0" customHeight="1" outlineLevel="1">
      <c r="A49" s="60">
        <v>52.0</v>
      </c>
      <c r="B49" s="140" t="s">
        <v>202</v>
      </c>
      <c r="C49" s="70" t="s">
        <v>203</v>
      </c>
      <c r="D49" s="71" t="s">
        <v>200</v>
      </c>
      <c r="E49" s="146" t="s">
        <v>180</v>
      </c>
      <c r="F49" s="13">
        <v>1114.0</v>
      </c>
      <c r="G49" s="139" t="s">
        <v>180</v>
      </c>
      <c r="H49" s="139">
        <v>1114.0</v>
      </c>
      <c r="I49" s="74" t="str">
        <f>IFERROR(VLOOKUP(C46:C188,'R22 RELATÓRIO ACC'!B:F,5,FALSE),"NOT PUBLISHED")</f>
        <v>V14</v>
      </c>
      <c r="J49" s="74" t="str">
        <f>IFERROR(VLOOKUP(C46:C188,'R22 RELATÓRIO ACC'!B:P,15,FALSE),"NOT PUBLISHED")</f>
        <v>03/02/2026</v>
      </c>
      <c r="K49" s="141" t="str">
        <f>IFERROR(VLOOKUP(B46:B237,'RELATÓRIO ACC'!B:F,5,FALSE),"NOT PUBLISHED")</f>
        <v>V1</v>
      </c>
      <c r="L49" s="142" t="str">
        <f>IFERROR(VLOOKUP(B46:B237,'RELATÓRIO ACC'!B:P,15,FALSE),"NOT PUBLISHED")</f>
        <v>15/05/2026</v>
      </c>
      <c r="M49" s="76" t="str">
        <f>IF(OR($D49="UTLS",$D49="GUAR",$D49="STIR",$D49="PUMP",$D49="SITE"),
   VLOOKUP($B49,'LOD 300 - SITE'!B:M,12,FALSE),
   VLOOKUP($B49,'LOD 300 - ADMN'!B:M,12,FALSE)
)</f>
        <v>V10</v>
      </c>
      <c r="N49" s="80">
        <f>IF(OR($D49="UTLS",$D49="GUAR",$D49="STIR",$D49="PUMP",$D49="SITE"),
   VLOOKUP($B49,'LOD 300 - SITE'!B:N,13,FALSE),
   VLOOKUP($B49,'LOD 300 - ADMN'!B:N,13,FALSE)
)</f>
        <v>45896</v>
      </c>
      <c r="O49" s="143" t="str">
        <f>IF(OR($D49="UTLS",$D49="GUAR",$D49="STIR",$D49="PUMP",$D49="SITE"),
   VLOOKUP($B49,'LOD 300 - SITE'!B:O,14,FALSE),
   VLOOKUP($B49,'LOD 300 - ADMN'!B:O,14,FALSE)
)</f>
        <v>R22</v>
      </c>
      <c r="P49" s="79" t="str">
        <f>IF(OR($D49="C345",$D49="C12A",$D49="DATA"),
   VLOOKUP($B49,'LOD 300 - COLO3'!B:M,12,FALSE),"N/A")</f>
        <v>N/A</v>
      </c>
      <c r="Q49" s="76" t="str">
        <f>IF(OR($D49="C345",$D49="C12A",$D49="DATA"),
   VLOOKUP($B49,'LOD 300 - COLO3'!B:N,13,FALSE),"N/A")</f>
        <v>N/A</v>
      </c>
      <c r="R49" s="76" t="str">
        <f>IF(OR($D49="C345",$D49="C12A",$D49="DATA"),
   VLOOKUP($B49,'LOD 300 - COLO3'!B:O,14,FALSE),"N/A")</f>
        <v>N/A</v>
      </c>
      <c r="S49" s="79" t="str">
        <f>IF(OR($D49="C345",$D49="C12A",$D49="DATA"),
   VLOOKUP($B49,'LOD 300 - COLO4'!B:M,12,FALSE),"N/A")</f>
        <v>N/A</v>
      </c>
      <c r="T49" s="76" t="str">
        <f>IF(OR($D49="C345",$D49="C12A",$D49="DATA"),
   VLOOKUP($B49,'LOD 300 - COLO4'!B:T,13,FALSE),"N/A")</f>
        <v>N/A</v>
      </c>
      <c r="U49" s="76" t="str">
        <f>IF(OR($D49="C345",$D49="C12A",$D49="DATA"),
   VLOOKUP($B49,'LOD 300 - COLO4'!B:U,17,FALSE),"N/A")</f>
        <v>N/A</v>
      </c>
      <c r="V49" s="126" t="s">
        <v>129</v>
      </c>
      <c r="W49" s="144" t="str">
        <f>IFERROR(VLOOKUP($B49,'LOD 300 - ADMN'!$B:S,18,FALSE),"N/A")</f>
        <v>N/A</v>
      </c>
      <c r="X49" s="122" t="str">
        <f>IFERROR(VLOOKUP($B49,'LOD 300 - ADMN'!$B:V,21,FALSE),"N/A")</f>
        <v>N/A</v>
      </c>
      <c r="Y49" s="122" t="str">
        <f>IFERROR(VLOOKUP($B49,'LOD 300 - ADMN'!$B:Y,24,FALSE),"N/A")</f>
        <v>N/A</v>
      </c>
      <c r="Z49" s="122" t="str">
        <f>IFERROR(VLOOKUP($B49,'LOD 300 - ADMN'!$B:AB,27,FALSE),"N/A")</f>
        <v>N/A</v>
      </c>
      <c r="AA49" s="122" t="str">
        <f>IFERROR(VLOOKUP($B49,'LOD 300 - ADMN'!$B:AE,30,FALSE),"N/A")</f>
        <v>N/A</v>
      </c>
      <c r="AB49" s="145" t="str">
        <f>IFERROR(VLOOKUP($B49,'LOD 300 - ADMN'!$B:AH,33,FALSE),"N/A")</f>
        <v>N/A</v>
      </c>
      <c r="AC49" s="145" t="str">
        <f>IFERROR(VLOOKUP($B49,'LOD 300 - ADMN'!$B:AK,36,FALSE),"N/A")</f>
        <v>N/A</v>
      </c>
      <c r="AD49" s="122" t="str">
        <f>IFERROR(VLOOKUP($B49,'LOD 300 - ADMN'!$B:AN,39,FALSE),"N/A")</f>
        <v>N/A</v>
      </c>
      <c r="AE49" s="122" t="str">
        <f>IFERROR(VLOOKUP($B49,'LOD 300 - ADMN'!$B:AQ,42,FALSE),"N/A")</f>
        <v>N/A</v>
      </c>
      <c r="AF49" s="122" t="str">
        <f>IFERROR(VLOOKUP($B49,'LOD 300 - ADMN'!$B:AT,45,FALSE),"N/A")</f>
        <v>N/A</v>
      </c>
      <c r="AG49" s="122" t="str">
        <f>IFERROR(VLOOKUP($B49,'LOD 300 - ADMN'!$B:AW,48,FALSE),"N/A")</f>
        <v>N/A</v>
      </c>
      <c r="AH49" s="122" t="str">
        <f>IFERROR(VLOOKUP($B49,'LOD 300 - ADMN'!$B:AZ,51,FALSE),"N/A")</f>
        <v>N/A</v>
      </c>
      <c r="AI49" s="122" t="str">
        <f>IFERROR(VLOOKUP($B49,'LOD 300 - ADMN'!$B:BC,54,FALSE),"N/A")</f>
        <v>N/A</v>
      </c>
      <c r="AJ49" s="87" t="str">
        <f>IFERROR(VLOOKUP($B49,'LOD 300 - ADMN'!$B:BF,57,FALSE),"N/A")</f>
        <v>N/A</v>
      </c>
      <c r="AK49" s="87" t="str">
        <f>IFERROR(VLOOKUP($B49,'LOD 300 - ADMN'!$B:EP,60,FALSE),"N/A")</f>
        <v>N/A</v>
      </c>
      <c r="AL49" s="87" t="str">
        <f>IFERROR(VLOOKUP($B49,'LOD 300 - ADMN'!$B:EQ,63,FALSE),"N/A")</f>
        <v>N/A</v>
      </c>
      <c r="AM49" s="87" t="str">
        <f>IFERROR(VLOOKUP($B49,'LOD 300 - ADMN'!$B:BO,66,FALSE),"N/A")</f>
        <v>N/A</v>
      </c>
      <c r="AN49" s="87" t="str">
        <f>IFERROR(VLOOKUP($B49,'LOD 300 - ADMN'!$B:BR,69,FALSE),"N/A")</f>
        <v>N/A</v>
      </c>
      <c r="AO49" s="87" t="str">
        <f>IFERROR(VLOOKUP($B49,'LOD 300 - ADMN'!$B:BU,72,FALSE),"N/A")</f>
        <v>N/A</v>
      </c>
      <c r="AP49" s="87" t="str">
        <f>IFERROR(VLOOKUP($B49,'LOD 300 - ADMN'!$B:BX,75,FALSE),"N/A")</f>
        <v>N/A</v>
      </c>
      <c r="AQ49" s="87" t="str">
        <f>IFERROR(VLOOKUP($B49,'LOD 300 - ADMN'!$B:CA,78,FALSE),"N/A")</f>
        <v>N/A</v>
      </c>
      <c r="AR49" s="87" t="str">
        <f>IFERROR(VLOOKUP($B49,'LOD 300 - ADMN'!$B:CD,81,FALSE),"N/A")</f>
        <v>N/A</v>
      </c>
      <c r="AS49" s="87" t="str">
        <f>IFERROR(VLOOKUP($B49,'LOD 300 - ADMN'!$B:CG,84,FALSE),"N/A")</f>
        <v>N/A</v>
      </c>
      <c r="AT49" s="87" t="str">
        <f>IFERROR(VLOOKUP($B49,'LOD 300 - ADMN'!$B:CJ,87,FALSE),"N/A")</f>
        <v>N/A</v>
      </c>
      <c r="AU49" s="88" t="str">
        <f>IFERROR(VLOOKUP($B49,'LOD 300 - ADMN'!$B:CM,90,FALSE),"N/A")</f>
        <v>N/A</v>
      </c>
      <c r="AV49" s="88" t="str">
        <f>IFERROR(VLOOKUP($B49,'LOD 300 - ADMN'!$B:CP,93,FALSE),"N/A")</f>
        <v>N/A</v>
      </c>
      <c r="AW49" s="88" t="str">
        <f>IFERROR(VLOOKUP($B49,'LOD 300 - ADMN'!$B:CS,96,FALSE),"N/A")</f>
        <v>N/A</v>
      </c>
      <c r="AX49" s="88" t="str">
        <f>IFERROR(VLOOKUP($B49,'LOD 300 - ADMN'!$B:CV,99,FALSE),"N/A")</f>
        <v>N/A</v>
      </c>
      <c r="AY49" s="88" t="str">
        <f>IFERROR(VLOOKUP($B49,'LOD 300 - ADMN'!$B:CY,102,FALSE),"N/A")</f>
        <v>N/A</v>
      </c>
      <c r="AZ49" s="88" t="str">
        <f>IFERROR(VLOOKUP($B49,'LOD 300 - ADMN'!$B:DB,105,FALSE),"N/A")</f>
        <v>N/A</v>
      </c>
      <c r="BA49" s="87" t="str">
        <f>IFERROR(VLOOKUP($B49,'LOD 300 - ADMN'!$B:DE,108,FALSE),"N/A")</f>
        <v>N/A</v>
      </c>
      <c r="BB49" s="87" t="str">
        <f>IFERROR(VLOOKUP($B49,'LOD 300 - ADMN'!$B:DH,111,FALSE),"N/A")</f>
        <v>N/A</v>
      </c>
      <c r="BC49" s="87" t="str">
        <f>IFERROR(VLOOKUP($B49,'LOD 300 - ADMN'!$B:DK,114,FALSE),"N/A")</f>
        <v>N/A</v>
      </c>
      <c r="BD49" s="87" t="str">
        <f>IFERROR(VLOOKUP($B49,'LOD 300 - ADMN'!$B:DN,117,FALSE),"N/A")</f>
        <v>N/A</v>
      </c>
      <c r="BE49" s="87" t="str">
        <f>IFERROR(VLOOKUP($B49,'LOD 300 - ADMN'!$B:DQ,120,FALSE),"N/A")</f>
        <v>N/A</v>
      </c>
      <c r="BF49" s="87" t="str">
        <f>IFERROR(VLOOKUP($B49,'LOD 300 - ADMN'!$B:DT,123,FALSE),"N/A")</f>
        <v>N/A</v>
      </c>
      <c r="BG49" s="87" t="str">
        <f>IFERROR(VLOOKUP($B49,'LOD 300 - ADMN'!$B:DW,126,FALSE),"N/A")</f>
        <v>N/A</v>
      </c>
      <c r="BH49" s="87" t="str">
        <f>IFERROR(VLOOKUP($B49,'LOD 300 - ADMN'!$B:DZ,129,FALSE),"N/A")</f>
        <v>N/A</v>
      </c>
      <c r="BI49" s="87" t="str">
        <f>IFERROR(VLOOKUP($B49,'LOD 300 - ADMN'!$B:EC,132,FALSE),"N/A")</f>
        <v>N/A</v>
      </c>
      <c r="BJ49" s="90" t="str">
        <f>IFERROR(__xludf.DUMMYFUNCTION("IFERROR(
  MAX(FILTER(X49:BI49, ISNUMBER(X49:BI49))),
  BI49
)"),"N/A")</f>
        <v>N/A</v>
      </c>
      <c r="BK49" s="91" t="str">
        <f>IFERROR(VLOOKUP($B49,'LOD 300 - COLO1'!$B:S,18,FALSE),"N/A")</f>
        <v>N/A</v>
      </c>
      <c r="BL49" s="92" t="str">
        <f>IFERROR(VLOOKUP($B49,'LOD 300 - COLO1'!$B:V,21,FALSE),"N/A")</f>
        <v>N/A</v>
      </c>
      <c r="BM49" s="92" t="str">
        <f>IFERROR(VLOOKUP($B49,'LOD 300 - COLO1'!$B:Y,24,FALSE),"N/A")</f>
        <v>N/A</v>
      </c>
      <c r="BN49" s="92" t="str">
        <f>IFERROR(VLOOKUP($B49,'LOD 300 - COLO1'!$B:AB,27,FALSE),"N/A")</f>
        <v>N/A</v>
      </c>
      <c r="BO49" s="92" t="str">
        <f>IFERROR(VLOOKUP($B49,'LOD 300 - COLO1'!$B:AE,30,FALSE),"N/A")</f>
        <v>N/A</v>
      </c>
      <c r="BP49" s="92" t="str">
        <f>IFERROR(VLOOKUP($B49,'LOD 300 - COLO1'!$B:AH,33,FALSE),"N/A")</f>
        <v>N/A</v>
      </c>
      <c r="BQ49" s="92" t="str">
        <f>IFERROR(VLOOKUP($B49,'LOD 300 - COLO1'!$B:AK,36,FALSE),"N/A")</f>
        <v>N/A</v>
      </c>
      <c r="BR49" s="92" t="str">
        <f>IFERROR(VLOOKUP($B49,'LOD 300 - COLO1'!$B:AN,39,FALSE),"N/A")</f>
        <v>N/A</v>
      </c>
      <c r="BS49" s="92" t="str">
        <f>IFERROR(VLOOKUP($B49,'LOD 300 - COLO1'!$B:AQ,42,FALSE),"N/A")</f>
        <v>N/A</v>
      </c>
      <c r="BT49" s="92" t="str">
        <f>IFERROR(VLOOKUP($B49,'LOD 300 - COLO1'!$B:AT,45,FALSE),"N/A")</f>
        <v>N/A</v>
      </c>
      <c r="BU49" s="92" t="str">
        <f>IFERROR(VLOOKUP($B49,'LOD 300 - COLO1'!$B:AW,48,FALSE),"N/A")</f>
        <v>N/A</v>
      </c>
      <c r="BV49" s="92" t="str">
        <f>IFERROR(VLOOKUP($B49,'LOD 300 - COLO1'!$B:AZ,51,FALSE),"N/A")</f>
        <v>N/A</v>
      </c>
      <c r="BW49" s="92" t="str">
        <f>IFERROR(VLOOKUP($B49,'LOD 300 - COLO1'!$B:BC,54,FALSE),"N/A")</f>
        <v>N/A</v>
      </c>
      <c r="BX49" s="94" t="str">
        <f>IFERROR(VLOOKUP($B49,'LOD 300 - COLO1'!$B:BF,57,FALSE),"N/A")</f>
        <v>N/A</v>
      </c>
      <c r="BY49" s="94" t="str">
        <f>IFERROR(VLOOKUP($B49,'LOD 300 - COLO1'!$B:BI,60,FALSE),"N/A")</f>
        <v>N/A</v>
      </c>
      <c r="BZ49" s="95" t="str">
        <f>IFERROR(VLOOKUP($B49,'LOD 300 - COLO1'!$B:BL,63,FALSE),"N/A")</f>
        <v>N/A</v>
      </c>
      <c r="CA49" s="86" t="str">
        <f>IFERROR(VLOOKUP($B49,'LOD 300 - COLO1'!$B:BO,66,FALSE),"N/A")</f>
        <v>N/A</v>
      </c>
      <c r="CB49" s="86" t="str">
        <f>IFERROR(VLOOKUP($B49,'LOD 300 - COLO1'!$B:BR,69,FALSE),"N/A")</f>
        <v>N/A</v>
      </c>
      <c r="CC49" s="86" t="str">
        <f>IFERROR(VLOOKUP($B49,'LOD 300 - COLO1'!$B:BU,72,FALSE),"N/A")</f>
        <v>N/A</v>
      </c>
      <c r="CD49" s="86" t="str">
        <f>IFERROR(VLOOKUP($B49,'LOD 300 - COLO1'!$B:BX,75,FALSE),"N/A")</f>
        <v>N/A</v>
      </c>
      <c r="CE49" s="86" t="str">
        <f>IFERROR(VLOOKUP($B49,'LOD 300 - COLO1'!$B:CA,78,FALSE),"N/A")</f>
        <v>N/A</v>
      </c>
      <c r="CF49" s="87" t="str">
        <f>IFERROR(VLOOKUP($B49,'LOD 300 - COLO1'!$B:CD,81,FALSE),"N/A")</f>
        <v>N/A</v>
      </c>
      <c r="CG49" s="86" t="str">
        <f>IFERROR(VLOOKUP($B49,'LOD 300 - COLO1'!$B:CG,84,FALSE),"N/A")</f>
        <v>N/A</v>
      </c>
      <c r="CH49" s="87" t="str">
        <f>IFERROR(VLOOKUP($B49,'LOD 300 - COLO1'!$B:CJ,87,FALSE),"N/A")</f>
        <v>N/A</v>
      </c>
      <c r="CI49" s="88" t="str">
        <f>IFERROR(VLOOKUP($B49,'LOD 300 - COLO1'!$B:CM,90,FALSE),"N/A")</f>
        <v>N/A</v>
      </c>
      <c r="CJ49" s="88" t="str">
        <f>IFERROR(VLOOKUP($B49,'LOD 300 - COLO1'!$B:CP,93,FALSE),"N/A")</f>
        <v>N/A</v>
      </c>
      <c r="CK49" s="88" t="str">
        <f>IFERROR(VLOOKUP($B49,'LOD 300 - COLO1'!$B:CS,96,FALSE),"N/A")</f>
        <v>N/A</v>
      </c>
      <c r="CL49" s="88" t="str">
        <f>IFERROR(VLOOKUP($B49,'LOD 300 - COLO1'!$B:CV,99,FALSE),"N/A")</f>
        <v>N/A</v>
      </c>
      <c r="CM49" s="88" t="str">
        <f>IFERROR(VLOOKUP($B49,'LOD 300 - COLO1'!$B:CY,102,FALSE),"N/A")</f>
        <v>N/A</v>
      </c>
      <c r="CN49" s="89" t="str">
        <f>IFERROR(VLOOKUP($B49,'LOD 300 - COLO1'!$B:DB,105,FALSE),"N/A")</f>
        <v>N/A</v>
      </c>
      <c r="CO49" s="87" t="str">
        <f>IFERROR(VLOOKUP($B49,'LOD 300 - COLO1'!$B:EE,108,FALSE),"N/A")</f>
        <v>N/A</v>
      </c>
      <c r="CP49" s="87" t="str">
        <f>IFERROR(VLOOKUP($B49,'LOD 300 - COLO1'!$B:EH,111,FALSE),"N/A")</f>
        <v>N/A</v>
      </c>
      <c r="CQ49" s="87" t="str">
        <f>IFERROR(VLOOKUP($B49,'LOD 300 - COLO1'!$B:EK,114,FALSE),"N/A")</f>
        <v>N/A</v>
      </c>
      <c r="CR49" s="87" t="str">
        <f>IFERROR(VLOOKUP($B49,'LOD 300 - COLO1'!$B:EN,117,FALSE),"N/A")</f>
        <v>N/A</v>
      </c>
      <c r="CS49" s="87" t="str">
        <f>IFERROR(VLOOKUP($B49,'LOD 300 - COLO1'!$B:EQ,120,FALSE),"N/A")</f>
        <v>N/A</v>
      </c>
      <c r="CT49" s="87" t="str">
        <f>IFERROR(VLOOKUP($B49,'LOD 300 - COLO1'!$B:ET,123,FALSE),"N/A")</f>
        <v>N/A</v>
      </c>
      <c r="CU49" s="87" t="str">
        <f>IFERROR(VLOOKUP($B49,'LOD 300 - COLO1'!$B:EW,126,FALSE),"N/A")</f>
        <v>N/A</v>
      </c>
      <c r="CV49" s="87" t="str">
        <f>IFERROR(VLOOKUP($B49,'LOD 300 - COLO1'!$B:EZ,129,FALSE),"N/A")</f>
        <v>N/A</v>
      </c>
      <c r="CW49" s="87" t="str">
        <f>IFERROR(VLOOKUP($B49,'LOD 300 - COLO1'!$B:FC,132,FALSE),"N/A")</f>
        <v>N/A</v>
      </c>
      <c r="CX49" s="96" t="str">
        <f>IFERROR(__xludf.DUMMYFUNCTION("IFERROR(
  MAX(FILTER(BK49:CW49, ISNUMBER(BK49:CW49))),
  CW49
)"),"N/A")</f>
        <v>N/A</v>
      </c>
      <c r="CY49" s="104" t="str">
        <f>IFERROR(VLOOKUP($B49,'LOD 300 - COLO2'!$B:S,18,FALSE),"N/A")</f>
        <v>N/A</v>
      </c>
      <c r="CZ49" s="117" t="str">
        <f>IFERROR(VLOOKUP($B49,'LOD 300 - COLO2'!$B:V,21,FALSE),"N/A")</f>
        <v>N/A</v>
      </c>
      <c r="DA49" s="117" t="str">
        <f>IFERROR(VLOOKUP($B49,'LOD 300 - COLO2'!$B:Y,24,FALSE),"N/A")</f>
        <v>N/A</v>
      </c>
      <c r="DB49" s="117" t="str">
        <f>IFERROR(VLOOKUP($B49,'LOD 300 - COLO2'!$B:AB,27,FALSE),"N/A")</f>
        <v>N/A</v>
      </c>
      <c r="DC49" s="92" t="str">
        <f>IFERROR(VLOOKUP($B49,'LOD 300 - COLO2'!$B:AE,30,FALSE),"N/A")</f>
        <v>N/A</v>
      </c>
      <c r="DD49" s="120" t="str">
        <f>IFERROR(VLOOKUP($B49,'LOD 300 - COLO2'!$B:AH,33,FALSE),"N/A")</f>
        <v>N/A</v>
      </c>
      <c r="DE49" s="117" t="str">
        <f>IFERROR(VLOOKUP($B49,'LOD 300 - COLO2'!$B:AK,36,FALSE),"N/A")</f>
        <v>N/A</v>
      </c>
      <c r="DF49" s="117" t="str">
        <f>IFERROR(VLOOKUP($B49,'LOD 300 - COLO2'!$B:AN,39,FALSE),"N/A")</f>
        <v>N/A</v>
      </c>
      <c r="DG49" s="119" t="str">
        <f>IFERROR(VLOOKUP($B49,'LOD 300 - COLO2'!$B:AQ,42,FALSE),"N/A")</f>
        <v>N/A</v>
      </c>
      <c r="DH49" s="87" t="str">
        <f>IFERROR(VLOOKUP($B49,'LOD 300 - COLO2'!$B:AT,45,FALSE),"N/A")</f>
        <v>N/A</v>
      </c>
      <c r="DI49" s="94" t="str">
        <f>IFERROR(VLOOKUP($B49,'LOD 300 - COLO2'!$B:AW,48,FALSE),"N/A")</f>
        <v>N/A</v>
      </c>
      <c r="DJ49" s="95" t="str">
        <f>IFERROR(VLOOKUP($B49,'LOD 300 - COLO2'!$B:AZ,51,FALSE),"N/A")</f>
        <v>N/A</v>
      </c>
      <c r="DK49" s="86" t="str">
        <f>IFERROR(VLOOKUP($B49,'LOD 300 - COLO2'!$B:BC,54,FALSE),"N/A")</f>
        <v>N/A</v>
      </c>
      <c r="DL49" s="86" t="str">
        <f>IFERROR(VLOOKUP($B49,'LOD 300 - COLO2'!$B:BF,57,FALSE),"N/A")</f>
        <v>N/A</v>
      </c>
      <c r="DM49" s="86" t="str">
        <f>IFERROR(VLOOKUP($B49,'LOD 300 - COLO2'!$B:BI,60,FALSE),"N/A")</f>
        <v>N/A</v>
      </c>
      <c r="DN49" s="86" t="str">
        <f>IFERROR(VLOOKUP($B49,'LOD 300 - COLO2'!$B:BL,63,FALSE),"N/A")</f>
        <v>N/A</v>
      </c>
      <c r="DO49" s="86" t="str">
        <f>IFERROR(VLOOKUP($B49,'LOD 300 - COLO2'!$B:BO,66,FALSE),"N/A")</f>
        <v>N/A</v>
      </c>
      <c r="DP49" s="87" t="str">
        <f>IFERROR(VLOOKUP($B49,'LOD 300 - COLO2'!$B:BR,69,FALSE),"N/A")</f>
        <v>N/A</v>
      </c>
      <c r="DQ49" s="87" t="str">
        <f>IFERROR(VLOOKUP($B49,'LOD 300 - COLO2'!$B:BU,72,FALSE),"N/A")</f>
        <v>N/A</v>
      </c>
      <c r="DR49" s="87" t="str">
        <f>IFERROR(VLOOKUP($B49,'LOD 300 - COLO2'!$B:BX,75,FALSE),"N/A")</f>
        <v>N/A</v>
      </c>
      <c r="DS49" s="98" t="str">
        <f>IFERROR(VLOOKUP($B49,'LOD 300 - COLO2'!$B:CA,78,FALSE),"N/A")</f>
        <v>N/A</v>
      </c>
      <c r="DT49" s="98" t="str">
        <f>IFERROR(VLOOKUP($B49,'LOD 300 - COLO2'!$B:CD,81,FALSE),"N/A")</f>
        <v>N/A</v>
      </c>
      <c r="DU49" s="98" t="str">
        <f>IFERROR(VLOOKUP($B49,'LOD 300 - COLO2'!$B:CG,84,FALSE),"N/A")</f>
        <v>N/A</v>
      </c>
      <c r="DV49" s="98" t="str">
        <f>IFERROR(VLOOKUP($B49,'LOD 300 - COLO2'!$B:CJ,87,FALSE),"N/A")</f>
        <v>N/A</v>
      </c>
      <c r="DW49" s="98" t="str">
        <f>IFERROR(VLOOKUP($B49,'LOD 300 - COLO2'!$B:CM,90,FALSE),"N/A")</f>
        <v>N/A</v>
      </c>
      <c r="DX49" s="98" t="str">
        <f>IFERROR(VLOOKUP($B49,'LOD 300 - COLO2'!$B:CP,93,FALSE),"N/A")</f>
        <v>N/A</v>
      </c>
      <c r="DY49" s="87" t="str">
        <f>IFERROR(VLOOKUP($B49,'LOD 300 - COLO2'!$B:CS,96,FALSE),"N/A")</f>
        <v>N/A</v>
      </c>
      <c r="DZ49" s="87" t="str">
        <f>IFERROR(VLOOKUP($B49,'LOD 300 - COLO2'!$B:CV,99,FALSE),"N/A")</f>
        <v>N/A</v>
      </c>
      <c r="EA49" s="87" t="str">
        <f>IFERROR(VLOOKUP($B49,'LOD 300 - COLO2'!$B:DB,105,FALSE),"N/A")</f>
        <v>N/A</v>
      </c>
      <c r="EB49" s="87" t="str">
        <f>IFERROR(VLOOKUP($B49,'LOD 300 - COLO2'!$B:DB,105,FALSE),"N/A")</f>
        <v>N/A</v>
      </c>
      <c r="EC49" s="87" t="str">
        <f>IFERROR(VLOOKUP($B49,'LOD 300 - COLO2'!$B:DE,108,FALSE),"N/A")</f>
        <v>N/A</v>
      </c>
      <c r="ED49" s="87" t="str">
        <f>IFERROR(VLOOKUP($B49,'LOD 300 - COLO2'!$B:DH,111,FALSE),"N/A")</f>
        <v>N/A</v>
      </c>
      <c r="EE49" s="87" t="str">
        <f>IFERROR(VLOOKUP($B49,'LOD 300 - COLO2'!$B:DK,114,FALSE),"N/A")</f>
        <v>N/A</v>
      </c>
      <c r="EF49" s="87" t="str">
        <f>IFERROR(VLOOKUP($B49,'LOD 300 - COLO2'!$B:DN,117,FALSE),"N/A")</f>
        <v>N/A</v>
      </c>
      <c r="EG49" s="87" t="str">
        <f>IFERROR(VLOOKUP($B49,'LOD 300 - COLO2'!$B:DQ,120,FALSE),"N/A")</f>
        <v>N/A</v>
      </c>
      <c r="EH49" s="99" t="str">
        <f>IFERROR(__xludf.DUMMYFUNCTION("IFERROR(
  MAX(FILTER(CZ49:EG49, ISNUMBER(CZ49:EG49))),
  EG49
)"),"N/A")</f>
        <v>N/A</v>
      </c>
      <c r="EI49" s="100" t="str">
        <f>IFERROR(VLOOKUP($B49,'LOD 300 - COLO3'!$B:R,17,FALSE),"N/A")</f>
        <v>N/A</v>
      </c>
      <c r="EJ49" s="127" t="str">
        <f>IFERROR(VLOOKUP($B49,'LOD 300 - COLO3'!$B:U,20,FALSE),"N/A")</f>
        <v>N/A</v>
      </c>
      <c r="EK49" s="127" t="str">
        <f>IFERROR(VLOOKUP($B49,'LOD 300 - COLO3'!$B:X,23,FALSE),"N/A")</f>
        <v>N/A</v>
      </c>
      <c r="EL49" s="127" t="str">
        <f>IFERROR(VLOOKUP($B49,'LOD 300 - COLO3'!$B:AA,26,FALSE),"N/A")</f>
        <v>N/A</v>
      </c>
      <c r="EM49" s="127" t="str">
        <f>IFERROR(VLOOKUP($B49,'LOD 300 - COLO3'!$B:AD,29,FALSE),"N/A")</f>
        <v>N/A</v>
      </c>
      <c r="EN49" s="127" t="str">
        <f>IFERROR(VLOOKUP($B49,'LOD 300 - COLO3'!$B:AG,32,FALSE),"N/A")</f>
        <v>N/A</v>
      </c>
      <c r="EO49" s="127" t="str">
        <f>IFERROR(VLOOKUP($B49,'LOD 300 - COLO3'!$B:AJ,35,FALSE),"N/A")</f>
        <v>N/A</v>
      </c>
      <c r="EP49" s="100" t="str">
        <f>IFERROR(VLOOKUP($B49,'LOD 300 - COLO3'!$B:AM,38,FALSE),"N/A")</f>
        <v>N/A</v>
      </c>
      <c r="EQ49" s="100" t="str">
        <f>IFERROR(VLOOKUP($B49,'LOD 300 - COLO3'!$B:AP,41,FALSE),"N/A")</f>
        <v>N/A</v>
      </c>
      <c r="ER49" s="100" t="str">
        <f>IFERROR(VLOOKUP($B49,'LOD 300 - COLO3'!$B:AS,44,FALSE),"N/A")</f>
        <v>N/A</v>
      </c>
      <c r="ES49" s="100" t="str">
        <f>IFERROR(VLOOKUP($B49,'LOD 300 - COLO3'!$B:AV,47,FALSE),"N/A")</f>
        <v>N/A</v>
      </c>
      <c r="ET49" s="100" t="str">
        <f>IFERROR(VLOOKUP($B49,'LOD 300 - COLO3'!$B:AY,50,FALSE),"N/A")</f>
        <v>N/A</v>
      </c>
      <c r="EU49" s="100" t="str">
        <f>IFERROR(VLOOKUP($B49,'LOD 300 - COLO3'!$B:BB,53,FALSE),"N/A")</f>
        <v>N/A</v>
      </c>
      <c r="EV49" s="100" t="str">
        <f>IFERROR(VLOOKUP($B49,'LOD 300 - COLO3'!$B:BE,56,FALSE),"N/A")</f>
        <v>N/A</v>
      </c>
      <c r="EW49" s="100" t="str">
        <f>IFERROR(VLOOKUP($B49,'LOD 300 - COLO3'!$B:BL,59,FALSE),"N/A")</f>
        <v>N/A</v>
      </c>
      <c r="EX49" s="100" t="str">
        <f>IFERROR(VLOOKUP($B49,'LOD 300 - COLO3'!$B:BO,62,FALSE),"N/A")</f>
        <v>N/A</v>
      </c>
      <c r="EY49" s="103" t="str">
        <f>IFERROR(__xludf.DUMMYFUNCTION("IFERROR(
  MAX(FILTER(EI49:EX49, ISNUMBER(EI49:EX49))),
  EX49
)"),"N/A")</f>
        <v>N/A</v>
      </c>
      <c r="EZ49" s="104" t="str">
        <f>IFERROR(VLOOKUP($B49,'LOD 300 - COLO4'!$B:BT,17,FALSE),"N/A")</f>
        <v>N/A</v>
      </c>
      <c r="FA49" s="103" t="str">
        <f>IFERROR(__xludf.DUMMYFUNCTION("IFERROR(
  MAX(FILTER(EZ49, ISNUMBER(EZ49))),
  EZ49
)"),"N/A")</f>
        <v>N/A</v>
      </c>
      <c r="FB49" s="121">
        <f>IFERROR(VLOOKUP($B49,'LOD 300 - SITE'!$B:S,18,FALSE),"N/A")</f>
        <v>0.84</v>
      </c>
      <c r="FC49" s="122">
        <f>IFERROR(VLOOKUP($B49,'LOD 300 - SITE'!$B:V,21,FALSE),"N/A")</f>
        <v>1</v>
      </c>
      <c r="FD49" s="122">
        <f>IFERROR(VLOOKUP($B49,'LOD 300 - SITE'!$B:Y,24,FALSE),"N/A")</f>
        <v>1</v>
      </c>
      <c r="FE49" s="122">
        <f>IFERROR(VLOOKUP($B49,'LOD 300 - SITE'!$B:AB,27,FALSE),"N/A")</f>
        <v>1</v>
      </c>
      <c r="FF49" s="122">
        <f>IFERROR(VLOOKUP($B49,'LOD 300 - SITE'!$B:AE,30,FALSE),"N/A")</f>
        <v>1</v>
      </c>
      <c r="FG49" s="122">
        <f>IFERROR(VLOOKUP($B49,'LOD 300 - SITE'!$B:AH,33,FALSE),"N/A")</f>
        <v>1</v>
      </c>
      <c r="FH49" s="122">
        <f>IFERROR(VLOOKUP($B49,'LOD 300 - SITE'!$B:AK,36,FALSE),"N/A")</f>
        <v>1</v>
      </c>
      <c r="FI49" s="122">
        <f>IFERROR(VLOOKUP($B49,'LOD 300 - SITE'!$B:AN,39,FALSE),"N/A")</f>
        <v>1</v>
      </c>
      <c r="FJ49" s="122">
        <f>IFERROR(VLOOKUP($B49,'LOD 300 - SITE'!$B:AQ,42,FALSE),"N/A")</f>
        <v>1</v>
      </c>
      <c r="FK49" s="122">
        <f>IFERROR(VLOOKUP($B49,'LOD 300 - SITE'!$B:AT,45,FALSE),"N/A")</f>
        <v>1</v>
      </c>
      <c r="FL49" s="123">
        <f>IFERROR(VLOOKUP($B49,'LOD 300 - SITE'!$B:AW,48,FALSE),"N/A")</f>
        <v>1</v>
      </c>
      <c r="FM49" s="87">
        <f>IFERROR(VLOOKUP($B49,'LOD 300 - SITE'!$B:AZ,51,FALSE),"N/A")</f>
        <v>1</v>
      </c>
      <c r="FN49" s="94">
        <f>IFERROR(VLOOKUP($B49,'LOD 300 - SITE'!$B:BC,54,FALSE),"N/A")</f>
        <v>1</v>
      </c>
      <c r="FO49" s="95">
        <f>IFERROR(VLOOKUP($B49,'LOD 300 - SITE'!$B:BF,57,FALSE),"N/A")</f>
        <v>1</v>
      </c>
      <c r="FP49" s="86">
        <f>IFERROR(VLOOKUP($B49,'LOD 300 - SITE'!$B:BI,60,FALSE),"N/A")</f>
        <v>1</v>
      </c>
      <c r="FQ49" s="86">
        <f>IFERROR(VLOOKUP($B49,'LOD 300 - SITE'!$B:BL,63,FALSE),"N/A")</f>
        <v>1</v>
      </c>
      <c r="FR49" s="86">
        <f>IFERROR(VLOOKUP($B49,'LOD 300 - SITE'!$B:BO,66,FALSE),"N/A")</f>
        <v>1</v>
      </c>
      <c r="FS49" s="86">
        <f>IFERROR(VLOOKUP($B49,'LOD 300 - SITE'!$B:BR,69,FALSE),"N/A")</f>
        <v>1</v>
      </c>
      <c r="FT49" s="86">
        <f>IFERROR(VLOOKUP($B49,'LOD 300 - SITE'!$B:BU,72,FALSE),"N/A")</f>
        <v>1</v>
      </c>
      <c r="FU49" s="86">
        <f>IFERROR(VLOOKUP($B49,'LOD 300 - SITE'!$B:BX,75,FALSE),"N/A")</f>
        <v>1</v>
      </c>
      <c r="FV49" s="86">
        <f>IFERROR(VLOOKUP($B49,'LOD 300 - SITE'!$B:CA,78,FALSE),"N/A")</f>
        <v>1</v>
      </c>
      <c r="FW49" s="87">
        <f>IFERROR(VLOOKUP($B49,'LOD 300 - SITE'!$B:CD,81,FALSE),"N/A")</f>
        <v>1</v>
      </c>
      <c r="FX49" s="108">
        <f>IFERROR(VLOOKUP($B49,'LOD 300 - SITE'!$B:CG,84,FALSE),"N/A")</f>
        <v>1</v>
      </c>
      <c r="FY49" s="108">
        <f>IFERROR(VLOOKUP($B49,'LOD 300 - SITE'!$B:CJ,87,FALSE),"N/A")</f>
        <v>1</v>
      </c>
      <c r="FZ49" s="108">
        <f>IFERROR(VLOOKUP($B49,'LOD 300 - SITE'!$B:CM,90,FALSE),"N/A")</f>
        <v>1</v>
      </c>
      <c r="GA49" s="108">
        <f>IFERROR(VLOOKUP($B49,'LOD 300 - SITE'!$B:CP,93,FALSE),"N/A")</f>
        <v>1</v>
      </c>
      <c r="GB49" s="108">
        <f>IFERROR(VLOOKUP($B49,'LOD 300 - SITE'!$B:CS,96,FALSE),"N/A")</f>
        <v>1</v>
      </c>
      <c r="GC49" s="109">
        <f>IFERROR(VLOOKUP($B49,'LOD 300 - SITE'!$B:CV,99,FALSE),"N/A")</f>
        <v>1</v>
      </c>
      <c r="GD49" s="87">
        <f>IFERROR(VLOOKUP($B49,'LOD 300 - SITE'!$B:CY,102,FALSE),"N/A")</f>
        <v>1</v>
      </c>
      <c r="GE49" s="87">
        <f>IFERROR(VLOOKUP($B49,'LOD 300 - SITE'!$B:DB,105,FALSE),"N/A")</f>
        <v>1</v>
      </c>
      <c r="GF49" s="87">
        <f>IFERROR(VLOOKUP($B49,'LOD 300 - SITE'!$B:DE,108,FALSE),"N/A")</f>
        <v>1</v>
      </c>
      <c r="GG49" s="87">
        <f>IFERROR(VLOOKUP($B49,'LOD 300 - SITE'!$B:DH,111,FALSE),"N/A")</f>
        <v>1</v>
      </c>
      <c r="GH49" s="87">
        <f>IFERROR(VLOOKUP($B49,'LOD 300 - SITE'!$B:DK,114,FALSE),"N/A")</f>
        <v>1</v>
      </c>
      <c r="GI49" s="87">
        <f>IFERROR(VLOOKUP($B49,'LOD 300 - SITE'!$B:DN,117,FALSE),"N/A")</f>
        <v>1</v>
      </c>
      <c r="GJ49" s="87">
        <f>IFERROR(VLOOKUP($B49,'LOD 300 - SITE'!$B:DQ,120,FALSE),"N/A")</f>
        <v>1</v>
      </c>
      <c r="GK49" s="87">
        <f>IFERROR(VLOOKUP($B49,'LOD 300 - SITE'!$B:DT,123,FALSE),"N/A")</f>
        <v>1</v>
      </c>
      <c r="GL49" s="87">
        <f>IFERROR(VLOOKUP($B49,'LOD 300 - SITE'!$B:DW,126,FALSE),"N/A")</f>
        <v>1</v>
      </c>
      <c r="GM49" s="110">
        <f>IFERROR(__xludf.DUMMYFUNCTION("IFERROR(
  MAX(FILTER(FB49:GL49, ISNUMBER(FB49:GL49))),
  GL49
)"),1.0)</f>
        <v>1</v>
      </c>
      <c r="GN49" s="135"/>
      <c r="GO49" s="135"/>
      <c r="GP49" s="135"/>
    </row>
    <row r="50" ht="15.0" customHeight="1" outlineLevel="1">
      <c r="A50" s="60">
        <v>53.0</v>
      </c>
      <c r="B50" s="140" t="s">
        <v>204</v>
      </c>
      <c r="C50" s="70" t="s">
        <v>205</v>
      </c>
      <c r="D50" s="71" t="s">
        <v>85</v>
      </c>
      <c r="E50" s="146" t="s">
        <v>180</v>
      </c>
      <c r="F50" s="13">
        <v>1114.0</v>
      </c>
      <c r="G50" s="139" t="s">
        <v>180</v>
      </c>
      <c r="H50" s="139">
        <v>1114.0</v>
      </c>
      <c r="I50" s="74" t="str">
        <f>IFERROR(VLOOKUP(C47:C189,'R22 RELATÓRIO ACC'!B:F,5,FALSE),"NOT PUBLISHED")</f>
        <v>V20</v>
      </c>
      <c r="J50" s="74" t="str">
        <f>IFERROR(VLOOKUP(C47:C189,'R22 RELATÓRIO ACC'!B:P,15,FALSE),"NOT PUBLISHED")</f>
        <v>05/05/2026</v>
      </c>
      <c r="K50" s="141" t="str">
        <f>IFERROR(VLOOKUP(B47:B238,'RELATÓRIO ACC'!B:F,5,FALSE),"NOT PUBLISHED")</f>
        <v>V2</v>
      </c>
      <c r="L50" s="142" t="str">
        <f>IFERROR(VLOOKUP(B47:B238,'RELATÓRIO ACC'!B:P,15,FALSE),"NOT PUBLISHED")</f>
        <v>12/07/2026</v>
      </c>
      <c r="M50" s="76" t="str">
        <f>IF(OR($D50="UTLS",$D50="GUAR",$D50="STIR",$D50="PUMP",$D50="SITE"),
   VLOOKUP($B50,'LOD 300 - SITE'!B:M,12,FALSE),
   VLOOKUP($B50,'LOD 300 - ADMN'!B:M,12,FALSE)
)</f>
        <v>V13</v>
      </c>
      <c r="N50" s="77" t="str">
        <f>IF(OR($D50="UTLS",$D50="GUAR",$D50="STIR",$D50="PUMP",$D50="SITE"),
   VLOOKUP($B50,'LOD 300 - SITE'!B:N,13,FALSE),
   VLOOKUP($B50,'LOD 300 - ADMN'!B:N,13,FALSE)
)</f>
        <v>17/11/2025</v>
      </c>
      <c r="O50" s="78" t="str">
        <f>IF(OR($D50="UTLS",$D50="GUAR",$D50="STIR",$D50="PUMP",$D50="SITE"),
   VLOOKUP($B50,'LOD 300 - SITE'!B:O,14,FALSE),
   VLOOKUP($B50,'LOD 300 - ADMN'!B:O,14,FALSE)
)</f>
        <v>R22</v>
      </c>
      <c r="P50" s="79" t="str">
        <f>IF(OR($D50="C345",$D50="C12A",$D50="DATA"),
   VLOOKUP($B50,'LOD 300 - COLO3'!B:M,12,FALSE),"N/A")</f>
        <v>V18</v>
      </c>
      <c r="Q50" s="77" t="str">
        <f>IF(OR($D50="C345",$D50="C12A",$D50="DATA"),
   VLOOKUP($B50,'LOD 300 - COLO3'!B:N,13,FALSE),"N/A")</f>
        <v>26/03/2026</v>
      </c>
      <c r="R50" s="76" t="str">
        <f>IF(OR($D50="C345",$D50="C12A",$D50="DATA"),
   VLOOKUP($B50,'LOD 300 - COLO3'!B:O,14,FALSE),"N/A")</f>
        <v>R22</v>
      </c>
      <c r="S50" s="79" t="str">
        <f>IF(OR($D50="C345",$D50="C12A",$D50="DATA"),
   VLOOKUP($B50,'LOD 300 - COLO4'!B:M,12,FALSE),"N/A")</f>
        <v>N/A</v>
      </c>
      <c r="T50" s="76" t="str">
        <f>IF(OR($D50="C345",$D50="C12A",$D50="DATA"),
   VLOOKUP($B50,'LOD 300 - COLO4'!B:T,13,FALSE),"N/A")</f>
        <v>N/A</v>
      </c>
      <c r="U50" s="81">
        <f>IF(OR($D50="C345",$D50="C12A",$D50="DATA"),
   VLOOKUP($B50,'LOD 300 - COLO4'!B:U,17,FALSE),"N/A")</f>
        <v>0</v>
      </c>
      <c r="V50" s="148" t="s">
        <v>87</v>
      </c>
      <c r="W50" s="144">
        <f>IFERROR(VLOOKUP($B50,'LOD 300 - ADMN'!$B:S,18,FALSE),"N/A")</f>
        <v>0.63</v>
      </c>
      <c r="X50" s="122">
        <f>IFERROR(VLOOKUP($B50,'LOD 300 - ADMN'!$B:V,21,FALSE),"N/A")</f>
        <v>0.93</v>
      </c>
      <c r="Y50" s="122">
        <f>IFERROR(VLOOKUP($B50,'LOD 300 - ADMN'!$B:Y,24,FALSE),"N/A")</f>
        <v>0.93</v>
      </c>
      <c r="Z50" s="122">
        <f>IFERROR(VLOOKUP($B50,'LOD 300 - ADMN'!$B:AB,27,FALSE),"N/A")</f>
        <v>1</v>
      </c>
      <c r="AA50" s="122">
        <f>IFERROR(VLOOKUP($B50,'LOD 300 - ADMN'!$B:AE,30,FALSE),"N/A")</f>
        <v>1</v>
      </c>
      <c r="AB50" s="145">
        <f>IFERROR(VLOOKUP($B50,'LOD 300 - ADMN'!$B:AH,33,FALSE),"N/A")</f>
        <v>1</v>
      </c>
      <c r="AC50" s="145">
        <f>IFERROR(VLOOKUP($B50,'LOD 300 - ADMN'!$B:AK,36,FALSE),"N/A")</f>
        <v>1</v>
      </c>
      <c r="AD50" s="122">
        <f>IFERROR(VLOOKUP($B50,'LOD 300 - ADMN'!$B:AN,39,FALSE),"N/A")</f>
        <v>1</v>
      </c>
      <c r="AE50" s="122">
        <f>IFERROR(VLOOKUP($B50,'LOD 300 - ADMN'!$B:AQ,42,FALSE),"N/A")</f>
        <v>1</v>
      </c>
      <c r="AF50" s="122">
        <f>IFERROR(VLOOKUP($B50,'LOD 300 - ADMN'!$B:AT,45,FALSE),"N/A")</f>
        <v>1</v>
      </c>
      <c r="AG50" s="122">
        <f>IFERROR(VLOOKUP($B50,'LOD 300 - ADMN'!$B:AW,48,FALSE),"N/A")</f>
        <v>1</v>
      </c>
      <c r="AH50" s="122">
        <f>IFERROR(VLOOKUP($B50,'LOD 300 - ADMN'!$B:AZ,51,FALSE),"N/A")</f>
        <v>1</v>
      </c>
      <c r="AI50" s="122">
        <f>IFERROR(VLOOKUP($B50,'LOD 300 - ADMN'!$B:BC,54,FALSE),"N/A")</f>
        <v>1</v>
      </c>
      <c r="AJ50" s="87">
        <f>IFERROR(VLOOKUP($B50,'LOD 300 - ADMN'!$B:BF,57,FALSE),"N/A")</f>
        <v>1</v>
      </c>
      <c r="AK50" s="87">
        <f>IFERROR(VLOOKUP($B50,'LOD 300 - ADMN'!$B:EP,60,FALSE),"N/A")</f>
        <v>1</v>
      </c>
      <c r="AL50" s="87">
        <f>IFERROR(VLOOKUP($B50,'LOD 300 - ADMN'!$B:EQ,63,FALSE),"N/A")</f>
        <v>1</v>
      </c>
      <c r="AM50" s="87">
        <f>IFERROR(VLOOKUP($B50,'LOD 300 - ADMN'!$B:BO,66,FALSE),"N/A")</f>
        <v>1</v>
      </c>
      <c r="AN50" s="87">
        <f>IFERROR(VLOOKUP($B50,'LOD 300 - ADMN'!$B:BR,69,FALSE),"N/A")</f>
        <v>1</v>
      </c>
      <c r="AO50" s="87">
        <f>IFERROR(VLOOKUP($B50,'LOD 300 - ADMN'!$B:BU,72,FALSE),"N/A")</f>
        <v>1</v>
      </c>
      <c r="AP50" s="87">
        <f>IFERROR(VLOOKUP($B50,'LOD 300 - ADMN'!$B:BX,75,FALSE),"N/A")</f>
        <v>1</v>
      </c>
      <c r="AQ50" s="87">
        <f>IFERROR(VLOOKUP($B50,'LOD 300 - ADMN'!$B:CA,78,FALSE),"N/A")</f>
        <v>1</v>
      </c>
      <c r="AR50" s="87">
        <f>IFERROR(VLOOKUP($B50,'LOD 300 - ADMN'!$B:CD,81,FALSE),"N/A")</f>
        <v>1</v>
      </c>
      <c r="AS50" s="87">
        <f>IFERROR(VLOOKUP($B50,'LOD 300 - ADMN'!$B:CG,84,FALSE),"N/A")</f>
        <v>1</v>
      </c>
      <c r="AT50" s="87">
        <f>IFERROR(VLOOKUP($B50,'LOD 300 - ADMN'!$B:CJ,87,FALSE),"N/A")</f>
        <v>1</v>
      </c>
      <c r="AU50" s="88">
        <f>IFERROR(VLOOKUP($B50,'LOD 300 - ADMN'!$B:CM,90,FALSE),"N/A")</f>
        <v>1</v>
      </c>
      <c r="AV50" s="88">
        <f>IFERROR(VLOOKUP($B50,'LOD 300 - ADMN'!$B:CP,93,FALSE),"N/A")</f>
        <v>1</v>
      </c>
      <c r="AW50" s="88">
        <f>IFERROR(VLOOKUP($B50,'LOD 300 - ADMN'!$B:CS,96,FALSE),"N/A")</f>
        <v>1</v>
      </c>
      <c r="AX50" s="88">
        <f>IFERROR(VLOOKUP($B50,'LOD 300 - ADMN'!$B:CV,99,FALSE),"N/A")</f>
        <v>1</v>
      </c>
      <c r="AY50" s="88">
        <f>IFERROR(VLOOKUP($B50,'LOD 300 - ADMN'!$B:CY,102,FALSE),"N/A")</f>
        <v>1</v>
      </c>
      <c r="AZ50" s="88">
        <f>IFERROR(VLOOKUP($B50,'LOD 300 - ADMN'!$B:DB,105,FALSE),"N/A")</f>
        <v>1</v>
      </c>
      <c r="BA50" s="87">
        <f>IFERROR(VLOOKUP($B50,'LOD 300 - ADMN'!$B:DE,108,FALSE),"N/A")</f>
        <v>1</v>
      </c>
      <c r="BB50" s="87">
        <f>IFERROR(VLOOKUP($B50,'LOD 300 - ADMN'!$B:DH,111,FALSE),"N/A")</f>
        <v>1</v>
      </c>
      <c r="BC50" s="87">
        <f>IFERROR(VLOOKUP($B50,'LOD 300 - ADMN'!$B:DK,114,FALSE),"N/A")</f>
        <v>1</v>
      </c>
      <c r="BD50" s="87">
        <f>IFERROR(VLOOKUP($B50,'LOD 300 - ADMN'!$B:DN,117,FALSE),"N/A")</f>
        <v>1</v>
      </c>
      <c r="BE50" s="87">
        <f>IFERROR(VLOOKUP($B50,'LOD 300 - ADMN'!$B:DQ,120,FALSE),"N/A")</f>
        <v>1</v>
      </c>
      <c r="BF50" s="87">
        <f>IFERROR(VLOOKUP($B50,'LOD 300 - ADMN'!$B:DT,123,FALSE),"N/A")</f>
        <v>1</v>
      </c>
      <c r="BG50" s="87">
        <f>IFERROR(VLOOKUP($B50,'LOD 300 - ADMN'!$B:DW,126,FALSE),"N/A")</f>
        <v>1</v>
      </c>
      <c r="BH50" s="87">
        <f>IFERROR(VLOOKUP($B50,'LOD 300 - ADMN'!$B:DZ,129,FALSE),"N/A")</f>
        <v>1</v>
      </c>
      <c r="BI50" s="87">
        <f>IFERROR(VLOOKUP($B50,'LOD 300 - ADMN'!$B:EC,132,FALSE),"N/A")</f>
        <v>1</v>
      </c>
      <c r="BJ50" s="90">
        <f>IFERROR(__xludf.DUMMYFUNCTION("IFERROR(
  MAX(FILTER(X50:BI50, ISNUMBER(X50:BI50))),
  BI50
)"),1.0)</f>
        <v>1</v>
      </c>
      <c r="BK50" s="91">
        <f>IFERROR(VLOOKUP($B50,'LOD 300 - COLO1'!$B:S,18,FALSE),"N/A")</f>
        <v>0.69</v>
      </c>
      <c r="BL50" s="92">
        <f>IFERROR(VLOOKUP($B50,'LOD 300 - COLO1'!$B:V,21,FALSE),"N/A")</f>
        <v>0.87</v>
      </c>
      <c r="BM50" s="92">
        <f>IFERROR(VLOOKUP($B50,'LOD 300 - COLO1'!$B:Y,24,FALSE),"N/A")</f>
        <v>1</v>
      </c>
      <c r="BN50" s="92">
        <f>IFERROR(VLOOKUP($B50,'LOD 300 - COLO1'!$B:AB,27,FALSE),"N/A")</f>
        <v>1</v>
      </c>
      <c r="BO50" s="92">
        <f>IFERROR(VLOOKUP($B50,'LOD 300 - COLO1'!$B:AE,30,FALSE),"N/A")</f>
        <v>1</v>
      </c>
      <c r="BP50" s="92">
        <f>IFERROR(VLOOKUP($B50,'LOD 300 - COLO1'!$B:AH,33,FALSE),"N/A")</f>
        <v>1</v>
      </c>
      <c r="BQ50" s="92">
        <f>IFERROR(VLOOKUP($B50,'LOD 300 - COLO1'!$B:AK,36,FALSE),"N/A")</f>
        <v>1</v>
      </c>
      <c r="BR50" s="92">
        <f>IFERROR(VLOOKUP($B50,'LOD 300 - COLO1'!$B:AN,39,FALSE),"N/A")</f>
        <v>1</v>
      </c>
      <c r="BS50" s="92">
        <f>IFERROR(VLOOKUP($B50,'LOD 300 - COLO1'!$B:AQ,42,FALSE),"N/A")</f>
        <v>1</v>
      </c>
      <c r="BT50" s="92">
        <f>IFERROR(VLOOKUP($B50,'LOD 300 - COLO1'!$B:AT,45,FALSE),"N/A")</f>
        <v>1</v>
      </c>
      <c r="BU50" s="92">
        <f>IFERROR(VLOOKUP($B50,'LOD 300 - COLO1'!$B:AW,48,FALSE),"N/A")</f>
        <v>1</v>
      </c>
      <c r="BV50" s="92">
        <f>IFERROR(VLOOKUP($B50,'LOD 300 - COLO1'!$B:AZ,51,FALSE),"N/A")</f>
        <v>1</v>
      </c>
      <c r="BW50" s="92">
        <f>IFERROR(VLOOKUP($B50,'LOD 300 - COLO1'!$B:BC,54,FALSE),"N/A")</f>
        <v>1</v>
      </c>
      <c r="BX50" s="94">
        <f>IFERROR(VLOOKUP($B50,'LOD 300 - COLO1'!$B:BF,57,FALSE),"N/A")</f>
        <v>1</v>
      </c>
      <c r="BY50" s="94">
        <f>IFERROR(VLOOKUP($B50,'LOD 300 - COLO1'!$B:BI,60,FALSE),"N/A")</f>
        <v>1</v>
      </c>
      <c r="BZ50" s="95">
        <f>IFERROR(VLOOKUP($B50,'LOD 300 - COLO1'!$B:BL,63,FALSE),"N/A")</f>
        <v>1</v>
      </c>
      <c r="CA50" s="86">
        <f>IFERROR(VLOOKUP($B50,'LOD 300 - COLO1'!$B:BO,66,FALSE),"N/A")</f>
        <v>1</v>
      </c>
      <c r="CB50" s="86">
        <f>IFERROR(VLOOKUP($B50,'LOD 300 - COLO1'!$B:BR,69,FALSE),"N/A")</f>
        <v>1</v>
      </c>
      <c r="CC50" s="86">
        <f>IFERROR(VLOOKUP($B50,'LOD 300 - COLO1'!$B:BU,72,FALSE),"N/A")</f>
        <v>1</v>
      </c>
      <c r="CD50" s="86">
        <f>IFERROR(VLOOKUP($B50,'LOD 300 - COLO1'!$B:BX,75,FALSE),"N/A")</f>
        <v>1</v>
      </c>
      <c r="CE50" s="86">
        <f>IFERROR(VLOOKUP($B50,'LOD 300 - COLO1'!$B:CA,78,FALSE),"N/A")</f>
        <v>1</v>
      </c>
      <c r="CF50" s="87">
        <f>IFERROR(VLOOKUP($B50,'LOD 300 - COLO1'!$B:CD,81,FALSE),"N/A")</f>
        <v>1</v>
      </c>
      <c r="CG50" s="86">
        <f>IFERROR(VLOOKUP($B50,'LOD 300 - COLO1'!$B:CG,84,FALSE),"N/A")</f>
        <v>1</v>
      </c>
      <c r="CH50" s="87">
        <f>IFERROR(VLOOKUP($B50,'LOD 300 - COLO1'!$B:CJ,87,FALSE),"N/A")</f>
        <v>1</v>
      </c>
      <c r="CI50" s="88">
        <f>IFERROR(VLOOKUP($B50,'LOD 300 - COLO1'!$B:CM,90,FALSE),"N/A")</f>
        <v>1</v>
      </c>
      <c r="CJ50" s="88">
        <f>IFERROR(VLOOKUP($B50,'LOD 300 - COLO1'!$B:CP,93,FALSE),"N/A")</f>
        <v>1</v>
      </c>
      <c r="CK50" s="88">
        <f>IFERROR(VLOOKUP($B50,'LOD 300 - COLO1'!$B:CS,96,FALSE),"N/A")</f>
        <v>1</v>
      </c>
      <c r="CL50" s="88">
        <f>IFERROR(VLOOKUP($B50,'LOD 300 - COLO1'!$B:CV,99,FALSE),"N/A")</f>
        <v>1</v>
      </c>
      <c r="CM50" s="88">
        <f>IFERROR(VLOOKUP($B50,'LOD 300 - COLO1'!$B:CY,102,FALSE),"N/A")</f>
        <v>1</v>
      </c>
      <c r="CN50" s="89">
        <f>IFERROR(VLOOKUP($B50,'LOD 300 - COLO1'!$B:DB,105,FALSE),"N/A")</f>
        <v>1</v>
      </c>
      <c r="CO50" s="87">
        <f>IFERROR(VLOOKUP($B50,'LOD 300 - COLO1'!$B:EE,108,FALSE),"N/A")</f>
        <v>1</v>
      </c>
      <c r="CP50" s="87">
        <f>IFERROR(VLOOKUP($B50,'LOD 300 - COLO1'!$B:EH,111,FALSE),"N/A")</f>
        <v>1</v>
      </c>
      <c r="CQ50" s="87">
        <f>IFERROR(VLOOKUP($B50,'LOD 300 - COLO1'!$B:EK,114,FALSE),"N/A")</f>
        <v>1</v>
      </c>
      <c r="CR50" s="87">
        <f>IFERROR(VLOOKUP($B50,'LOD 300 - COLO1'!$B:EN,117,FALSE),"N/A")</f>
        <v>1</v>
      </c>
      <c r="CS50" s="87">
        <f>IFERROR(VLOOKUP($B50,'LOD 300 - COLO1'!$B:EQ,120,FALSE),"N/A")</f>
        <v>1</v>
      </c>
      <c r="CT50" s="87">
        <f>IFERROR(VLOOKUP($B50,'LOD 300 - COLO1'!$B:ET,123,FALSE),"N/A")</f>
        <v>1</v>
      </c>
      <c r="CU50" s="87">
        <f>IFERROR(VLOOKUP($B50,'LOD 300 - COLO1'!$B:EW,126,FALSE),"N/A")</f>
        <v>1</v>
      </c>
      <c r="CV50" s="87">
        <f>IFERROR(VLOOKUP($B50,'LOD 300 - COLO1'!$B:EZ,129,FALSE),"N/A")</f>
        <v>1</v>
      </c>
      <c r="CW50" s="87">
        <f>IFERROR(VLOOKUP($B50,'LOD 300 - COLO1'!$B:FC,132,FALSE),"N/A")</f>
        <v>1</v>
      </c>
      <c r="CX50" s="96">
        <f>IFERROR(__xludf.DUMMYFUNCTION("IFERROR(
  MAX(FILTER(BK50:CW50, ISNUMBER(BK50:CW50))),
  CW50
)"),1.0)</f>
        <v>1</v>
      </c>
      <c r="CY50" s="104">
        <f>IFERROR(VLOOKUP($B50,'LOD 300 - COLO2'!$B:S,18,FALSE),"N/A")</f>
        <v>0.76</v>
      </c>
      <c r="CZ50" s="117" t="str">
        <f>IFERROR(VLOOKUP($B50,'LOD 300 - COLO2'!$B:V,21,FALSE),"N/A")</f>
        <v>OUTDATED MODEL</v>
      </c>
      <c r="DA50" s="117" t="str">
        <f>IFERROR(VLOOKUP($B50,'LOD 300 - COLO2'!$B:Y,24,FALSE),"N/A")</f>
        <v>OUTDATED MODEL</v>
      </c>
      <c r="DB50" s="117">
        <f>IFERROR(VLOOKUP($B50,'LOD 300 - COLO2'!$B:AB,27,FALSE),"N/A")</f>
        <v>0.92</v>
      </c>
      <c r="DC50" s="92" t="str">
        <f>IFERROR(VLOOKUP($B50,'LOD 300 - COLO2'!$B:AE,30,FALSE),"N/A")</f>
        <v>OUTDATED MODEL</v>
      </c>
      <c r="DD50" s="120" t="str">
        <f>IFERROR(VLOOKUP($B50,'LOD 300 - COLO2'!$B:AH,33,FALSE),"N/A")</f>
        <v>OUTDATED MODEL</v>
      </c>
      <c r="DE50" s="117" t="str">
        <f>IFERROR(VLOOKUP($B50,'LOD 300 - COLO2'!$B:AK,36,FALSE),"N/A")</f>
        <v>NEXT ROUND</v>
      </c>
      <c r="DF50" s="117">
        <f>IFERROR(VLOOKUP($B50,'LOD 300 - COLO2'!$B:AN,39,FALSE),"N/A")</f>
        <v>1</v>
      </c>
      <c r="DG50" s="119">
        <f>IFERROR(VLOOKUP($B50,'LOD 300 - COLO2'!$B:AQ,42,FALSE),"N/A")</f>
        <v>1</v>
      </c>
      <c r="DH50" s="87">
        <f>IFERROR(VLOOKUP($B50,'LOD 300 - COLO2'!$B:AT,45,FALSE),"N/A")</f>
        <v>1</v>
      </c>
      <c r="DI50" s="94">
        <f>IFERROR(VLOOKUP($B50,'LOD 300 - COLO2'!$B:AW,48,FALSE),"N/A")</f>
        <v>1</v>
      </c>
      <c r="DJ50" s="95">
        <f>IFERROR(VLOOKUP($B50,'LOD 300 - COLO2'!$B:AZ,51,FALSE),"N/A")</f>
        <v>1</v>
      </c>
      <c r="DK50" s="86">
        <f>IFERROR(VLOOKUP($B50,'LOD 300 - COLO2'!$B:BC,54,FALSE),"N/A")</f>
        <v>1</v>
      </c>
      <c r="DL50" s="86">
        <f>IFERROR(VLOOKUP($B50,'LOD 300 - COLO2'!$B:BF,57,FALSE),"N/A")</f>
        <v>1</v>
      </c>
      <c r="DM50" s="86">
        <f>IFERROR(VLOOKUP($B50,'LOD 300 - COLO2'!$B:BI,60,FALSE),"N/A")</f>
        <v>1</v>
      </c>
      <c r="DN50" s="86">
        <f>IFERROR(VLOOKUP($B50,'LOD 300 - COLO2'!$B:BL,63,FALSE),"N/A")</f>
        <v>1</v>
      </c>
      <c r="DO50" s="86">
        <f>IFERROR(VLOOKUP($B50,'LOD 300 - COLO2'!$B:BO,66,FALSE),"N/A")</f>
        <v>1</v>
      </c>
      <c r="DP50" s="87">
        <f>IFERROR(VLOOKUP($B50,'LOD 300 - COLO2'!$B:BR,69,FALSE),"N/A")</f>
        <v>1</v>
      </c>
      <c r="DQ50" s="87">
        <f>IFERROR(VLOOKUP($B50,'LOD 300 - COLO2'!$B:BU,72,FALSE),"N/A")</f>
        <v>1</v>
      </c>
      <c r="DR50" s="87">
        <f>IFERROR(VLOOKUP($B50,'LOD 300 - COLO2'!$B:BX,75,FALSE),"N/A")</f>
        <v>1</v>
      </c>
      <c r="DS50" s="98">
        <f>IFERROR(VLOOKUP($B50,'LOD 300 - COLO2'!$B:CA,78,FALSE),"N/A")</f>
        <v>1</v>
      </c>
      <c r="DT50" s="98">
        <f>IFERROR(VLOOKUP($B50,'LOD 300 - COLO2'!$B:CD,81,FALSE),"N/A")</f>
        <v>1</v>
      </c>
      <c r="DU50" s="98">
        <f>IFERROR(VLOOKUP($B50,'LOD 300 - COLO2'!$B:CG,84,FALSE),"N/A")</f>
        <v>1</v>
      </c>
      <c r="DV50" s="98">
        <f>IFERROR(VLOOKUP($B50,'LOD 300 - COLO2'!$B:CJ,87,FALSE),"N/A")</f>
        <v>1</v>
      </c>
      <c r="DW50" s="98">
        <f>IFERROR(VLOOKUP($B50,'LOD 300 - COLO2'!$B:CM,90,FALSE),"N/A")</f>
        <v>1</v>
      </c>
      <c r="DX50" s="98">
        <f>IFERROR(VLOOKUP($B50,'LOD 300 - COLO2'!$B:CP,93,FALSE),"N/A")</f>
        <v>1</v>
      </c>
      <c r="DY50" s="87">
        <f>IFERROR(VLOOKUP($B50,'LOD 300 - COLO2'!$B:CS,96,FALSE),"N/A")</f>
        <v>1</v>
      </c>
      <c r="DZ50" s="87">
        <f>IFERROR(VLOOKUP($B50,'LOD 300 - COLO2'!$B:CV,99,FALSE),"N/A")</f>
        <v>1</v>
      </c>
      <c r="EA50" s="87">
        <f>IFERROR(VLOOKUP($B50,'LOD 300 - COLO2'!$B:DB,105,FALSE),"N/A")</f>
        <v>1</v>
      </c>
      <c r="EB50" s="87">
        <f>IFERROR(VLOOKUP($B50,'LOD 300 - COLO2'!$B:DB,105,FALSE),"N/A")</f>
        <v>1</v>
      </c>
      <c r="EC50" s="87">
        <f>IFERROR(VLOOKUP($B50,'LOD 300 - COLO2'!$B:DE,108,FALSE),"N/A")</f>
        <v>1</v>
      </c>
      <c r="ED50" s="87">
        <f>IFERROR(VLOOKUP($B50,'LOD 300 - COLO2'!$B:DH,111,FALSE),"N/A")</f>
        <v>1</v>
      </c>
      <c r="EE50" s="87">
        <f>IFERROR(VLOOKUP($B50,'LOD 300 - COLO2'!$B:DK,114,FALSE),"N/A")</f>
        <v>1</v>
      </c>
      <c r="EF50" s="87">
        <f>IFERROR(VLOOKUP($B50,'LOD 300 - COLO2'!$B:DN,117,FALSE),"N/A")</f>
        <v>1</v>
      </c>
      <c r="EG50" s="87">
        <f>IFERROR(VLOOKUP($B50,'LOD 300 - COLO2'!$B:DQ,120,FALSE),"N/A")</f>
        <v>1</v>
      </c>
      <c r="EH50" s="99">
        <f>IFERROR(__xludf.DUMMYFUNCTION("IFERROR(
  MAX(FILTER(CZ50:EG50, ISNUMBER(CZ50:EG50))),
  EG50
)"),1.0)</f>
        <v>1</v>
      </c>
      <c r="EI50" s="100">
        <f>IFERROR(VLOOKUP($B50,'LOD 300 - COLO3'!$B:R,17,FALSE),"N/A")</f>
        <v>0</v>
      </c>
      <c r="EJ50" s="127">
        <f>IFERROR(VLOOKUP($B50,'LOD 300 - COLO3'!$B:U,20,FALSE),"N/A")</f>
        <v>1</v>
      </c>
      <c r="EK50" s="127">
        <f>IFERROR(VLOOKUP($B50,'LOD 300 - COLO3'!$B:X,23,FALSE),"N/A")</f>
        <v>1</v>
      </c>
      <c r="EL50" s="127">
        <f>IFERROR(VLOOKUP($B50,'LOD 300 - COLO3'!$B:AA,26,FALSE),"N/A")</f>
        <v>1</v>
      </c>
      <c r="EM50" s="127">
        <f>IFERROR(VLOOKUP($B50,'LOD 300 - COLO3'!$B:AD,29,FALSE),"N/A")</f>
        <v>1</v>
      </c>
      <c r="EN50" s="127">
        <f>IFERROR(VLOOKUP($B50,'LOD 300 - COLO3'!$B:AG,32,FALSE),"N/A")</f>
        <v>1</v>
      </c>
      <c r="EO50" s="127">
        <f>IFERROR(VLOOKUP($B50,'LOD 300 - COLO3'!$B:AJ,35,FALSE),"N/A")</f>
        <v>1</v>
      </c>
      <c r="EP50" s="100">
        <f>IFERROR(VLOOKUP($B50,'LOD 300 - COLO3'!$B:AM,38,FALSE),"N/A")</f>
        <v>1</v>
      </c>
      <c r="EQ50" s="100">
        <f>IFERROR(VLOOKUP($B50,'LOD 300 - COLO3'!$B:AP,41,FALSE),"N/A")</f>
        <v>1</v>
      </c>
      <c r="ER50" s="100">
        <f>IFERROR(VLOOKUP($B50,'LOD 300 - COLO3'!$B:AS,44,FALSE),"N/A")</f>
        <v>1</v>
      </c>
      <c r="ES50" s="100">
        <f>IFERROR(VLOOKUP($B50,'LOD 300 - COLO3'!$B:AV,47,FALSE),"N/A")</f>
        <v>1</v>
      </c>
      <c r="ET50" s="100">
        <f>IFERROR(VLOOKUP($B50,'LOD 300 - COLO3'!$B:AY,50,FALSE),"N/A")</f>
        <v>1</v>
      </c>
      <c r="EU50" s="100">
        <f>IFERROR(VLOOKUP($B50,'LOD 300 - COLO3'!$B:BB,53,FALSE),"N/A")</f>
        <v>1</v>
      </c>
      <c r="EV50" s="100">
        <f>IFERROR(VLOOKUP($B50,'LOD 300 - COLO3'!$B:BE,56,FALSE),"N/A")</f>
        <v>1</v>
      </c>
      <c r="EW50" s="100">
        <f>IFERROR(VLOOKUP($B50,'LOD 300 - COLO3'!$B:BL,59,FALSE),"N/A")</f>
        <v>1</v>
      </c>
      <c r="EX50" s="100">
        <f>IFERROR(VLOOKUP($B50,'LOD 300 - COLO3'!$B:BO,62,FALSE),"N/A")</f>
        <v>1</v>
      </c>
      <c r="EY50" s="103">
        <f>IFERROR(__xludf.DUMMYFUNCTION("IFERROR(
  MAX(FILTER(EI50:EX50, ISNUMBER(EI50:EX50))),
  EX50
)"),1.0)</f>
        <v>1</v>
      </c>
      <c r="EZ50" s="104">
        <f>IFERROR(VLOOKUP($B50,'LOD 300 - COLO4'!$B:BT,17,FALSE),"N/A")</f>
        <v>0</v>
      </c>
      <c r="FA50" s="103">
        <f>IFERROR(__xludf.DUMMYFUNCTION("IFERROR(
  MAX(FILTER(EZ50, ISNUMBER(EZ50))),
  EZ50
)"),0.0)</f>
        <v>0</v>
      </c>
      <c r="FB50" s="121" t="str">
        <f>IFERROR(VLOOKUP($B50,'LOD 300 - SITE'!$B:S,18,FALSE),"N/A")</f>
        <v>N/A</v>
      </c>
      <c r="FC50" s="122" t="str">
        <f>IFERROR(VLOOKUP($B50,'LOD 300 - SITE'!$B:V,21,FALSE),"N/A")</f>
        <v>N/A</v>
      </c>
      <c r="FD50" s="122" t="str">
        <f>IFERROR(VLOOKUP($B50,'LOD 300 - SITE'!$B:Y,24,FALSE),"N/A")</f>
        <v>N/A</v>
      </c>
      <c r="FE50" s="122" t="str">
        <f>IFERROR(VLOOKUP($B50,'LOD 300 - SITE'!$B:AB,27,FALSE),"N/A")</f>
        <v>N/A</v>
      </c>
      <c r="FF50" s="122" t="str">
        <f>IFERROR(VLOOKUP($B50,'LOD 300 - SITE'!$B:AE,30,FALSE),"N/A")</f>
        <v>N/A</v>
      </c>
      <c r="FG50" s="122" t="str">
        <f>IFERROR(VLOOKUP($B50,'LOD 300 - SITE'!$B:AH,33,FALSE),"N/A")</f>
        <v>N/A</v>
      </c>
      <c r="FH50" s="122" t="str">
        <f>IFERROR(VLOOKUP($B50,'LOD 300 - SITE'!$B:AK,36,FALSE),"N/A")</f>
        <v>N/A</v>
      </c>
      <c r="FI50" s="122" t="str">
        <f>IFERROR(VLOOKUP($B50,'LOD 300 - SITE'!$B:AN,39,FALSE),"N/A")</f>
        <v>N/A</v>
      </c>
      <c r="FJ50" s="122" t="str">
        <f>IFERROR(VLOOKUP($B50,'LOD 300 - SITE'!$B:AQ,42,FALSE),"N/A")</f>
        <v>N/A</v>
      </c>
      <c r="FK50" s="122" t="str">
        <f>IFERROR(VLOOKUP($B50,'LOD 300 - SITE'!$B:AT,45,FALSE),"N/A")</f>
        <v>N/A</v>
      </c>
      <c r="FL50" s="123" t="str">
        <f>IFERROR(VLOOKUP($B50,'LOD 300 - SITE'!$B:AW,48,FALSE),"N/A")</f>
        <v>N/A</v>
      </c>
      <c r="FM50" s="87" t="str">
        <f>IFERROR(VLOOKUP($B50,'LOD 300 - SITE'!$B:AZ,51,FALSE),"N/A")</f>
        <v>N/A</v>
      </c>
      <c r="FN50" s="94" t="str">
        <f>IFERROR(VLOOKUP($B50,'LOD 300 - SITE'!$B:BC,54,FALSE),"N/A")</f>
        <v>N/A</v>
      </c>
      <c r="FO50" s="95" t="str">
        <f>IFERROR(VLOOKUP($B50,'LOD 300 - SITE'!$B:BF,57,FALSE),"N/A")</f>
        <v>N/A</v>
      </c>
      <c r="FP50" s="86" t="str">
        <f>IFERROR(VLOOKUP($B50,'LOD 300 - SITE'!$B:BI,60,FALSE),"N/A")</f>
        <v>N/A</v>
      </c>
      <c r="FQ50" s="86" t="str">
        <f>IFERROR(VLOOKUP($B50,'LOD 300 - SITE'!$B:BL,63,FALSE),"N/A")</f>
        <v>N/A</v>
      </c>
      <c r="FR50" s="86" t="str">
        <f>IFERROR(VLOOKUP($B50,'LOD 300 - SITE'!$B:BO,66,FALSE),"N/A")</f>
        <v>N/A</v>
      </c>
      <c r="FS50" s="86" t="str">
        <f>IFERROR(VLOOKUP($B50,'LOD 300 - SITE'!$B:BR,69,FALSE),"N/A")</f>
        <v>N/A</v>
      </c>
      <c r="FT50" s="86" t="str">
        <f>IFERROR(VLOOKUP($B50,'LOD 300 - SITE'!$B:BU,72,FALSE),"N/A")</f>
        <v>N/A</v>
      </c>
      <c r="FU50" s="86" t="str">
        <f>IFERROR(VLOOKUP($B50,'LOD 300 - SITE'!$B:BX,75,FALSE),"N/A")</f>
        <v>N/A</v>
      </c>
      <c r="FV50" s="86" t="str">
        <f>IFERROR(VLOOKUP($B50,'LOD 300 - SITE'!$B:CA,78,FALSE),"N/A")</f>
        <v>N/A</v>
      </c>
      <c r="FW50" s="87" t="str">
        <f>IFERROR(VLOOKUP($B50,'LOD 300 - SITE'!$B:CD,81,FALSE),"N/A")</f>
        <v>N/A</v>
      </c>
      <c r="FX50" s="108" t="str">
        <f>IFERROR(VLOOKUP($B50,'LOD 300 - SITE'!$B:CG,84,FALSE),"N/A")</f>
        <v>N/A</v>
      </c>
      <c r="FY50" s="108" t="str">
        <f>IFERROR(VLOOKUP($B50,'LOD 300 - SITE'!$B:CJ,87,FALSE),"N/A")</f>
        <v>N/A</v>
      </c>
      <c r="FZ50" s="108" t="str">
        <f>IFERROR(VLOOKUP($B50,'LOD 300 - SITE'!$B:CM,90,FALSE),"N/A")</f>
        <v>N/A</v>
      </c>
      <c r="GA50" s="108" t="str">
        <f>IFERROR(VLOOKUP($B50,'LOD 300 - SITE'!$B:CP,93,FALSE),"N/A")</f>
        <v>N/A</v>
      </c>
      <c r="GB50" s="108" t="str">
        <f>IFERROR(VLOOKUP($B50,'LOD 300 - SITE'!$B:CS,96,FALSE),"N/A")</f>
        <v>N/A</v>
      </c>
      <c r="GC50" s="109" t="str">
        <f>IFERROR(VLOOKUP($B50,'LOD 300 - SITE'!$B:CV,99,FALSE),"N/A")</f>
        <v>N/A</v>
      </c>
      <c r="GD50" s="87" t="str">
        <f>IFERROR(VLOOKUP($B50,'LOD 300 - SITE'!$B:CY,102,FALSE),"N/A")</f>
        <v>N/A</v>
      </c>
      <c r="GE50" s="87" t="str">
        <f>IFERROR(VLOOKUP($B50,'LOD 300 - SITE'!$B:DB,105,FALSE),"N/A")</f>
        <v>N/A</v>
      </c>
      <c r="GF50" s="87" t="str">
        <f>IFERROR(VLOOKUP($B50,'LOD 300 - SITE'!$B:DE,108,FALSE),"N/A")</f>
        <v>N/A</v>
      </c>
      <c r="GG50" s="87" t="str">
        <f>IFERROR(VLOOKUP($B50,'LOD 300 - SITE'!$B:DH,111,FALSE),"N/A")</f>
        <v>N/A</v>
      </c>
      <c r="GH50" s="87" t="str">
        <f>IFERROR(VLOOKUP($B50,'LOD 300 - SITE'!$B:DK,114,FALSE),"N/A")</f>
        <v>N/A</v>
      </c>
      <c r="GI50" s="87" t="str">
        <f>IFERROR(VLOOKUP($B50,'LOD 300 - SITE'!$B:DN,117,FALSE),"N/A")</f>
        <v>N/A</v>
      </c>
      <c r="GJ50" s="87" t="str">
        <f>IFERROR(VLOOKUP($B50,'LOD 300 - SITE'!$B:DQ,120,FALSE),"N/A")</f>
        <v>N/A</v>
      </c>
      <c r="GK50" s="87" t="str">
        <f>IFERROR(VLOOKUP($B50,'LOD 300 - SITE'!$B:DT,123,FALSE),"N/A")</f>
        <v>N/A</v>
      </c>
      <c r="GL50" s="87" t="str">
        <f>IFERROR(VLOOKUP($B50,'LOD 300 - SITE'!$B:DW,126,FALSE),"N/A")</f>
        <v>N/A</v>
      </c>
      <c r="GM50" s="110" t="str">
        <f>IFERROR(__xludf.DUMMYFUNCTION("IFERROR(
  MAX(FILTER(FB50:GL50, ISNUMBER(FB50:GL50))),
  GL50
)"),"N/A")</f>
        <v>N/A</v>
      </c>
      <c r="GN50" s="111"/>
      <c r="GO50" s="111"/>
      <c r="GP50" s="111"/>
    </row>
    <row r="51" ht="15.0" hidden="1" customHeight="1">
      <c r="A51" s="60">
        <v>54.0</v>
      </c>
      <c r="B51" s="158" t="s">
        <v>206</v>
      </c>
      <c r="C51" s="159"/>
      <c r="D51" s="160"/>
      <c r="E51" s="160"/>
      <c r="F51" s="13"/>
      <c r="G51" s="160"/>
      <c r="H51" s="161"/>
      <c r="I51" s="162"/>
      <c r="J51" s="162"/>
      <c r="K51" s="160"/>
      <c r="L51" s="160"/>
      <c r="M51" s="163"/>
      <c r="N51" s="163"/>
      <c r="O51" s="163"/>
      <c r="P51" s="164"/>
      <c r="Q51" s="163"/>
      <c r="R51" s="163"/>
      <c r="S51" s="79" t="str">
        <f>IF(OR($D51="C345",$D51="C12A",$D51="DATA"),
   VLOOKUP($B51,'LOD 300 - COLO4'!B:S,14,FALSE),"N/A")</f>
        <v>N/A</v>
      </c>
      <c r="T51" s="76" t="str">
        <f>IF(OR($D51="C345",$D51="C12A",$D51="DATA"),
   VLOOKUP($B51,'LOD 300 - COLO3'!B:T,13,FALSE),"N/A")</f>
        <v>N/A</v>
      </c>
      <c r="U51" s="163"/>
      <c r="V51" s="160"/>
      <c r="W51" s="165"/>
      <c r="X51" s="166"/>
      <c r="Y51" s="166"/>
      <c r="Z51" s="166"/>
      <c r="AA51" s="166"/>
      <c r="AB51" s="166"/>
      <c r="AC51" s="166"/>
      <c r="AD51" s="166"/>
      <c r="AE51" s="166"/>
      <c r="AF51" s="166"/>
      <c r="AG51" s="166"/>
      <c r="AH51" s="166"/>
      <c r="AI51" s="166"/>
      <c r="AJ51" s="167"/>
      <c r="AK51" s="167"/>
      <c r="AL51" s="168"/>
      <c r="AM51" s="167"/>
      <c r="AN51" s="167"/>
      <c r="AO51" s="167"/>
      <c r="AP51" s="167"/>
      <c r="AQ51" s="167"/>
      <c r="AR51" s="167"/>
      <c r="AS51" s="167"/>
      <c r="AT51" s="167"/>
      <c r="AU51" s="167"/>
      <c r="AV51" s="168"/>
      <c r="AW51" s="168"/>
      <c r="AX51" s="168"/>
      <c r="AY51" s="168"/>
      <c r="AZ51" s="168"/>
      <c r="BA51" s="167"/>
      <c r="BB51" s="168"/>
      <c r="BC51" s="169"/>
      <c r="BD51" s="169"/>
      <c r="BE51" s="169"/>
      <c r="BF51" s="169"/>
      <c r="BG51" s="169"/>
      <c r="BH51" s="169"/>
      <c r="BI51" s="169"/>
      <c r="BJ51" s="170"/>
      <c r="BK51" s="171"/>
      <c r="BL51" s="171"/>
      <c r="BM51" s="171"/>
      <c r="BN51" s="171"/>
      <c r="BO51" s="171"/>
      <c r="BP51" s="171"/>
      <c r="BQ51" s="171"/>
      <c r="BR51" s="171"/>
      <c r="BS51" s="171"/>
      <c r="BT51" s="171"/>
      <c r="BU51" s="171"/>
      <c r="BV51" s="171"/>
      <c r="BW51" s="171"/>
      <c r="BX51" s="172"/>
      <c r="BY51" s="172"/>
      <c r="BZ51" s="173"/>
      <c r="CA51" s="174"/>
      <c r="CB51" s="174"/>
      <c r="CC51" s="174"/>
      <c r="CD51" s="174"/>
      <c r="CE51" s="174"/>
      <c r="CF51" s="167"/>
      <c r="CG51" s="173"/>
      <c r="CH51" s="167"/>
      <c r="CI51" s="167"/>
      <c r="CJ51" s="173"/>
      <c r="CK51" s="173"/>
      <c r="CL51" s="173"/>
      <c r="CM51" s="173"/>
      <c r="CN51" s="173"/>
      <c r="CO51" s="167"/>
      <c r="CP51" s="175"/>
      <c r="CQ51" s="173"/>
      <c r="CR51" s="173"/>
      <c r="CS51" s="173"/>
      <c r="CT51" s="173"/>
      <c r="CU51" s="173"/>
      <c r="CV51" s="173"/>
      <c r="CW51" s="173"/>
      <c r="CX51" s="170"/>
      <c r="CY51" s="176"/>
      <c r="CZ51" s="177"/>
      <c r="DA51" s="177"/>
      <c r="DB51" s="177"/>
      <c r="DC51" s="178"/>
      <c r="DD51" s="179"/>
      <c r="DE51" s="176"/>
      <c r="DF51" s="176"/>
      <c r="DG51" s="180"/>
      <c r="DH51" s="167"/>
      <c r="DI51" s="172"/>
      <c r="DJ51" s="173"/>
      <c r="DK51" s="174"/>
      <c r="DL51" s="174"/>
      <c r="DM51" s="174"/>
      <c r="DN51" s="174"/>
      <c r="DO51" s="174"/>
      <c r="DP51" s="167"/>
      <c r="DQ51" s="167"/>
      <c r="DR51" s="167"/>
      <c r="DS51" s="181"/>
      <c r="DT51" s="182"/>
      <c r="DU51" s="182"/>
      <c r="DV51" s="182"/>
      <c r="DW51" s="182"/>
      <c r="DX51" s="182"/>
      <c r="DY51" s="167"/>
      <c r="DZ51" s="168"/>
      <c r="EA51" s="169"/>
      <c r="EB51" s="169"/>
      <c r="EC51" s="169"/>
      <c r="ED51" s="169"/>
      <c r="EE51" s="169"/>
      <c r="EF51" s="169"/>
      <c r="EG51" s="169"/>
      <c r="EH51" s="169"/>
      <c r="EI51" s="167"/>
      <c r="EJ51" s="167"/>
      <c r="EK51" s="167"/>
      <c r="EL51" s="167"/>
      <c r="EM51" s="167"/>
      <c r="EN51" s="167"/>
      <c r="EO51" s="167"/>
      <c r="EP51" s="167"/>
      <c r="EQ51" s="167"/>
      <c r="ER51" s="174"/>
      <c r="ES51" s="174"/>
      <c r="ET51" s="174"/>
      <c r="EU51" s="174"/>
      <c r="EV51" s="174"/>
      <c r="EW51" s="174"/>
      <c r="EX51" s="174"/>
      <c r="EY51" s="174"/>
      <c r="EZ51" s="183"/>
      <c r="FA51" s="183"/>
      <c r="FB51" s="166"/>
      <c r="FC51" s="166"/>
      <c r="FD51" s="166"/>
      <c r="FE51" s="166"/>
      <c r="FF51" s="166"/>
      <c r="FG51" s="166"/>
      <c r="FH51" s="166"/>
      <c r="FI51" s="166"/>
      <c r="FJ51" s="166"/>
      <c r="FK51" s="166"/>
      <c r="FL51" s="184"/>
      <c r="FM51" s="167"/>
      <c r="FN51" s="172"/>
      <c r="FO51" s="173"/>
      <c r="FP51" s="174"/>
      <c r="FQ51" s="174"/>
      <c r="FR51" s="174"/>
      <c r="FS51" s="174"/>
      <c r="FT51" s="174"/>
      <c r="FU51" s="174"/>
      <c r="FV51" s="174"/>
      <c r="FW51" s="167"/>
      <c r="FX51" s="172"/>
      <c r="FY51" s="173"/>
      <c r="FZ51" s="173"/>
      <c r="GA51" s="173"/>
      <c r="GB51" s="173"/>
      <c r="GC51" s="173"/>
      <c r="GD51" s="167"/>
      <c r="GE51" s="175"/>
      <c r="GF51" s="173"/>
      <c r="GG51" s="173"/>
      <c r="GH51" s="173"/>
      <c r="GI51" s="173"/>
      <c r="GJ51" s="173"/>
      <c r="GK51" s="173"/>
      <c r="GL51" s="173"/>
      <c r="GM51" s="185"/>
      <c r="GN51" s="215"/>
      <c r="GO51" s="215"/>
      <c r="GP51" s="215"/>
    </row>
    <row r="52" ht="16.5" customHeight="1" outlineLevel="1">
      <c r="A52" s="60">
        <v>55.0</v>
      </c>
      <c r="B52" s="140" t="s">
        <v>207</v>
      </c>
      <c r="C52" s="70" t="s">
        <v>208</v>
      </c>
      <c r="D52" s="71" t="s">
        <v>85</v>
      </c>
      <c r="E52" s="146" t="s">
        <v>169</v>
      </c>
      <c r="F52" s="13">
        <v>1112.0</v>
      </c>
      <c r="G52" s="139" t="s">
        <v>170</v>
      </c>
      <c r="H52" s="139">
        <v>1129.0</v>
      </c>
      <c r="I52" s="74" t="str">
        <f>IFERROR(VLOOKUP(C49:C191,'R22 RELATÓRIO ACC'!B:F,5,FALSE),"NOT PUBLISHED")</f>
        <v>V39</v>
      </c>
      <c r="J52" s="74" t="str">
        <f>IFERROR(VLOOKUP(C49:C191,'R22 RELATÓRIO ACC'!B:P,15,FALSE),"NOT PUBLISHED")</f>
        <v>19/03/2026</v>
      </c>
      <c r="K52" s="141" t="str">
        <f>IFERROR(VLOOKUP(B49:B240,'RELATÓRIO ACC'!B:F,5,FALSE),"NOT PUBLISHED")</f>
        <v>V5</v>
      </c>
      <c r="L52" s="142" t="str">
        <f>IFERROR(VLOOKUP(B49:B240,'RELATÓRIO ACC'!B:P,15,FALSE),"NOT PUBLISHED")</f>
        <v>10/07/2026</v>
      </c>
      <c r="M52" s="76" t="str">
        <f>IF(OR($D52="UTLS",$D52="GUAR",$D52="STIR",$D52="PUMP",$D52="SITE"),
   VLOOKUP($B52,'LOD 300 - SITE'!B:M,12,FALSE),
   VLOOKUP($B52,'LOD 300 - ADMN'!B:M,12,FALSE)
)</f>
        <v>V29</v>
      </c>
      <c r="N52" s="77" t="str">
        <f>IF(OR($D52="UTLS",$D52="GUAR",$D52="STIR",$D52="PUMP",$D52="SITE"),
   VLOOKUP($B52,'LOD 300 - SITE'!B:N,13,FALSE),
   VLOOKUP($B52,'LOD 300 - ADMN'!B:N,13,FALSE)
)</f>
        <v>03/10/2025</v>
      </c>
      <c r="O52" s="78" t="str">
        <f>IF(OR($D52="UTLS",$D52="GUAR",$D52="STIR",$D52="PUMP",$D52="SITE"),
   VLOOKUP($B52,'LOD 300 - SITE'!B:O,14,FALSE),
   VLOOKUP($B52,'LOD 300 - ADMN'!B:O,14,FALSE)
)</f>
        <v>R22</v>
      </c>
      <c r="P52" s="79" t="str">
        <f>IF(OR($D52="C345",$D52="C12A",$D52="DATA"),
   VLOOKUP($B52,'LOD 300 - COLO3'!B:M,12,FALSE),"N/A")</f>
        <v>V39</v>
      </c>
      <c r="Q52" s="77" t="str">
        <f>IF(OR($D52="C345",$D52="C12A",$D52="DATA"),
   VLOOKUP($B52,'LOD 300 - COLO3'!B:N,13,FALSE),"N/A")</f>
        <v>19/03/2026</v>
      </c>
      <c r="R52" s="76" t="str">
        <f>IF(OR($D52="C345",$D52="C12A",$D52="DATA"),
   VLOOKUP($B52,'LOD 300 - COLO3'!B:O,14,FALSE),"N/A")</f>
        <v>R22</v>
      </c>
      <c r="S52" s="79" t="str">
        <f>IF(OR($D52="C345",$D52="C12A",$D52="DATA"),
   VLOOKUP($B52,'LOD 300 - COLO4'!B:M,12,FALSE),"N/A")</f>
        <v>N/A</v>
      </c>
      <c r="T52" s="76" t="str">
        <f>IF(OR($D52="C345",$D52="C12A",$D52="DATA"),
   VLOOKUP($B52,'LOD 300 - COLO4'!B:T,13,FALSE),"N/A")</f>
        <v>N/A</v>
      </c>
      <c r="U52" s="81">
        <f>IF(OR($D52="C345",$D52="C12A",$D52="DATA"),
   VLOOKUP($B52,'LOD 300 - COLO4'!B:U,17,FALSE),"N/A")</f>
        <v>0</v>
      </c>
      <c r="V52" s="126" t="s">
        <v>129</v>
      </c>
      <c r="W52" s="144">
        <f>IFERROR(VLOOKUP($B52,'LOD 300 - ADMN'!$B:S,18,FALSE),"N/A")</f>
        <v>0.49</v>
      </c>
      <c r="X52" s="122">
        <f>IFERROR(VLOOKUP($B52,'LOD 300 - ADMN'!$B:V,21,FALSE),"N/A")</f>
        <v>0.97</v>
      </c>
      <c r="Y52" s="122">
        <f>IFERROR(VLOOKUP($B52,'LOD 300 - ADMN'!$B:Y,24,FALSE),"N/A")</f>
        <v>1</v>
      </c>
      <c r="Z52" s="122">
        <f>IFERROR(VLOOKUP($B52,'LOD 300 - ADMN'!$B:AB,27,FALSE),"N/A")</f>
        <v>1</v>
      </c>
      <c r="AA52" s="122">
        <f>IFERROR(VLOOKUP($B52,'LOD 300 - ADMN'!$B:AE,30,FALSE),"N/A")</f>
        <v>1</v>
      </c>
      <c r="AB52" s="145">
        <f>IFERROR(VLOOKUP($B52,'LOD 300 - ADMN'!$B:AH,33,FALSE),"N/A")</f>
        <v>1</v>
      </c>
      <c r="AC52" s="145">
        <f>IFERROR(VLOOKUP($B52,'LOD 300 - ADMN'!$B:AK,36,FALSE),"N/A")</f>
        <v>1</v>
      </c>
      <c r="AD52" s="122">
        <f>IFERROR(VLOOKUP($B52,'LOD 300 - ADMN'!$B:AN,39,FALSE),"N/A")</f>
        <v>1</v>
      </c>
      <c r="AE52" s="122">
        <f>IFERROR(VLOOKUP($B52,'LOD 300 - ADMN'!$B:AQ,42,FALSE),"N/A")</f>
        <v>1</v>
      </c>
      <c r="AF52" s="122">
        <f>IFERROR(VLOOKUP($B52,'LOD 300 - ADMN'!$B:AT,45,FALSE),"N/A")</f>
        <v>1</v>
      </c>
      <c r="AG52" s="122">
        <f>IFERROR(VLOOKUP($B52,'LOD 300 - ADMN'!$B:AW,48,FALSE),"N/A")</f>
        <v>1</v>
      </c>
      <c r="AH52" s="122">
        <f>IFERROR(VLOOKUP($B52,'LOD 300 - ADMN'!$B:AZ,51,FALSE),"N/A")</f>
        <v>1</v>
      </c>
      <c r="AI52" s="122">
        <f>IFERROR(VLOOKUP($B52,'LOD 300 - ADMN'!$B:BC,54,FALSE),"N/A")</f>
        <v>1</v>
      </c>
      <c r="AJ52" s="87">
        <f>IFERROR(VLOOKUP($B52,'LOD 300 - ADMN'!$B:BF,57,FALSE),"N/A")</f>
        <v>1</v>
      </c>
      <c r="AK52" s="87">
        <f>IFERROR(VLOOKUP($B52,'LOD 300 - ADMN'!$B:EP,60,FALSE),"N/A")</f>
        <v>1</v>
      </c>
      <c r="AL52" s="87">
        <f>IFERROR(VLOOKUP($B52,'LOD 300 - ADMN'!$B:EQ,63,FALSE),"N/A")</f>
        <v>1</v>
      </c>
      <c r="AM52" s="87">
        <f>IFERROR(VLOOKUP($B52,'LOD 300 - ADMN'!$B:BO,66,FALSE),"N/A")</f>
        <v>1</v>
      </c>
      <c r="AN52" s="87">
        <f>IFERROR(VLOOKUP($B52,'LOD 300 - ADMN'!$B:BR,69,FALSE),"N/A")</f>
        <v>1</v>
      </c>
      <c r="AO52" s="87">
        <f>IFERROR(VLOOKUP($B52,'LOD 300 - ADMN'!$B:BU,72,FALSE),"N/A")</f>
        <v>1</v>
      </c>
      <c r="AP52" s="87">
        <f>IFERROR(VLOOKUP($B52,'LOD 300 - ADMN'!$B:BX,75,FALSE),"N/A")</f>
        <v>1</v>
      </c>
      <c r="AQ52" s="87">
        <f>IFERROR(VLOOKUP($B52,'LOD 300 - ADMN'!$B:CA,78,FALSE),"N/A")</f>
        <v>1</v>
      </c>
      <c r="AR52" s="87">
        <f>IFERROR(VLOOKUP($B52,'LOD 300 - ADMN'!$B:CD,81,FALSE),"N/A")</f>
        <v>1</v>
      </c>
      <c r="AS52" s="87">
        <f>IFERROR(VLOOKUP($B52,'LOD 300 - ADMN'!$B:CG,84,FALSE),"N/A")</f>
        <v>1</v>
      </c>
      <c r="AT52" s="87">
        <f>IFERROR(VLOOKUP($B52,'LOD 300 - ADMN'!$B:CJ,87,FALSE),"N/A")</f>
        <v>1</v>
      </c>
      <c r="AU52" s="88">
        <f>IFERROR(VLOOKUP($B52,'LOD 300 - ADMN'!$B:CM,90,FALSE),"N/A")</f>
        <v>1</v>
      </c>
      <c r="AV52" s="88">
        <f>IFERROR(VLOOKUP($B52,'LOD 300 - ADMN'!$B:CP,93,FALSE),"N/A")</f>
        <v>1</v>
      </c>
      <c r="AW52" s="88">
        <f>IFERROR(VLOOKUP($B52,'LOD 300 - ADMN'!$B:CS,96,FALSE),"N/A")</f>
        <v>1</v>
      </c>
      <c r="AX52" s="88">
        <f>IFERROR(VLOOKUP($B52,'LOD 300 - ADMN'!$B:CV,99,FALSE),"N/A")</f>
        <v>1</v>
      </c>
      <c r="AY52" s="88">
        <f>IFERROR(VLOOKUP($B52,'LOD 300 - ADMN'!$B:CY,102,FALSE),"N/A")</f>
        <v>1</v>
      </c>
      <c r="AZ52" s="88">
        <f>IFERROR(VLOOKUP($B52,'LOD 300 - ADMN'!$B:DB,105,FALSE),"N/A")</f>
        <v>1</v>
      </c>
      <c r="BA52" s="87">
        <f>IFERROR(VLOOKUP($B52,'LOD 300 - ADMN'!$B:DE,108,FALSE),"N/A")</f>
        <v>1</v>
      </c>
      <c r="BB52" s="87">
        <f>IFERROR(VLOOKUP($B52,'LOD 300 - ADMN'!$B:DH,111,FALSE),"N/A")</f>
        <v>1</v>
      </c>
      <c r="BC52" s="87">
        <f>IFERROR(VLOOKUP($B52,'LOD 300 - ADMN'!$B:DK,114,FALSE),"N/A")</f>
        <v>1</v>
      </c>
      <c r="BD52" s="87">
        <f>IFERROR(VLOOKUP($B52,'LOD 300 - ADMN'!$B:DN,117,FALSE),"N/A")</f>
        <v>1</v>
      </c>
      <c r="BE52" s="87">
        <f>IFERROR(VLOOKUP($B52,'LOD 300 - ADMN'!$B:DQ,120,FALSE),"N/A")</f>
        <v>1</v>
      </c>
      <c r="BF52" s="87">
        <f>IFERROR(VLOOKUP($B52,'LOD 300 - ADMN'!$B:DT,123,FALSE),"N/A")</f>
        <v>1</v>
      </c>
      <c r="BG52" s="87">
        <f>IFERROR(VLOOKUP($B52,'LOD 300 - ADMN'!$B:DW,126,FALSE),"N/A")</f>
        <v>1</v>
      </c>
      <c r="BH52" s="87">
        <f>IFERROR(VLOOKUP($B52,'LOD 300 - ADMN'!$B:DZ,129,FALSE),"N/A")</f>
        <v>1</v>
      </c>
      <c r="BI52" s="87">
        <f>IFERROR(VLOOKUP($B52,'LOD 300 - ADMN'!$B:EC,132,FALSE),"N/A")</f>
        <v>1</v>
      </c>
      <c r="BJ52" s="90">
        <f>IFERROR(__xludf.DUMMYFUNCTION("IFERROR(
  MAX(FILTER(X52:BI52, ISNUMBER(X52:BI52))),
  BI52
)"),1.0)</f>
        <v>1</v>
      </c>
      <c r="BK52" s="91">
        <f>IFERROR(VLOOKUP($B52,'LOD 300 - COLO1'!$B:S,18,FALSE),"N/A")</f>
        <v>0.39</v>
      </c>
      <c r="BL52" s="92">
        <f>IFERROR(VLOOKUP($B52,'LOD 300 - COLO1'!$B:V,21,FALSE),"N/A")</f>
        <v>0.68</v>
      </c>
      <c r="BM52" s="92">
        <f>IFERROR(VLOOKUP($B52,'LOD 300 - COLO1'!$B:Y,24,FALSE),"N/A")</f>
        <v>1</v>
      </c>
      <c r="BN52" s="92">
        <f>IFERROR(VLOOKUP($B52,'LOD 300 - COLO1'!$B:AB,27,FALSE),"N/A")</f>
        <v>1</v>
      </c>
      <c r="BO52" s="92">
        <f>IFERROR(VLOOKUP($B52,'LOD 300 - COLO1'!$B:AE,30,FALSE),"N/A")</f>
        <v>1</v>
      </c>
      <c r="BP52" s="92">
        <f>IFERROR(VLOOKUP($B52,'LOD 300 - COLO1'!$B:AH,33,FALSE),"N/A")</f>
        <v>1</v>
      </c>
      <c r="BQ52" s="92">
        <f>IFERROR(VLOOKUP($B52,'LOD 300 - COLO1'!$B:AK,36,FALSE),"N/A")</f>
        <v>1</v>
      </c>
      <c r="BR52" s="92">
        <f>IFERROR(VLOOKUP($B52,'LOD 300 - COLO1'!$B:AN,39,FALSE),"N/A")</f>
        <v>1</v>
      </c>
      <c r="BS52" s="92">
        <f>IFERROR(VLOOKUP($B52,'LOD 300 - COLO1'!$B:AQ,42,FALSE),"N/A")</f>
        <v>1</v>
      </c>
      <c r="BT52" s="92">
        <f>IFERROR(VLOOKUP($B52,'LOD 300 - COLO1'!$B:AT,45,FALSE),"N/A")</f>
        <v>1</v>
      </c>
      <c r="BU52" s="92">
        <f>IFERROR(VLOOKUP($B52,'LOD 300 - COLO1'!$B:AW,48,FALSE),"N/A")</f>
        <v>1</v>
      </c>
      <c r="BV52" s="92">
        <f>IFERROR(VLOOKUP($B52,'LOD 300 - COLO1'!$B:AZ,51,FALSE),"N/A")</f>
        <v>1</v>
      </c>
      <c r="BW52" s="92">
        <f>IFERROR(VLOOKUP($B52,'LOD 300 - COLO1'!$B:BC,54,FALSE),"N/A")</f>
        <v>1</v>
      </c>
      <c r="BX52" s="94">
        <f>IFERROR(VLOOKUP($B52,'LOD 300 - COLO1'!$B:BF,57,FALSE),"N/A")</f>
        <v>1</v>
      </c>
      <c r="BY52" s="94">
        <f>IFERROR(VLOOKUP($B52,'LOD 300 - COLO1'!$B:BI,60,FALSE),"N/A")</f>
        <v>1</v>
      </c>
      <c r="BZ52" s="95">
        <f>IFERROR(VLOOKUP($B52,'LOD 300 - COLO1'!$B:BL,63,FALSE),"N/A")</f>
        <v>1</v>
      </c>
      <c r="CA52" s="86">
        <f>IFERROR(VLOOKUP($B52,'LOD 300 - COLO1'!$B:BO,66,FALSE),"N/A")</f>
        <v>1</v>
      </c>
      <c r="CB52" s="86">
        <f>IFERROR(VLOOKUP($B52,'LOD 300 - COLO1'!$B:BR,69,FALSE),"N/A")</f>
        <v>1</v>
      </c>
      <c r="CC52" s="86">
        <f>IFERROR(VLOOKUP($B52,'LOD 300 - COLO1'!$B:BU,72,FALSE),"N/A")</f>
        <v>1</v>
      </c>
      <c r="CD52" s="86">
        <f>IFERROR(VLOOKUP($B52,'LOD 300 - COLO1'!$B:BX,75,FALSE),"N/A")</f>
        <v>1</v>
      </c>
      <c r="CE52" s="86">
        <f>IFERROR(VLOOKUP($B52,'LOD 300 - COLO1'!$B:CA,78,FALSE),"N/A")</f>
        <v>1</v>
      </c>
      <c r="CF52" s="87">
        <f>IFERROR(VLOOKUP($B52,'LOD 300 - COLO1'!$B:CD,81,FALSE),"N/A")</f>
        <v>1</v>
      </c>
      <c r="CG52" s="86">
        <f>IFERROR(VLOOKUP($B52,'LOD 300 - COLO1'!$B:CG,84,FALSE),"N/A")</f>
        <v>1</v>
      </c>
      <c r="CH52" s="87">
        <f>IFERROR(VLOOKUP($B52,'LOD 300 - COLO1'!$B:CJ,87,FALSE),"N/A")</f>
        <v>1</v>
      </c>
      <c r="CI52" s="88">
        <f>IFERROR(VLOOKUP($B52,'LOD 300 - COLO1'!$B:CM,90,FALSE),"N/A")</f>
        <v>1</v>
      </c>
      <c r="CJ52" s="88">
        <f>IFERROR(VLOOKUP($B52,'LOD 300 - COLO1'!$B:CP,93,FALSE),"N/A")</f>
        <v>1</v>
      </c>
      <c r="CK52" s="88">
        <f>IFERROR(VLOOKUP($B52,'LOD 300 - COLO1'!$B:CS,96,FALSE),"N/A")</f>
        <v>1</v>
      </c>
      <c r="CL52" s="88">
        <f>IFERROR(VLOOKUP($B52,'LOD 300 - COLO1'!$B:CV,99,FALSE),"N/A")</f>
        <v>1</v>
      </c>
      <c r="CM52" s="88">
        <f>IFERROR(VLOOKUP($B52,'LOD 300 - COLO1'!$B:CY,102,FALSE),"N/A")</f>
        <v>1</v>
      </c>
      <c r="CN52" s="89">
        <f>IFERROR(VLOOKUP($B52,'LOD 300 - COLO1'!$B:DB,105,FALSE),"N/A")</f>
        <v>1</v>
      </c>
      <c r="CO52" s="87">
        <f>IFERROR(VLOOKUP($B52,'LOD 300 - COLO1'!$B:EE,108,FALSE),"N/A")</f>
        <v>1</v>
      </c>
      <c r="CP52" s="87">
        <f>IFERROR(VLOOKUP($B52,'LOD 300 - COLO1'!$B:EH,111,FALSE),"N/A")</f>
        <v>1</v>
      </c>
      <c r="CQ52" s="87">
        <f>IFERROR(VLOOKUP($B52,'LOD 300 - COLO1'!$B:EK,114,FALSE),"N/A")</f>
        <v>1</v>
      </c>
      <c r="CR52" s="87">
        <f>IFERROR(VLOOKUP($B52,'LOD 300 - COLO1'!$B:EN,117,FALSE),"N/A")</f>
        <v>1</v>
      </c>
      <c r="CS52" s="87">
        <f>IFERROR(VLOOKUP($B52,'LOD 300 - COLO1'!$B:EQ,120,FALSE),"N/A")</f>
        <v>1</v>
      </c>
      <c r="CT52" s="87">
        <f>IFERROR(VLOOKUP($B52,'LOD 300 - COLO1'!$B:ET,123,FALSE),"N/A")</f>
        <v>1</v>
      </c>
      <c r="CU52" s="87">
        <f>IFERROR(VLOOKUP($B52,'LOD 300 - COLO1'!$B:EW,126,FALSE),"N/A")</f>
        <v>1</v>
      </c>
      <c r="CV52" s="87">
        <f>IFERROR(VLOOKUP($B52,'LOD 300 - COLO1'!$B:EZ,129,FALSE),"N/A")</f>
        <v>1</v>
      </c>
      <c r="CW52" s="87">
        <f>IFERROR(VLOOKUP($B52,'LOD 300 - COLO1'!$B:FC,132,FALSE),"N/A")</f>
        <v>1</v>
      </c>
      <c r="CX52" s="96">
        <f>IFERROR(__xludf.DUMMYFUNCTION("IFERROR(
  MAX(FILTER(BK52:CW52, ISNUMBER(BK52:CW52))),
  CW52
)"),1.0)</f>
        <v>1</v>
      </c>
      <c r="CY52" s="104">
        <f>IFERROR(VLOOKUP($B52,'LOD 300 - COLO2'!$B:S,18,FALSE),"N/A")</f>
        <v>0.77</v>
      </c>
      <c r="CZ52" s="117" t="str">
        <f>IFERROR(VLOOKUP($B52,'LOD 300 - COLO2'!$B:V,21,FALSE),"N/A")</f>
        <v>OUTDATED MODEL</v>
      </c>
      <c r="DA52" s="117" t="str">
        <f>IFERROR(VLOOKUP($B52,'LOD 300 - COLO2'!$B:Y,24,FALSE),"N/A")</f>
        <v>OUTDATED MODEL</v>
      </c>
      <c r="DB52" s="117">
        <f>IFERROR(VLOOKUP($B52,'LOD 300 - COLO2'!$B:AB,27,FALSE),"N/A")</f>
        <v>1</v>
      </c>
      <c r="DC52" s="92">
        <f>IFERROR(VLOOKUP($B52,'LOD 300 - COLO2'!$B:AE,30,FALSE),"N/A")</f>
        <v>1</v>
      </c>
      <c r="DD52" s="120">
        <f>IFERROR(VLOOKUP($B52,'LOD 300 - COLO2'!$B:AH,33,FALSE),"N/A")</f>
        <v>1</v>
      </c>
      <c r="DE52" s="117">
        <f>IFERROR(VLOOKUP($B52,'LOD 300 - COLO2'!$B:AK,36,FALSE),"N/A")</f>
        <v>1</v>
      </c>
      <c r="DF52" s="117">
        <f>IFERROR(VLOOKUP($B52,'LOD 300 - COLO2'!$B:AN,39,FALSE),"N/A")</f>
        <v>1</v>
      </c>
      <c r="DG52" s="119">
        <f>IFERROR(VLOOKUP($B52,'LOD 300 - COLO2'!$B:AQ,42,FALSE),"N/A")</f>
        <v>1</v>
      </c>
      <c r="DH52" s="87">
        <f>IFERROR(VLOOKUP($B52,'LOD 300 - COLO2'!$B:AT,45,FALSE),"N/A")</f>
        <v>1</v>
      </c>
      <c r="DI52" s="94">
        <f>IFERROR(VLOOKUP($B52,'LOD 300 - COLO2'!$B:AW,48,FALSE),"N/A")</f>
        <v>1</v>
      </c>
      <c r="DJ52" s="95">
        <f>IFERROR(VLOOKUP($B52,'LOD 300 - COLO2'!$B:AZ,51,FALSE),"N/A")</f>
        <v>1</v>
      </c>
      <c r="DK52" s="86">
        <f>IFERROR(VLOOKUP($B52,'LOD 300 - COLO2'!$B:BC,54,FALSE),"N/A")</f>
        <v>1</v>
      </c>
      <c r="DL52" s="86">
        <f>IFERROR(VLOOKUP($B52,'LOD 300 - COLO2'!$B:BF,57,FALSE),"N/A")</f>
        <v>1</v>
      </c>
      <c r="DM52" s="86">
        <f>IFERROR(VLOOKUP($B52,'LOD 300 - COLO2'!$B:BI,60,FALSE),"N/A")</f>
        <v>1</v>
      </c>
      <c r="DN52" s="86">
        <f>IFERROR(VLOOKUP($B52,'LOD 300 - COLO2'!$B:BL,63,FALSE),"N/A")</f>
        <v>1</v>
      </c>
      <c r="DO52" s="86">
        <f>IFERROR(VLOOKUP($B52,'LOD 300 - COLO2'!$B:BO,66,FALSE),"N/A")</f>
        <v>1</v>
      </c>
      <c r="DP52" s="87">
        <f>IFERROR(VLOOKUP($B52,'LOD 300 - COLO2'!$B:BR,69,FALSE),"N/A")</f>
        <v>1</v>
      </c>
      <c r="DQ52" s="87">
        <f>IFERROR(VLOOKUP($B52,'LOD 300 - COLO2'!$B:BU,72,FALSE),"N/A")</f>
        <v>1</v>
      </c>
      <c r="DR52" s="87">
        <f>IFERROR(VLOOKUP($B52,'LOD 300 - COLO2'!$B:BX,75,FALSE),"N/A")</f>
        <v>1</v>
      </c>
      <c r="DS52" s="98">
        <f>IFERROR(VLOOKUP($B52,'LOD 300 - COLO2'!$B:CA,78,FALSE),"N/A")</f>
        <v>1</v>
      </c>
      <c r="DT52" s="98">
        <f>IFERROR(VLOOKUP($B52,'LOD 300 - COLO2'!$B:CD,81,FALSE),"N/A")</f>
        <v>1</v>
      </c>
      <c r="DU52" s="98">
        <f>IFERROR(VLOOKUP($B52,'LOD 300 - COLO2'!$B:CG,84,FALSE),"N/A")</f>
        <v>1</v>
      </c>
      <c r="DV52" s="98">
        <f>IFERROR(VLOOKUP($B52,'LOD 300 - COLO2'!$B:CJ,87,FALSE),"N/A")</f>
        <v>1</v>
      </c>
      <c r="DW52" s="98">
        <f>IFERROR(VLOOKUP($B52,'LOD 300 - COLO2'!$B:CM,90,FALSE),"N/A")</f>
        <v>1</v>
      </c>
      <c r="DX52" s="98">
        <f>IFERROR(VLOOKUP($B52,'LOD 300 - COLO2'!$B:CP,93,FALSE),"N/A")</f>
        <v>1</v>
      </c>
      <c r="DY52" s="87">
        <f>IFERROR(VLOOKUP($B52,'LOD 300 - COLO2'!$B:CS,96,FALSE),"N/A")</f>
        <v>1</v>
      </c>
      <c r="DZ52" s="87">
        <f>IFERROR(VLOOKUP($B52,'LOD 300 - COLO2'!$B:CV,99,FALSE),"N/A")</f>
        <v>1</v>
      </c>
      <c r="EA52" s="87">
        <f>IFERROR(VLOOKUP($B52,'LOD 300 - COLO2'!$B:DB,105,FALSE),"N/A")</f>
        <v>1</v>
      </c>
      <c r="EB52" s="87">
        <f>IFERROR(VLOOKUP($B52,'LOD 300 - COLO2'!$B:DB,105,FALSE),"N/A")</f>
        <v>1</v>
      </c>
      <c r="EC52" s="87">
        <f>IFERROR(VLOOKUP($B52,'LOD 300 - COLO2'!$B:DE,108,FALSE),"N/A")</f>
        <v>1</v>
      </c>
      <c r="ED52" s="87">
        <f>IFERROR(VLOOKUP($B52,'LOD 300 - COLO2'!$B:DH,111,FALSE),"N/A")</f>
        <v>1</v>
      </c>
      <c r="EE52" s="87">
        <f>IFERROR(VLOOKUP($B52,'LOD 300 - COLO2'!$B:DK,114,FALSE),"N/A")</f>
        <v>1</v>
      </c>
      <c r="EF52" s="87">
        <f>IFERROR(VLOOKUP($B52,'LOD 300 - COLO2'!$B:DN,117,FALSE),"N/A")</f>
        <v>1</v>
      </c>
      <c r="EG52" s="87">
        <f>IFERROR(VLOOKUP($B52,'LOD 300 - COLO2'!$B:DQ,120,FALSE),"N/A")</f>
        <v>1</v>
      </c>
      <c r="EH52" s="99">
        <f>IFERROR(__xludf.DUMMYFUNCTION("IFERROR(
  MAX(FILTER(CZ52:EG52, ISNUMBER(CZ52:EG52))),
  EG52
)"),1.0)</f>
        <v>1</v>
      </c>
      <c r="EI52" s="100">
        <f>IFERROR(VLOOKUP($B52,'LOD 300 - COLO3'!$B:R,17,FALSE),"N/A")</f>
        <v>0</v>
      </c>
      <c r="EJ52" s="127">
        <f>IFERROR(VLOOKUP($B52,'LOD 300 - COLO3'!$B:U,20,FALSE),"N/A")</f>
        <v>1</v>
      </c>
      <c r="EK52" s="127">
        <f>IFERROR(VLOOKUP($B52,'LOD 300 - COLO3'!$B:X,23,FALSE),"N/A")</f>
        <v>1</v>
      </c>
      <c r="EL52" s="127">
        <f>IFERROR(VLOOKUP($B52,'LOD 300 - COLO3'!$B:AA,26,FALSE),"N/A")</f>
        <v>1</v>
      </c>
      <c r="EM52" s="127">
        <f>IFERROR(VLOOKUP($B52,'LOD 300 - COLO3'!$B:AD,29,FALSE),"N/A")</f>
        <v>1</v>
      </c>
      <c r="EN52" s="127">
        <f>IFERROR(VLOOKUP($B52,'LOD 300 - COLO3'!$B:AG,32,FALSE),"N/A")</f>
        <v>1</v>
      </c>
      <c r="EO52" s="127">
        <f>IFERROR(VLOOKUP($B52,'LOD 300 - COLO3'!$B:AJ,35,FALSE),"N/A")</f>
        <v>1</v>
      </c>
      <c r="EP52" s="100">
        <f>IFERROR(VLOOKUP($B52,'LOD 300 - COLO3'!$B:AM,38,FALSE),"N/A")</f>
        <v>1</v>
      </c>
      <c r="EQ52" s="100">
        <f>IFERROR(VLOOKUP($B52,'LOD 300 - COLO3'!$B:AP,41,FALSE),"N/A")</f>
        <v>1</v>
      </c>
      <c r="ER52" s="100">
        <f>IFERROR(VLOOKUP($B52,'LOD 300 - COLO3'!$B:AS,44,FALSE),"N/A")</f>
        <v>1</v>
      </c>
      <c r="ES52" s="100">
        <f>IFERROR(VLOOKUP($B52,'LOD 300 - COLO3'!$B:AV,47,FALSE),"N/A")</f>
        <v>1</v>
      </c>
      <c r="ET52" s="100">
        <f>IFERROR(VLOOKUP($B52,'LOD 300 - COLO3'!$B:AY,50,FALSE),"N/A")</f>
        <v>1</v>
      </c>
      <c r="EU52" s="100">
        <f>IFERROR(VLOOKUP($B52,'LOD 300 - COLO3'!$B:BB,53,FALSE),"N/A")</f>
        <v>1</v>
      </c>
      <c r="EV52" s="100">
        <f>IFERROR(VLOOKUP($B52,'LOD 300 - COLO3'!$B:BE,56,FALSE),"N/A")</f>
        <v>1</v>
      </c>
      <c r="EW52" s="100">
        <f>IFERROR(VLOOKUP($B52,'LOD 300 - COLO3'!$B:BL,59,FALSE),"N/A")</f>
        <v>1</v>
      </c>
      <c r="EX52" s="100">
        <f>IFERROR(VLOOKUP($B52,'LOD 300 - COLO3'!$B:BO,62,FALSE),"N/A")</f>
        <v>1</v>
      </c>
      <c r="EY52" s="103">
        <f>IFERROR(__xludf.DUMMYFUNCTION("IFERROR(
  MAX(FILTER(EI52:EX52, ISNUMBER(EI52:EX52))),
  EX52
)"),1.0)</f>
        <v>1</v>
      </c>
      <c r="EZ52" s="104">
        <f>IFERROR(VLOOKUP($B52,'LOD 300 - COLO4'!$B:BT,17,FALSE),"N/A")</f>
        <v>0</v>
      </c>
      <c r="FA52" s="103">
        <f>IFERROR(__xludf.DUMMYFUNCTION("IFERROR(
  MAX(FILTER(EZ52, ISNUMBER(EZ52))),
  EZ52
)"),0.0)</f>
        <v>0</v>
      </c>
      <c r="FB52" s="121" t="str">
        <f>IFERROR(VLOOKUP($B52,'LOD 300 - SITE'!$B:S,18,FALSE),"N/A")</f>
        <v>N/A</v>
      </c>
      <c r="FC52" s="122" t="str">
        <f>IFERROR(VLOOKUP($B52,'LOD 300 - SITE'!$B:V,21,FALSE),"N/A")</f>
        <v>N/A</v>
      </c>
      <c r="FD52" s="122" t="str">
        <f>IFERROR(VLOOKUP($B52,'LOD 300 - SITE'!$B:Y,24,FALSE),"N/A")</f>
        <v>N/A</v>
      </c>
      <c r="FE52" s="122" t="str">
        <f>IFERROR(VLOOKUP($B52,'LOD 300 - SITE'!$B:AB,27,FALSE),"N/A")</f>
        <v>N/A</v>
      </c>
      <c r="FF52" s="122" t="str">
        <f>IFERROR(VLOOKUP($B52,'LOD 300 - SITE'!$B:AE,30,FALSE),"N/A")</f>
        <v>N/A</v>
      </c>
      <c r="FG52" s="122" t="str">
        <f>IFERROR(VLOOKUP($B52,'LOD 300 - SITE'!$B:AH,33,FALSE),"N/A")</f>
        <v>N/A</v>
      </c>
      <c r="FH52" s="122" t="str">
        <f>IFERROR(VLOOKUP($B52,'LOD 300 - SITE'!$B:AK,36,FALSE),"N/A")</f>
        <v>N/A</v>
      </c>
      <c r="FI52" s="122" t="str">
        <f>IFERROR(VLOOKUP($B52,'LOD 300 - SITE'!$B:AN,39,FALSE),"N/A")</f>
        <v>N/A</v>
      </c>
      <c r="FJ52" s="122" t="str">
        <f>IFERROR(VLOOKUP($B52,'LOD 300 - SITE'!$B:AQ,42,FALSE),"N/A")</f>
        <v>N/A</v>
      </c>
      <c r="FK52" s="122" t="str">
        <f>IFERROR(VLOOKUP($B52,'LOD 300 - SITE'!$B:AT,45,FALSE),"N/A")</f>
        <v>N/A</v>
      </c>
      <c r="FL52" s="123" t="str">
        <f>IFERROR(VLOOKUP($B52,'LOD 300 - SITE'!$B:AW,48,FALSE),"N/A")</f>
        <v>N/A</v>
      </c>
      <c r="FM52" s="87" t="str">
        <f>IFERROR(VLOOKUP($B52,'LOD 300 - SITE'!$B:AZ,51,FALSE),"N/A")</f>
        <v>N/A</v>
      </c>
      <c r="FN52" s="94" t="str">
        <f>IFERROR(VLOOKUP($B52,'LOD 300 - SITE'!$B:BC,54,FALSE),"N/A")</f>
        <v>N/A</v>
      </c>
      <c r="FO52" s="95" t="str">
        <f>IFERROR(VLOOKUP($B52,'LOD 300 - SITE'!$B:BF,57,FALSE),"N/A")</f>
        <v>N/A</v>
      </c>
      <c r="FP52" s="86" t="str">
        <f>IFERROR(VLOOKUP($B52,'LOD 300 - SITE'!$B:BI,60,FALSE),"N/A")</f>
        <v>N/A</v>
      </c>
      <c r="FQ52" s="86" t="str">
        <f>IFERROR(VLOOKUP($B52,'LOD 300 - SITE'!$B:BL,63,FALSE),"N/A")</f>
        <v>N/A</v>
      </c>
      <c r="FR52" s="86" t="str">
        <f>IFERROR(VLOOKUP($B52,'LOD 300 - SITE'!$B:BO,66,FALSE),"N/A")</f>
        <v>N/A</v>
      </c>
      <c r="FS52" s="86" t="str">
        <f>IFERROR(VLOOKUP($B52,'LOD 300 - SITE'!$B:BR,69,FALSE),"N/A")</f>
        <v>N/A</v>
      </c>
      <c r="FT52" s="86" t="str">
        <f>IFERROR(VLOOKUP($B52,'LOD 300 - SITE'!$B:BU,72,FALSE),"N/A")</f>
        <v>N/A</v>
      </c>
      <c r="FU52" s="86" t="str">
        <f>IFERROR(VLOOKUP($B52,'LOD 300 - SITE'!$B:BX,75,FALSE),"N/A")</f>
        <v>N/A</v>
      </c>
      <c r="FV52" s="86" t="str">
        <f>IFERROR(VLOOKUP($B52,'LOD 300 - SITE'!$B:CA,78,FALSE),"N/A")</f>
        <v>N/A</v>
      </c>
      <c r="FW52" s="87" t="str">
        <f>IFERROR(VLOOKUP($B52,'LOD 300 - SITE'!$B:CD,81,FALSE),"N/A")</f>
        <v>N/A</v>
      </c>
      <c r="FX52" s="108" t="str">
        <f>IFERROR(VLOOKUP($B52,'LOD 300 - SITE'!$B:CG,84,FALSE),"N/A")</f>
        <v>N/A</v>
      </c>
      <c r="FY52" s="108" t="str">
        <f>IFERROR(VLOOKUP($B52,'LOD 300 - SITE'!$B:CJ,87,FALSE),"N/A")</f>
        <v>N/A</v>
      </c>
      <c r="FZ52" s="108" t="str">
        <f>IFERROR(VLOOKUP($B52,'LOD 300 - SITE'!$B:CM,90,FALSE),"N/A")</f>
        <v>N/A</v>
      </c>
      <c r="GA52" s="108" t="str">
        <f>IFERROR(VLOOKUP($B52,'LOD 300 - SITE'!$B:CP,93,FALSE),"N/A")</f>
        <v>N/A</v>
      </c>
      <c r="GB52" s="108" t="str">
        <f>IFERROR(VLOOKUP($B52,'LOD 300 - SITE'!$B:CS,96,FALSE),"N/A")</f>
        <v>N/A</v>
      </c>
      <c r="GC52" s="109" t="str">
        <f>IFERROR(VLOOKUP($B52,'LOD 300 - SITE'!$B:CV,99,FALSE),"N/A")</f>
        <v>N/A</v>
      </c>
      <c r="GD52" s="87" t="str">
        <f>IFERROR(VLOOKUP($B52,'LOD 300 - SITE'!$B:CY,102,FALSE),"N/A")</f>
        <v>N/A</v>
      </c>
      <c r="GE52" s="87" t="str">
        <f>IFERROR(VLOOKUP($B52,'LOD 300 - SITE'!$B:DB,105,FALSE),"N/A")</f>
        <v>N/A</v>
      </c>
      <c r="GF52" s="87" t="str">
        <f>IFERROR(VLOOKUP($B52,'LOD 300 - SITE'!$B:DE,108,FALSE),"N/A")</f>
        <v>N/A</v>
      </c>
      <c r="GG52" s="87" t="str">
        <f>IFERROR(VLOOKUP($B52,'LOD 300 - SITE'!$B:DH,111,FALSE),"N/A")</f>
        <v>N/A</v>
      </c>
      <c r="GH52" s="87" t="str">
        <f>IFERROR(VLOOKUP($B52,'LOD 300 - SITE'!$B:DK,114,FALSE),"N/A")</f>
        <v>N/A</v>
      </c>
      <c r="GI52" s="87" t="str">
        <f>IFERROR(VLOOKUP($B52,'LOD 300 - SITE'!$B:DN,117,FALSE),"N/A")</f>
        <v>N/A</v>
      </c>
      <c r="GJ52" s="87" t="str">
        <f>IFERROR(VLOOKUP($B52,'LOD 300 - SITE'!$B:DQ,120,FALSE),"N/A")</f>
        <v>N/A</v>
      </c>
      <c r="GK52" s="87" t="str">
        <f>IFERROR(VLOOKUP($B52,'LOD 300 - SITE'!$B:DT,123,FALSE),"N/A")</f>
        <v>N/A</v>
      </c>
      <c r="GL52" s="87" t="str">
        <f>IFERROR(VLOOKUP($B52,'LOD 300 - SITE'!$B:DW,126,FALSE),"N/A")</f>
        <v>N/A</v>
      </c>
      <c r="GM52" s="110" t="str">
        <f>IFERROR(__xludf.DUMMYFUNCTION("IFERROR(
  MAX(FILTER(FB52:GL52, ISNUMBER(FB52:GL52))),
  GL52
)"),"N/A")</f>
        <v>N/A</v>
      </c>
      <c r="GN52" s="111"/>
      <c r="GO52" s="111"/>
      <c r="GP52" s="111"/>
    </row>
    <row r="53" ht="15.0" customHeight="1" outlineLevel="1">
      <c r="A53" s="60">
        <v>56.0</v>
      </c>
      <c r="B53" s="140" t="s">
        <v>209</v>
      </c>
      <c r="C53" s="70" t="s">
        <v>210</v>
      </c>
      <c r="D53" s="71" t="s">
        <v>90</v>
      </c>
      <c r="E53" s="146" t="s">
        <v>169</v>
      </c>
      <c r="F53" s="13">
        <v>1112.0</v>
      </c>
      <c r="G53" s="139" t="s">
        <v>170</v>
      </c>
      <c r="H53" s="139">
        <v>1129.0</v>
      </c>
      <c r="I53" s="74" t="str">
        <f>IFERROR(VLOOKUP(C50:C192,'R22 RELATÓRIO ACC'!B:F,5,FALSE),"NOT PUBLISHED")</f>
        <v>V34</v>
      </c>
      <c r="J53" s="74" t="str">
        <f>IFERROR(VLOOKUP(C50:C192,'R22 RELATÓRIO ACC'!B:P,15,FALSE),"NOT PUBLISHED")</f>
        <v>05/05/2026</v>
      </c>
      <c r="K53" s="141" t="str">
        <f>IFERROR(VLOOKUP(B50:B241,'RELATÓRIO ACC'!B:F,5,FALSE),"NOT PUBLISHED")</f>
        <v>V3</v>
      </c>
      <c r="L53" s="142" t="str">
        <f>IFERROR(VLOOKUP(B50:B241,'RELATÓRIO ACC'!B:P,15,FALSE),"NOT PUBLISHED")</f>
        <v>03/07/2026</v>
      </c>
      <c r="M53" s="76" t="str">
        <f>IF(OR($D53="UTLS",$D53="GUAR",$D53="STIR",$D53="PUMP",$D53="SITE"),
   VLOOKUP($B53,'LOD 300 - SITE'!B:M,12,FALSE),
   VLOOKUP($B53,'LOD 300 - ADMN'!B:M,12,FALSE)
)</f>
        <v>V19</v>
      </c>
      <c r="N53" s="77">
        <f>IF(OR($D53="UTLS",$D53="GUAR",$D53="STIR",$D53="PUMP",$D53="SITE"),
   VLOOKUP($B53,'LOD 300 - SITE'!B:N,13,FALSE),
   VLOOKUP($B53,'LOD 300 - ADMN'!B:N,13,FALSE)
)</f>
        <v>45882</v>
      </c>
      <c r="O53" s="114" t="str">
        <f>IF(OR($D53="UTLS",$D53="GUAR",$D53="STIR",$D53="PUMP",$D53="SITE"),
   VLOOKUP($B53,'LOD 300 - SITE'!B:O,14,FALSE),
   VLOOKUP($B53,'LOD 300 - ADMN'!B:O,14,FALSE)
)</f>
        <v>R22</v>
      </c>
      <c r="P53" s="79" t="str">
        <f>IF(OR($D53="C345",$D53="C12A",$D53="DATA"),
   VLOOKUP($B53,'LOD 300 - COLO3'!B:M,12,FALSE),"N/A")</f>
        <v>N/A</v>
      </c>
      <c r="Q53" s="76" t="str">
        <f>IF(OR($D53="C345",$D53="C12A",$D53="DATA"),
   VLOOKUP($B53,'LOD 300 - COLO3'!B:N,13,FALSE),"N/A")</f>
        <v>N/A</v>
      </c>
      <c r="R53" s="76" t="str">
        <f>IF(OR($D53="C345",$D53="C12A",$D53="DATA"),
   VLOOKUP($B53,'LOD 300 - COLO3'!B:O,14,FALSE),"N/A")</f>
        <v>N/A</v>
      </c>
      <c r="S53" s="79" t="str">
        <f>IF(OR($D53="C345",$D53="C12A",$D53="DATA"),
   VLOOKUP($B53,'LOD 300 - COLO4'!B:M,12,FALSE),"N/A")</f>
        <v>N/A</v>
      </c>
      <c r="T53" s="76" t="str">
        <f>IF(OR($D53="C345",$D53="C12A",$D53="DATA"),
   VLOOKUP($B53,'LOD 300 - COLO4'!B:T,13,FALSE),"N/A")</f>
        <v>N/A</v>
      </c>
      <c r="U53" s="76" t="str">
        <f>IF(OR($D53="C345",$D53="C12A",$D53="DATA"),
   VLOOKUP($B53,'LOD 300 - COLO4'!B:U,17,FALSE),"N/A")</f>
        <v>N/A</v>
      </c>
      <c r="V53" s="126"/>
      <c r="W53" s="144" t="str">
        <f>IFERROR(VLOOKUP($B53,'LOD 300 - ADMN'!$B:S,18,FALSE),"N/A")</f>
        <v>N/A</v>
      </c>
      <c r="X53" s="122" t="str">
        <f>IFERROR(VLOOKUP($B53,'LOD 300 - ADMN'!$B:V,21,FALSE),"N/A")</f>
        <v>N/A</v>
      </c>
      <c r="Y53" s="122" t="str">
        <f>IFERROR(VLOOKUP($B53,'LOD 300 - ADMN'!$B:Y,24,FALSE),"N/A")</f>
        <v>N/A</v>
      </c>
      <c r="Z53" s="122" t="str">
        <f>IFERROR(VLOOKUP($B53,'LOD 300 - ADMN'!$B:AB,27,FALSE),"N/A")</f>
        <v>N/A</v>
      </c>
      <c r="AA53" s="122" t="str">
        <f>IFERROR(VLOOKUP($B53,'LOD 300 - ADMN'!$B:AE,30,FALSE),"N/A")</f>
        <v>N/A</v>
      </c>
      <c r="AB53" s="145" t="str">
        <f>IFERROR(VLOOKUP($B53,'LOD 300 - ADMN'!$B:AH,33,FALSE),"N/A")</f>
        <v>N/A</v>
      </c>
      <c r="AC53" s="145" t="str">
        <f>IFERROR(VLOOKUP($B53,'LOD 300 - ADMN'!$B:AK,36,FALSE),"N/A")</f>
        <v>N/A</v>
      </c>
      <c r="AD53" s="122" t="str">
        <f>IFERROR(VLOOKUP($B53,'LOD 300 - ADMN'!$B:AN,39,FALSE),"N/A")</f>
        <v>N/A</v>
      </c>
      <c r="AE53" s="122" t="str">
        <f>IFERROR(VLOOKUP($B53,'LOD 300 - ADMN'!$B:AQ,42,FALSE),"N/A")</f>
        <v>N/A</v>
      </c>
      <c r="AF53" s="122" t="str">
        <f>IFERROR(VLOOKUP($B53,'LOD 300 - ADMN'!$B:AT,45,FALSE),"N/A")</f>
        <v>N/A</v>
      </c>
      <c r="AG53" s="122" t="str">
        <f>IFERROR(VLOOKUP($B53,'LOD 300 - ADMN'!$B:AW,48,FALSE),"N/A")</f>
        <v>N/A</v>
      </c>
      <c r="AH53" s="122" t="str">
        <f>IFERROR(VLOOKUP($B53,'LOD 300 - ADMN'!$B:AZ,51,FALSE),"N/A")</f>
        <v>N/A</v>
      </c>
      <c r="AI53" s="122" t="str">
        <f>IFERROR(VLOOKUP($B53,'LOD 300 - ADMN'!$B:BC,54,FALSE),"N/A")</f>
        <v>N/A</v>
      </c>
      <c r="AJ53" s="87" t="str">
        <f>IFERROR(VLOOKUP($B53,'LOD 300 - ADMN'!$B:BF,57,FALSE),"N/A")</f>
        <v>N/A</v>
      </c>
      <c r="AK53" s="87" t="str">
        <f>IFERROR(VLOOKUP($B53,'LOD 300 - ADMN'!$B:EP,60,FALSE),"N/A")</f>
        <v>N/A</v>
      </c>
      <c r="AL53" s="87" t="str">
        <f>IFERROR(VLOOKUP($B53,'LOD 300 - ADMN'!$B:EQ,63,FALSE),"N/A")</f>
        <v>N/A</v>
      </c>
      <c r="AM53" s="87" t="str">
        <f>IFERROR(VLOOKUP($B53,'LOD 300 - ADMN'!$B:BO,66,FALSE),"N/A")</f>
        <v>N/A</v>
      </c>
      <c r="AN53" s="87" t="str">
        <f>IFERROR(VLOOKUP($B53,'LOD 300 - ADMN'!$B:BR,69,FALSE),"N/A")</f>
        <v>N/A</v>
      </c>
      <c r="AO53" s="87" t="str">
        <f>IFERROR(VLOOKUP($B53,'LOD 300 - ADMN'!$B:BU,72,FALSE),"N/A")</f>
        <v>N/A</v>
      </c>
      <c r="AP53" s="87" t="str">
        <f>IFERROR(VLOOKUP($B53,'LOD 300 - ADMN'!$B:BX,75,FALSE),"N/A")</f>
        <v>N/A</v>
      </c>
      <c r="AQ53" s="87" t="str">
        <f>IFERROR(VLOOKUP($B53,'LOD 300 - ADMN'!$B:CA,78,FALSE),"N/A")</f>
        <v>N/A</v>
      </c>
      <c r="AR53" s="87" t="str">
        <f>IFERROR(VLOOKUP($B53,'LOD 300 - ADMN'!$B:CD,81,FALSE),"N/A")</f>
        <v>N/A</v>
      </c>
      <c r="AS53" s="87" t="str">
        <f>IFERROR(VLOOKUP($B53,'LOD 300 - ADMN'!$B:CG,84,FALSE),"N/A")</f>
        <v>N/A</v>
      </c>
      <c r="AT53" s="87" t="str">
        <f>IFERROR(VLOOKUP($B53,'LOD 300 - ADMN'!$B:CJ,87,FALSE),"N/A")</f>
        <v>N/A</v>
      </c>
      <c r="AU53" s="88" t="str">
        <f>IFERROR(VLOOKUP($B53,'LOD 300 - ADMN'!$B:CM,90,FALSE),"N/A")</f>
        <v>N/A</v>
      </c>
      <c r="AV53" s="88" t="str">
        <f>IFERROR(VLOOKUP($B53,'LOD 300 - ADMN'!$B:CP,93,FALSE),"N/A")</f>
        <v>N/A</v>
      </c>
      <c r="AW53" s="88" t="str">
        <f>IFERROR(VLOOKUP($B53,'LOD 300 - ADMN'!$B:CS,96,FALSE),"N/A")</f>
        <v>N/A</v>
      </c>
      <c r="AX53" s="88" t="str">
        <f>IFERROR(VLOOKUP($B53,'LOD 300 - ADMN'!$B:CV,99,FALSE),"N/A")</f>
        <v>N/A</v>
      </c>
      <c r="AY53" s="88" t="str">
        <f>IFERROR(VLOOKUP($B53,'LOD 300 - ADMN'!$B:CY,102,FALSE),"N/A")</f>
        <v>N/A</v>
      </c>
      <c r="AZ53" s="88" t="str">
        <f>IFERROR(VLOOKUP($B53,'LOD 300 - ADMN'!$B:DB,105,FALSE),"N/A")</f>
        <v>N/A</v>
      </c>
      <c r="BA53" s="87" t="str">
        <f>IFERROR(VLOOKUP($B53,'LOD 300 - ADMN'!$B:DE,108,FALSE),"N/A")</f>
        <v>N/A</v>
      </c>
      <c r="BB53" s="87" t="str">
        <f>IFERROR(VLOOKUP($B53,'LOD 300 - ADMN'!$B:DH,111,FALSE),"N/A")</f>
        <v>N/A</v>
      </c>
      <c r="BC53" s="87" t="str">
        <f>IFERROR(VLOOKUP($B53,'LOD 300 - ADMN'!$B:DK,114,FALSE),"N/A")</f>
        <v>N/A</v>
      </c>
      <c r="BD53" s="87" t="str">
        <f>IFERROR(VLOOKUP($B53,'LOD 300 - ADMN'!$B:DN,117,FALSE),"N/A")</f>
        <v>N/A</v>
      </c>
      <c r="BE53" s="87" t="str">
        <f>IFERROR(VLOOKUP($B53,'LOD 300 - ADMN'!$B:DQ,120,FALSE),"N/A")</f>
        <v>N/A</v>
      </c>
      <c r="BF53" s="87" t="str">
        <f>IFERROR(VLOOKUP($B53,'LOD 300 - ADMN'!$B:DT,123,FALSE),"N/A")</f>
        <v>N/A</v>
      </c>
      <c r="BG53" s="87" t="str">
        <f>IFERROR(VLOOKUP($B53,'LOD 300 - ADMN'!$B:DW,126,FALSE),"N/A")</f>
        <v>N/A</v>
      </c>
      <c r="BH53" s="87" t="str">
        <f>IFERROR(VLOOKUP($B53,'LOD 300 - ADMN'!$B:DZ,129,FALSE),"N/A")</f>
        <v>N/A</v>
      </c>
      <c r="BI53" s="87" t="str">
        <f>IFERROR(VLOOKUP($B53,'LOD 300 - ADMN'!$B:EC,132,FALSE),"N/A")</f>
        <v>N/A</v>
      </c>
      <c r="BJ53" s="90" t="str">
        <f>IFERROR(__xludf.DUMMYFUNCTION("IFERROR(
  MAX(FILTER(X53:BI53, ISNUMBER(X53:BI53))),
  BI53
)"),"N/A")</f>
        <v>N/A</v>
      </c>
      <c r="BK53" s="91" t="str">
        <f>IFERROR(VLOOKUP($B53,'LOD 300 - COLO1'!$B:S,18,FALSE),"N/A")</f>
        <v>N/A</v>
      </c>
      <c r="BL53" s="92" t="str">
        <f>IFERROR(VLOOKUP($B53,'LOD 300 - COLO1'!$B:V,21,FALSE),"N/A")</f>
        <v>N/A</v>
      </c>
      <c r="BM53" s="92" t="str">
        <f>IFERROR(VLOOKUP($B53,'LOD 300 - COLO1'!$B:Y,24,FALSE),"N/A")</f>
        <v>N/A</v>
      </c>
      <c r="BN53" s="92" t="str">
        <f>IFERROR(VLOOKUP($B53,'LOD 300 - COLO1'!$B:AB,27,FALSE),"N/A")</f>
        <v>N/A</v>
      </c>
      <c r="BO53" s="92" t="str">
        <f>IFERROR(VLOOKUP($B53,'LOD 300 - COLO1'!$B:AE,30,FALSE),"N/A")</f>
        <v>N/A</v>
      </c>
      <c r="BP53" s="92" t="str">
        <f>IFERROR(VLOOKUP($B53,'LOD 300 - COLO1'!$B:AH,33,FALSE),"N/A")</f>
        <v>N/A</v>
      </c>
      <c r="BQ53" s="92" t="str">
        <f>IFERROR(VLOOKUP($B53,'LOD 300 - COLO1'!$B:AK,36,FALSE),"N/A")</f>
        <v>N/A</v>
      </c>
      <c r="BR53" s="92" t="str">
        <f>IFERROR(VLOOKUP($B53,'LOD 300 - COLO1'!$B:AN,39,FALSE),"N/A")</f>
        <v>N/A</v>
      </c>
      <c r="BS53" s="92" t="str">
        <f>IFERROR(VLOOKUP($B53,'LOD 300 - COLO1'!$B:AQ,42,FALSE),"N/A")</f>
        <v>N/A</v>
      </c>
      <c r="BT53" s="92" t="str">
        <f>IFERROR(VLOOKUP($B53,'LOD 300 - COLO1'!$B:AT,45,FALSE),"N/A")</f>
        <v>N/A</v>
      </c>
      <c r="BU53" s="92" t="str">
        <f>IFERROR(VLOOKUP($B53,'LOD 300 - COLO1'!$B:AW,48,FALSE),"N/A")</f>
        <v>N/A</v>
      </c>
      <c r="BV53" s="92" t="str">
        <f>IFERROR(VLOOKUP($B53,'LOD 300 - COLO1'!$B:AZ,51,FALSE),"N/A")</f>
        <v>N/A</v>
      </c>
      <c r="BW53" s="92" t="str">
        <f>IFERROR(VLOOKUP($B53,'LOD 300 - COLO1'!$B:BC,54,FALSE),"N/A")</f>
        <v>N/A</v>
      </c>
      <c r="BX53" s="94" t="str">
        <f>IFERROR(VLOOKUP($B53,'LOD 300 - COLO1'!$B:BF,57,FALSE),"N/A")</f>
        <v>N/A</v>
      </c>
      <c r="BY53" s="94" t="str">
        <f>IFERROR(VLOOKUP($B53,'LOD 300 - COLO1'!$B:BI,60,FALSE),"N/A")</f>
        <v>N/A</v>
      </c>
      <c r="BZ53" s="95" t="str">
        <f>IFERROR(VLOOKUP($B53,'LOD 300 - COLO1'!$B:BL,63,FALSE),"N/A")</f>
        <v>N/A</v>
      </c>
      <c r="CA53" s="86" t="str">
        <f>IFERROR(VLOOKUP($B53,'LOD 300 - COLO1'!$B:BO,66,FALSE),"N/A")</f>
        <v>N/A</v>
      </c>
      <c r="CB53" s="86" t="str">
        <f>IFERROR(VLOOKUP($B53,'LOD 300 - COLO1'!$B:BR,69,FALSE),"N/A")</f>
        <v>N/A</v>
      </c>
      <c r="CC53" s="86" t="str">
        <f>IFERROR(VLOOKUP($B53,'LOD 300 - COLO1'!$B:BU,72,FALSE),"N/A")</f>
        <v>N/A</v>
      </c>
      <c r="CD53" s="86" t="str">
        <f>IFERROR(VLOOKUP($B53,'LOD 300 - COLO1'!$B:BX,75,FALSE),"N/A")</f>
        <v>N/A</v>
      </c>
      <c r="CE53" s="86" t="str">
        <f>IFERROR(VLOOKUP($B53,'LOD 300 - COLO1'!$B:CA,78,FALSE),"N/A")</f>
        <v>N/A</v>
      </c>
      <c r="CF53" s="87" t="str">
        <f>IFERROR(VLOOKUP($B53,'LOD 300 - COLO1'!$B:CD,81,FALSE),"N/A")</f>
        <v>N/A</v>
      </c>
      <c r="CG53" s="86" t="str">
        <f>IFERROR(VLOOKUP($B53,'LOD 300 - COLO1'!$B:CG,84,FALSE),"N/A")</f>
        <v>N/A</v>
      </c>
      <c r="CH53" s="87" t="str">
        <f>IFERROR(VLOOKUP($B53,'LOD 300 - COLO1'!$B:CJ,87,FALSE),"N/A")</f>
        <v>N/A</v>
      </c>
      <c r="CI53" s="88" t="str">
        <f>IFERROR(VLOOKUP($B53,'LOD 300 - COLO1'!$B:CM,90,FALSE),"N/A")</f>
        <v>N/A</v>
      </c>
      <c r="CJ53" s="88" t="str">
        <f>IFERROR(VLOOKUP($B53,'LOD 300 - COLO1'!$B:CP,93,FALSE),"N/A")</f>
        <v>N/A</v>
      </c>
      <c r="CK53" s="88" t="str">
        <f>IFERROR(VLOOKUP($B53,'LOD 300 - COLO1'!$B:CS,96,FALSE),"N/A")</f>
        <v>N/A</v>
      </c>
      <c r="CL53" s="88" t="str">
        <f>IFERROR(VLOOKUP($B53,'LOD 300 - COLO1'!$B:CV,99,FALSE),"N/A")</f>
        <v>N/A</v>
      </c>
      <c r="CM53" s="88" t="str">
        <f>IFERROR(VLOOKUP($B53,'LOD 300 - COLO1'!$B:CY,102,FALSE),"N/A")</f>
        <v>N/A</v>
      </c>
      <c r="CN53" s="89" t="str">
        <f>IFERROR(VLOOKUP($B53,'LOD 300 - COLO1'!$B:DB,105,FALSE),"N/A")</f>
        <v>N/A</v>
      </c>
      <c r="CO53" s="87" t="str">
        <f>IFERROR(VLOOKUP($B53,'LOD 300 - COLO1'!$B:EE,108,FALSE),"N/A")</f>
        <v>N/A</v>
      </c>
      <c r="CP53" s="87" t="str">
        <f>IFERROR(VLOOKUP($B53,'LOD 300 - COLO1'!$B:EH,111,FALSE),"N/A")</f>
        <v>N/A</v>
      </c>
      <c r="CQ53" s="87" t="str">
        <f>IFERROR(VLOOKUP($B53,'LOD 300 - COLO1'!$B:EK,114,FALSE),"N/A")</f>
        <v>N/A</v>
      </c>
      <c r="CR53" s="87" t="str">
        <f>IFERROR(VLOOKUP($B53,'LOD 300 - COLO1'!$B:EN,117,FALSE),"N/A")</f>
        <v>N/A</v>
      </c>
      <c r="CS53" s="87" t="str">
        <f>IFERROR(VLOOKUP($B53,'LOD 300 - COLO1'!$B:EQ,120,FALSE),"N/A")</f>
        <v>N/A</v>
      </c>
      <c r="CT53" s="87" t="str">
        <f>IFERROR(VLOOKUP($B53,'LOD 300 - COLO1'!$B:ET,123,FALSE),"N/A")</f>
        <v>N/A</v>
      </c>
      <c r="CU53" s="87" t="str">
        <f>IFERROR(VLOOKUP($B53,'LOD 300 - COLO1'!$B:EW,126,FALSE),"N/A")</f>
        <v>N/A</v>
      </c>
      <c r="CV53" s="87" t="str">
        <f>IFERROR(VLOOKUP($B53,'LOD 300 - COLO1'!$B:EZ,129,FALSE),"N/A")</f>
        <v>N/A</v>
      </c>
      <c r="CW53" s="87" t="str">
        <f>IFERROR(VLOOKUP($B53,'LOD 300 - COLO1'!$B:FC,132,FALSE),"N/A")</f>
        <v>N/A</v>
      </c>
      <c r="CX53" s="96" t="str">
        <f>IFERROR(__xludf.DUMMYFUNCTION("IFERROR(
  MAX(FILTER(BK53:CW53, ISNUMBER(BK53:CW53))),
  CW53
)"),"N/A")</f>
        <v>N/A</v>
      </c>
      <c r="CY53" s="104" t="str">
        <f>IFERROR(VLOOKUP($B53,'LOD 300 - COLO2'!$B:S,18,FALSE),"N/A")</f>
        <v>N/A</v>
      </c>
      <c r="CZ53" s="117" t="str">
        <f>IFERROR(VLOOKUP($B53,'LOD 300 - COLO2'!$B:V,21,FALSE),"N/A")</f>
        <v>N/A</v>
      </c>
      <c r="DA53" s="117" t="str">
        <f>IFERROR(VLOOKUP($B53,'LOD 300 - COLO2'!$B:Y,24,FALSE),"N/A")</f>
        <v>N/A</v>
      </c>
      <c r="DB53" s="117" t="str">
        <f>IFERROR(VLOOKUP($B53,'LOD 300 - COLO2'!$B:AB,27,FALSE),"N/A")</f>
        <v>N/A</v>
      </c>
      <c r="DC53" s="92" t="str">
        <f>IFERROR(VLOOKUP($B53,'LOD 300 - COLO2'!$B:AE,30,FALSE),"N/A")</f>
        <v>N/A</v>
      </c>
      <c r="DD53" s="120" t="str">
        <f>IFERROR(VLOOKUP($B53,'LOD 300 - COLO2'!$B:AH,33,FALSE),"N/A")</f>
        <v>N/A</v>
      </c>
      <c r="DE53" s="117" t="str">
        <f>IFERROR(VLOOKUP($B53,'LOD 300 - COLO2'!$B:AK,36,FALSE),"N/A")</f>
        <v>N/A</v>
      </c>
      <c r="DF53" s="117" t="str">
        <f>IFERROR(VLOOKUP($B53,'LOD 300 - COLO2'!$B:AN,39,FALSE),"N/A")</f>
        <v>N/A</v>
      </c>
      <c r="DG53" s="119" t="str">
        <f>IFERROR(VLOOKUP($B53,'LOD 300 - COLO2'!$B:AQ,42,FALSE),"N/A")</f>
        <v>N/A</v>
      </c>
      <c r="DH53" s="87" t="str">
        <f>IFERROR(VLOOKUP($B53,'LOD 300 - COLO2'!$B:AT,45,FALSE),"N/A")</f>
        <v>N/A</v>
      </c>
      <c r="DI53" s="94" t="str">
        <f>IFERROR(VLOOKUP($B53,'LOD 300 - COLO2'!$B:AW,48,FALSE),"N/A")</f>
        <v>N/A</v>
      </c>
      <c r="DJ53" s="95" t="str">
        <f>IFERROR(VLOOKUP($B53,'LOD 300 - COLO2'!$B:AZ,51,FALSE),"N/A")</f>
        <v>N/A</v>
      </c>
      <c r="DK53" s="86" t="str">
        <f>IFERROR(VLOOKUP($B53,'LOD 300 - COLO2'!$B:BC,54,FALSE),"N/A")</f>
        <v>N/A</v>
      </c>
      <c r="DL53" s="86" t="str">
        <f>IFERROR(VLOOKUP($B53,'LOD 300 - COLO2'!$B:BF,57,FALSE),"N/A")</f>
        <v>N/A</v>
      </c>
      <c r="DM53" s="86" t="str">
        <f>IFERROR(VLOOKUP($B53,'LOD 300 - COLO2'!$B:BI,60,FALSE),"N/A")</f>
        <v>N/A</v>
      </c>
      <c r="DN53" s="86" t="str">
        <f>IFERROR(VLOOKUP($B53,'LOD 300 - COLO2'!$B:BL,63,FALSE),"N/A")</f>
        <v>N/A</v>
      </c>
      <c r="DO53" s="86" t="str">
        <f>IFERROR(VLOOKUP($B53,'LOD 300 - COLO2'!$B:BO,66,FALSE),"N/A")</f>
        <v>N/A</v>
      </c>
      <c r="DP53" s="87" t="str">
        <f>IFERROR(VLOOKUP($B53,'LOD 300 - COLO2'!$B:BR,69,FALSE),"N/A")</f>
        <v>N/A</v>
      </c>
      <c r="DQ53" s="87" t="str">
        <f>IFERROR(VLOOKUP($B53,'LOD 300 - COLO2'!$B:BU,72,FALSE),"N/A")</f>
        <v>N/A</v>
      </c>
      <c r="DR53" s="87" t="str">
        <f>IFERROR(VLOOKUP($B53,'LOD 300 - COLO2'!$B:BX,75,FALSE),"N/A")</f>
        <v>N/A</v>
      </c>
      <c r="DS53" s="98" t="str">
        <f>IFERROR(VLOOKUP($B53,'LOD 300 - COLO2'!$B:CA,78,FALSE),"N/A")</f>
        <v>N/A</v>
      </c>
      <c r="DT53" s="98" t="str">
        <f>IFERROR(VLOOKUP($B53,'LOD 300 - COLO2'!$B:CD,81,FALSE),"N/A")</f>
        <v>N/A</v>
      </c>
      <c r="DU53" s="98" t="str">
        <f>IFERROR(VLOOKUP($B53,'LOD 300 - COLO2'!$B:CG,84,FALSE),"N/A")</f>
        <v>N/A</v>
      </c>
      <c r="DV53" s="98" t="str">
        <f>IFERROR(VLOOKUP($B53,'LOD 300 - COLO2'!$B:CJ,87,FALSE),"N/A")</f>
        <v>N/A</v>
      </c>
      <c r="DW53" s="98" t="str">
        <f>IFERROR(VLOOKUP($B53,'LOD 300 - COLO2'!$B:CM,90,FALSE),"N/A")</f>
        <v>N/A</v>
      </c>
      <c r="DX53" s="98" t="str">
        <f>IFERROR(VLOOKUP($B53,'LOD 300 - COLO2'!$B:CP,93,FALSE),"N/A")</f>
        <v>N/A</v>
      </c>
      <c r="DY53" s="87" t="str">
        <f>IFERROR(VLOOKUP($B53,'LOD 300 - COLO2'!$B:CS,96,FALSE),"N/A")</f>
        <v>N/A</v>
      </c>
      <c r="DZ53" s="87" t="str">
        <f>IFERROR(VLOOKUP($B53,'LOD 300 - COLO2'!$B:CV,99,FALSE),"N/A")</f>
        <v>N/A</v>
      </c>
      <c r="EA53" s="87" t="str">
        <f>IFERROR(VLOOKUP($B53,'LOD 300 - COLO2'!$B:DB,105,FALSE),"N/A")</f>
        <v>N/A</v>
      </c>
      <c r="EB53" s="87" t="str">
        <f>IFERROR(VLOOKUP($B53,'LOD 300 - COLO2'!$B:DB,105,FALSE),"N/A")</f>
        <v>N/A</v>
      </c>
      <c r="EC53" s="87" t="str">
        <f>IFERROR(VLOOKUP($B53,'LOD 300 - COLO2'!$B:DE,108,FALSE),"N/A")</f>
        <v>N/A</v>
      </c>
      <c r="ED53" s="87" t="str">
        <f>IFERROR(VLOOKUP($B53,'LOD 300 - COLO2'!$B:DH,111,FALSE),"N/A")</f>
        <v>N/A</v>
      </c>
      <c r="EE53" s="87" t="str">
        <f>IFERROR(VLOOKUP($B53,'LOD 300 - COLO2'!$B:DK,114,FALSE),"N/A")</f>
        <v>N/A</v>
      </c>
      <c r="EF53" s="87" t="str">
        <f>IFERROR(VLOOKUP($B53,'LOD 300 - COLO2'!$B:DN,117,FALSE),"N/A")</f>
        <v>N/A</v>
      </c>
      <c r="EG53" s="87" t="str">
        <f>IFERROR(VLOOKUP($B53,'LOD 300 - COLO2'!$B:DQ,120,FALSE),"N/A")</f>
        <v>N/A</v>
      </c>
      <c r="EH53" s="99" t="str">
        <f>IFERROR(__xludf.DUMMYFUNCTION("IFERROR(
  MAX(FILTER(CZ53:EG53, ISNUMBER(CZ53:EG53))),
  EG53
)"),"N/A")</f>
        <v>N/A</v>
      </c>
      <c r="EI53" s="100" t="str">
        <f>IFERROR(VLOOKUP($B53,'LOD 300 - COLO3'!$B:R,17,FALSE),"N/A")</f>
        <v>N/A</v>
      </c>
      <c r="EJ53" s="127" t="str">
        <f>IFERROR(VLOOKUP($B53,'LOD 300 - COLO3'!$B:U,20,FALSE),"N/A")</f>
        <v>N/A</v>
      </c>
      <c r="EK53" s="127" t="str">
        <f>IFERROR(VLOOKUP($B53,'LOD 300 - COLO3'!$B:X,23,FALSE),"N/A")</f>
        <v>N/A</v>
      </c>
      <c r="EL53" s="127" t="str">
        <f>IFERROR(VLOOKUP($B53,'LOD 300 - COLO3'!$B:AA,26,FALSE),"N/A")</f>
        <v>N/A</v>
      </c>
      <c r="EM53" s="127" t="str">
        <f>IFERROR(VLOOKUP($B53,'LOD 300 - COLO3'!$B:AD,29,FALSE),"N/A")</f>
        <v>N/A</v>
      </c>
      <c r="EN53" s="127" t="str">
        <f>IFERROR(VLOOKUP($B53,'LOD 300 - COLO3'!$B:AG,32,FALSE),"N/A")</f>
        <v>N/A</v>
      </c>
      <c r="EO53" s="127" t="str">
        <f>IFERROR(VLOOKUP($B53,'LOD 300 - COLO3'!$B:AJ,35,FALSE),"N/A")</f>
        <v>N/A</v>
      </c>
      <c r="EP53" s="100" t="str">
        <f>IFERROR(VLOOKUP($B53,'LOD 300 - COLO3'!$B:AM,38,FALSE),"N/A")</f>
        <v>N/A</v>
      </c>
      <c r="EQ53" s="100" t="str">
        <f>IFERROR(VLOOKUP($B53,'LOD 300 - COLO3'!$B:AP,41,FALSE),"N/A")</f>
        <v>N/A</v>
      </c>
      <c r="ER53" s="100" t="str">
        <f>IFERROR(VLOOKUP($B53,'LOD 300 - COLO3'!$B:AS,44,FALSE),"N/A")</f>
        <v>N/A</v>
      </c>
      <c r="ES53" s="100" t="str">
        <f>IFERROR(VLOOKUP($B53,'LOD 300 - COLO3'!$B:AV,47,FALSE),"N/A")</f>
        <v>N/A</v>
      </c>
      <c r="ET53" s="100" t="str">
        <f>IFERROR(VLOOKUP($B53,'LOD 300 - COLO3'!$B:AY,50,FALSE),"N/A")</f>
        <v>N/A</v>
      </c>
      <c r="EU53" s="100" t="str">
        <f>IFERROR(VLOOKUP($B53,'LOD 300 - COLO3'!$B:BB,53,FALSE),"N/A")</f>
        <v>N/A</v>
      </c>
      <c r="EV53" s="100" t="str">
        <f>IFERROR(VLOOKUP($B53,'LOD 300 - COLO3'!$B:BE,56,FALSE),"N/A")</f>
        <v>N/A</v>
      </c>
      <c r="EW53" s="100" t="str">
        <f>IFERROR(VLOOKUP($B53,'LOD 300 - COLO3'!$B:BL,59,FALSE),"N/A")</f>
        <v>N/A</v>
      </c>
      <c r="EX53" s="100" t="str">
        <f>IFERROR(VLOOKUP($B53,'LOD 300 - COLO3'!$B:BO,62,FALSE),"N/A")</f>
        <v>N/A</v>
      </c>
      <c r="EY53" s="103" t="str">
        <f>IFERROR(__xludf.DUMMYFUNCTION("IFERROR(
  MAX(FILTER(EI53:EX53, ISNUMBER(EI53:EX53))),
  EX53
)"),"N/A")</f>
        <v>N/A</v>
      </c>
      <c r="EZ53" s="104" t="str">
        <f>IFERROR(VLOOKUP($B53,'LOD 300 - COLO4'!$B:BT,17,FALSE),"N/A")</f>
        <v>N/A</v>
      </c>
      <c r="FA53" s="103" t="str">
        <f>IFERROR(__xludf.DUMMYFUNCTION("IFERROR(
  MAX(FILTER(EZ53, ISNUMBER(EZ53))),
  EZ53
)"),"N/A")</f>
        <v>N/A</v>
      </c>
      <c r="FB53" s="121">
        <f>IFERROR(VLOOKUP($B53,'LOD 300 - SITE'!$B:S,18,FALSE),"N/A")</f>
        <v>0.82</v>
      </c>
      <c r="FC53" s="122">
        <f>IFERROR(VLOOKUP($B53,'LOD 300 - SITE'!$B:V,21,FALSE),"N/A")</f>
        <v>1</v>
      </c>
      <c r="FD53" s="122">
        <f>IFERROR(VLOOKUP($B53,'LOD 300 - SITE'!$B:Y,24,FALSE),"N/A")</f>
        <v>1</v>
      </c>
      <c r="FE53" s="122">
        <f>IFERROR(VLOOKUP($B53,'LOD 300 - SITE'!$B:AB,27,FALSE),"N/A")</f>
        <v>1</v>
      </c>
      <c r="FF53" s="122">
        <f>IFERROR(VLOOKUP($B53,'LOD 300 - SITE'!$B:AE,30,FALSE),"N/A")</f>
        <v>1</v>
      </c>
      <c r="FG53" s="122">
        <f>IFERROR(VLOOKUP($B53,'LOD 300 - SITE'!$B:AH,33,FALSE),"N/A")</f>
        <v>1</v>
      </c>
      <c r="FH53" s="122">
        <f>IFERROR(VLOOKUP($B53,'LOD 300 - SITE'!$B:AK,36,FALSE),"N/A")</f>
        <v>1</v>
      </c>
      <c r="FI53" s="122">
        <f>IFERROR(VLOOKUP($B53,'LOD 300 - SITE'!$B:AN,39,FALSE),"N/A")</f>
        <v>1</v>
      </c>
      <c r="FJ53" s="122">
        <f>IFERROR(VLOOKUP($B53,'LOD 300 - SITE'!$B:AQ,42,FALSE),"N/A")</f>
        <v>1</v>
      </c>
      <c r="FK53" s="122">
        <f>IFERROR(VLOOKUP($B53,'LOD 300 - SITE'!$B:AT,45,FALSE),"N/A")</f>
        <v>1</v>
      </c>
      <c r="FL53" s="123">
        <f>IFERROR(VLOOKUP($B53,'LOD 300 - SITE'!$B:AW,48,FALSE),"N/A")</f>
        <v>1</v>
      </c>
      <c r="FM53" s="87">
        <f>IFERROR(VLOOKUP($B53,'LOD 300 - SITE'!$B:AZ,51,FALSE),"N/A")</f>
        <v>1</v>
      </c>
      <c r="FN53" s="94">
        <f>IFERROR(VLOOKUP($B53,'LOD 300 - SITE'!$B:BC,54,FALSE),"N/A")</f>
        <v>1</v>
      </c>
      <c r="FO53" s="95">
        <f>IFERROR(VLOOKUP($B53,'LOD 300 - SITE'!$B:BF,57,FALSE),"N/A")</f>
        <v>1</v>
      </c>
      <c r="FP53" s="86">
        <f>IFERROR(VLOOKUP($B53,'LOD 300 - SITE'!$B:BI,60,FALSE),"N/A")</f>
        <v>1</v>
      </c>
      <c r="FQ53" s="86">
        <f>IFERROR(VLOOKUP($B53,'LOD 300 - SITE'!$B:BL,63,FALSE),"N/A")</f>
        <v>1</v>
      </c>
      <c r="FR53" s="86">
        <f>IFERROR(VLOOKUP($B53,'LOD 300 - SITE'!$B:BO,66,FALSE),"N/A")</f>
        <v>1</v>
      </c>
      <c r="FS53" s="86">
        <f>IFERROR(VLOOKUP($B53,'LOD 300 - SITE'!$B:BR,69,FALSE),"N/A")</f>
        <v>1</v>
      </c>
      <c r="FT53" s="86">
        <f>IFERROR(VLOOKUP($B53,'LOD 300 - SITE'!$B:BU,72,FALSE),"N/A")</f>
        <v>1</v>
      </c>
      <c r="FU53" s="86">
        <f>IFERROR(VLOOKUP($B53,'LOD 300 - SITE'!$B:BX,75,FALSE),"N/A")</f>
        <v>1</v>
      </c>
      <c r="FV53" s="86">
        <f>IFERROR(VLOOKUP($B53,'LOD 300 - SITE'!$B:CA,78,FALSE),"N/A")</f>
        <v>1</v>
      </c>
      <c r="FW53" s="87">
        <f>IFERROR(VLOOKUP($B53,'LOD 300 - SITE'!$B:CD,81,FALSE),"N/A")</f>
        <v>1</v>
      </c>
      <c r="FX53" s="108">
        <f>IFERROR(VLOOKUP($B53,'LOD 300 - SITE'!$B:CG,84,FALSE),"N/A")</f>
        <v>1</v>
      </c>
      <c r="FY53" s="108">
        <f>IFERROR(VLOOKUP($B53,'LOD 300 - SITE'!$B:CJ,87,FALSE),"N/A")</f>
        <v>1</v>
      </c>
      <c r="FZ53" s="108">
        <f>IFERROR(VLOOKUP($B53,'LOD 300 - SITE'!$B:CM,90,FALSE),"N/A")</f>
        <v>1</v>
      </c>
      <c r="GA53" s="108">
        <f>IFERROR(VLOOKUP($B53,'LOD 300 - SITE'!$B:CP,93,FALSE),"N/A")</f>
        <v>1</v>
      </c>
      <c r="GB53" s="108">
        <f>IFERROR(VLOOKUP($B53,'LOD 300 - SITE'!$B:CS,96,FALSE),"N/A")</f>
        <v>1</v>
      </c>
      <c r="GC53" s="109">
        <f>IFERROR(VLOOKUP($B53,'LOD 300 - SITE'!$B:CV,99,FALSE),"N/A")</f>
        <v>1</v>
      </c>
      <c r="GD53" s="87">
        <f>IFERROR(VLOOKUP($B53,'LOD 300 - SITE'!$B:CY,102,FALSE),"N/A")</f>
        <v>1</v>
      </c>
      <c r="GE53" s="87">
        <f>IFERROR(VLOOKUP($B53,'LOD 300 - SITE'!$B:DB,105,FALSE),"N/A")</f>
        <v>1</v>
      </c>
      <c r="GF53" s="87">
        <f>IFERROR(VLOOKUP($B53,'LOD 300 - SITE'!$B:DE,108,FALSE),"N/A")</f>
        <v>1</v>
      </c>
      <c r="GG53" s="87">
        <f>IFERROR(VLOOKUP($B53,'LOD 300 - SITE'!$B:DH,111,FALSE),"N/A")</f>
        <v>1</v>
      </c>
      <c r="GH53" s="87">
        <f>IFERROR(VLOOKUP($B53,'LOD 300 - SITE'!$B:DK,114,FALSE),"N/A")</f>
        <v>1</v>
      </c>
      <c r="GI53" s="87">
        <f>IFERROR(VLOOKUP($B53,'LOD 300 - SITE'!$B:DN,117,FALSE),"N/A")</f>
        <v>1</v>
      </c>
      <c r="GJ53" s="87">
        <f>IFERROR(VLOOKUP($B53,'LOD 300 - SITE'!$B:DQ,120,FALSE),"N/A")</f>
        <v>1</v>
      </c>
      <c r="GK53" s="87">
        <f>IFERROR(VLOOKUP($B53,'LOD 300 - SITE'!$B:DT,123,FALSE),"N/A")</f>
        <v>1</v>
      </c>
      <c r="GL53" s="87">
        <f>IFERROR(VLOOKUP($B53,'LOD 300 - SITE'!$B:DW,126,FALSE),"N/A")</f>
        <v>1</v>
      </c>
      <c r="GM53" s="110">
        <f>IFERROR(__xludf.DUMMYFUNCTION("IFERROR(
  MAX(FILTER(FB53:GL53, ISNUMBER(FB53:GL53))),
  GL53
)"),1.0)</f>
        <v>1</v>
      </c>
      <c r="GN53" s="135"/>
      <c r="GO53" s="135"/>
      <c r="GP53" s="135"/>
    </row>
    <row r="54" ht="15.0" hidden="1" customHeight="1">
      <c r="A54" s="60">
        <v>57.0</v>
      </c>
      <c r="B54" s="187" t="s">
        <v>211</v>
      </c>
      <c r="C54" s="188"/>
      <c r="D54" s="189"/>
      <c r="E54" s="189"/>
      <c r="F54" s="13"/>
      <c r="G54" s="189"/>
      <c r="H54" s="190"/>
      <c r="I54" s="191"/>
      <c r="J54" s="191"/>
      <c r="K54" s="189"/>
      <c r="L54" s="189"/>
      <c r="M54" s="192"/>
      <c r="N54" s="192"/>
      <c r="O54" s="192"/>
      <c r="P54" s="193"/>
      <c r="Q54" s="192"/>
      <c r="R54" s="192"/>
      <c r="S54" s="79" t="str">
        <f>IF(OR($D54="C345",$D54="C12A",$D54="DATA"),
   VLOOKUP($B54,'LOD 300 - COLO4'!B:S,14,FALSE),"N/A")</f>
        <v>N/A</v>
      </c>
      <c r="T54" s="76" t="str">
        <f>IF(OR($D54="C345",$D54="C12A",$D54="DATA"),
   VLOOKUP($B54,'LOD 300 - COLO3'!B:T,13,FALSE),"N/A")</f>
        <v>N/A</v>
      </c>
      <c r="U54" s="192"/>
      <c r="V54" s="189"/>
      <c r="W54" s="194"/>
      <c r="X54" s="195"/>
      <c r="Y54" s="195"/>
      <c r="Z54" s="195"/>
      <c r="AA54" s="195"/>
      <c r="AB54" s="195"/>
      <c r="AC54" s="195"/>
      <c r="AD54" s="195"/>
      <c r="AE54" s="195"/>
      <c r="AF54" s="195"/>
      <c r="AG54" s="195"/>
      <c r="AH54" s="195"/>
      <c r="AI54" s="195"/>
      <c r="AJ54" s="196"/>
      <c r="AK54" s="196"/>
      <c r="AL54" s="197"/>
      <c r="AM54" s="196"/>
      <c r="AN54" s="196"/>
      <c r="AO54" s="196"/>
      <c r="AP54" s="196"/>
      <c r="AQ54" s="196"/>
      <c r="AR54" s="196"/>
      <c r="AS54" s="196"/>
      <c r="AT54" s="196"/>
      <c r="AU54" s="196"/>
      <c r="AV54" s="197"/>
      <c r="AW54" s="197"/>
      <c r="AX54" s="197"/>
      <c r="AY54" s="197"/>
      <c r="AZ54" s="197"/>
      <c r="BA54" s="196"/>
      <c r="BB54" s="197"/>
      <c r="BC54" s="198"/>
      <c r="BD54" s="198"/>
      <c r="BE54" s="198"/>
      <c r="BF54" s="198"/>
      <c r="BG54" s="198"/>
      <c r="BH54" s="198"/>
      <c r="BI54" s="198"/>
      <c r="BJ54" s="199"/>
      <c r="BK54" s="200"/>
      <c r="BL54" s="200"/>
      <c r="BM54" s="200"/>
      <c r="BN54" s="200"/>
      <c r="BO54" s="200"/>
      <c r="BP54" s="200"/>
      <c r="BQ54" s="200"/>
      <c r="BR54" s="200"/>
      <c r="BS54" s="200"/>
      <c r="BT54" s="200"/>
      <c r="BU54" s="200"/>
      <c r="BV54" s="200"/>
      <c r="BW54" s="200"/>
      <c r="BX54" s="201"/>
      <c r="BY54" s="201"/>
      <c r="BZ54" s="202"/>
      <c r="CA54" s="203"/>
      <c r="CB54" s="203"/>
      <c r="CC54" s="203"/>
      <c r="CD54" s="203"/>
      <c r="CE54" s="203"/>
      <c r="CF54" s="196"/>
      <c r="CG54" s="202"/>
      <c r="CH54" s="196"/>
      <c r="CI54" s="196"/>
      <c r="CJ54" s="202"/>
      <c r="CK54" s="202"/>
      <c r="CL54" s="202"/>
      <c r="CM54" s="202"/>
      <c r="CN54" s="202"/>
      <c r="CO54" s="196"/>
      <c r="CP54" s="204"/>
      <c r="CQ54" s="202"/>
      <c r="CR54" s="202"/>
      <c r="CS54" s="202"/>
      <c r="CT54" s="202"/>
      <c r="CU54" s="202"/>
      <c r="CV54" s="202"/>
      <c r="CW54" s="202"/>
      <c r="CX54" s="199"/>
      <c r="CY54" s="205"/>
      <c r="CZ54" s="206"/>
      <c r="DA54" s="206"/>
      <c r="DB54" s="206"/>
      <c r="DC54" s="207"/>
      <c r="DD54" s="208"/>
      <c r="DE54" s="205"/>
      <c r="DF54" s="205"/>
      <c r="DG54" s="209"/>
      <c r="DH54" s="196"/>
      <c r="DI54" s="201"/>
      <c r="DJ54" s="202"/>
      <c r="DK54" s="203"/>
      <c r="DL54" s="203"/>
      <c r="DM54" s="203"/>
      <c r="DN54" s="203"/>
      <c r="DO54" s="203"/>
      <c r="DP54" s="196"/>
      <c r="DQ54" s="196"/>
      <c r="DR54" s="196"/>
      <c r="DS54" s="210"/>
      <c r="DT54" s="211"/>
      <c r="DU54" s="211"/>
      <c r="DV54" s="211"/>
      <c r="DW54" s="211"/>
      <c r="DX54" s="211"/>
      <c r="DY54" s="196"/>
      <c r="DZ54" s="197"/>
      <c r="EA54" s="198"/>
      <c r="EB54" s="198"/>
      <c r="EC54" s="198"/>
      <c r="ED54" s="198"/>
      <c r="EE54" s="198"/>
      <c r="EF54" s="198"/>
      <c r="EG54" s="198"/>
      <c r="EH54" s="198"/>
      <c r="EI54" s="196"/>
      <c r="EJ54" s="196"/>
      <c r="EK54" s="196"/>
      <c r="EL54" s="196"/>
      <c r="EM54" s="196"/>
      <c r="EN54" s="196"/>
      <c r="EO54" s="196"/>
      <c r="EP54" s="196"/>
      <c r="EQ54" s="196"/>
      <c r="ER54" s="203"/>
      <c r="ES54" s="203"/>
      <c r="ET54" s="203"/>
      <c r="EU54" s="203"/>
      <c r="EV54" s="203"/>
      <c r="EW54" s="203"/>
      <c r="EX54" s="203"/>
      <c r="EY54" s="203"/>
      <c r="EZ54" s="212"/>
      <c r="FA54" s="212"/>
      <c r="FB54" s="195"/>
      <c r="FC54" s="195"/>
      <c r="FD54" s="195"/>
      <c r="FE54" s="195"/>
      <c r="FF54" s="195"/>
      <c r="FG54" s="195"/>
      <c r="FH54" s="195"/>
      <c r="FI54" s="195"/>
      <c r="FJ54" s="195"/>
      <c r="FK54" s="195"/>
      <c r="FL54" s="213"/>
      <c r="FM54" s="196"/>
      <c r="FN54" s="201"/>
      <c r="FO54" s="202"/>
      <c r="FP54" s="203"/>
      <c r="FQ54" s="203"/>
      <c r="FR54" s="203"/>
      <c r="FS54" s="203"/>
      <c r="FT54" s="203"/>
      <c r="FU54" s="203"/>
      <c r="FV54" s="203"/>
      <c r="FW54" s="196"/>
      <c r="FX54" s="201"/>
      <c r="FY54" s="202"/>
      <c r="FZ54" s="202"/>
      <c r="GA54" s="202"/>
      <c r="GB54" s="202"/>
      <c r="GC54" s="202"/>
      <c r="GD54" s="196"/>
      <c r="GE54" s="204"/>
      <c r="GF54" s="202"/>
      <c r="GG54" s="202"/>
      <c r="GH54" s="202"/>
      <c r="GI54" s="202"/>
      <c r="GJ54" s="202"/>
      <c r="GK54" s="202"/>
      <c r="GL54" s="202"/>
      <c r="GM54" s="214"/>
      <c r="GN54" s="215"/>
      <c r="GO54" s="215"/>
      <c r="GP54" s="215"/>
    </row>
    <row r="55" ht="15.0" customHeight="1" outlineLevel="1">
      <c r="A55" s="60">
        <v>58.0</v>
      </c>
      <c r="B55" s="140" t="s">
        <v>212</v>
      </c>
      <c r="C55" s="70" t="s">
        <v>213</v>
      </c>
      <c r="D55" s="71" t="s">
        <v>90</v>
      </c>
      <c r="E55" s="146" t="s">
        <v>214</v>
      </c>
      <c r="F55" s="13">
        <v>1115.0</v>
      </c>
      <c r="G55" s="139" t="s">
        <v>214</v>
      </c>
      <c r="H55" s="139">
        <v>1115.0</v>
      </c>
      <c r="I55" s="74" t="str">
        <f>IFERROR(VLOOKUP(C52:C194,'R22 RELATÓRIO ACC'!B:F,5,FALSE),"NOT PUBLISHED")</f>
        <v>V37</v>
      </c>
      <c r="J55" s="74" t="str">
        <f>IFERROR(VLOOKUP(C52:C194,'R22 RELATÓRIO ACC'!B:P,15,FALSE),"NOT PUBLISHED")</f>
        <v>10/04/2026</v>
      </c>
      <c r="K55" s="141" t="str">
        <f>IFERROR(VLOOKUP(B52:B243,'RELATÓRIO ACC'!B:F,5,FALSE),"NOT PUBLISHED")</f>
        <v>V1</v>
      </c>
      <c r="L55" s="142" t="str">
        <f>IFERROR(VLOOKUP(B52:B243,'RELATÓRIO ACC'!B:P,15,FALSE),"NOT PUBLISHED")</f>
        <v>20/05/2026</v>
      </c>
      <c r="M55" s="76" t="str">
        <f>IF(OR($D55="UTLS",$D55="GUAR",$D55="STIR",$D55="PUMP",$D55="SITE"),
   VLOOKUP($B55,'LOD 300 - SITE'!B:M,12,FALSE),
   VLOOKUP($B55,'LOD 300 - ADMN'!B:M,12,FALSE)
)</f>
        <v>V22</v>
      </c>
      <c r="N55" s="80">
        <f>IF(OR($D55="UTLS",$D55="GUAR",$D55="STIR",$D55="PUMP",$D55="SITE"),
   VLOOKUP($B55,'LOD 300 - SITE'!B:N,13,FALSE),
   VLOOKUP($B55,'LOD 300 - ADMN'!B:N,13,FALSE)
)</f>
        <v>45896</v>
      </c>
      <c r="O55" s="143" t="str">
        <f>IF(OR($D55="UTLS",$D55="GUAR",$D55="STIR",$D55="PUMP",$D55="SITE"),
   VLOOKUP($B55,'LOD 300 - SITE'!B:O,14,FALSE),
   VLOOKUP($B55,'LOD 300 - ADMN'!B:O,14,FALSE)
)</f>
        <v>R22</v>
      </c>
      <c r="P55" s="79" t="str">
        <f>IF(OR($D55="C345",$D55="C12A",$D55="DATA"),
   VLOOKUP($B55,'LOD 300 - COLO3'!B:M,12,FALSE),"N/A")</f>
        <v>N/A</v>
      </c>
      <c r="Q55" s="76" t="str">
        <f>IF(OR($D55="C345",$D55="C12A",$D55="DATA"),
   VLOOKUP($B55,'LOD 300 - COLO3'!B:N,13,FALSE),"N/A")</f>
        <v>N/A</v>
      </c>
      <c r="R55" s="76" t="str">
        <f>IF(OR($D55="C345",$D55="C12A",$D55="DATA"),
   VLOOKUP($B55,'LOD 300 - COLO3'!B:O,14,FALSE),"N/A")</f>
        <v>N/A</v>
      </c>
      <c r="S55" s="79" t="str">
        <f>IF(OR($D55="C345",$D55="C12A",$D55="DATA"),
   VLOOKUP($B55,'LOD 300 - COLO4'!B:M,12,FALSE),"N/A")</f>
        <v>N/A</v>
      </c>
      <c r="T55" s="76" t="str">
        <f>IF(OR($D55="C345",$D55="C12A",$D55="DATA"),
   VLOOKUP($B55,'LOD 300 - COLO4'!B:T,13,FALSE),"N/A")</f>
        <v>N/A</v>
      </c>
      <c r="U55" s="76" t="str">
        <f>IF(OR($D55="C345",$D55="C12A",$D55="DATA"),
   VLOOKUP($B55,'LOD 300 - COLO4'!B:U,17,FALSE),"N/A")</f>
        <v>N/A</v>
      </c>
      <c r="V55" s="126" t="s">
        <v>146</v>
      </c>
      <c r="W55" s="144" t="str">
        <f>IFERROR(VLOOKUP($B55,'LOD 300 - ADMN'!$B:S,18,FALSE),"N/A")</f>
        <v>N/A</v>
      </c>
      <c r="X55" s="122" t="str">
        <f>IFERROR(VLOOKUP($B55,'LOD 300 - ADMN'!$B:V,21,FALSE),"N/A")</f>
        <v>N/A</v>
      </c>
      <c r="Y55" s="122" t="str">
        <f>IFERROR(VLOOKUP($B55,'LOD 300 - ADMN'!$B:Y,24,FALSE),"N/A")</f>
        <v>N/A</v>
      </c>
      <c r="Z55" s="122" t="str">
        <f>IFERROR(VLOOKUP($B55,'LOD 300 - ADMN'!$B:AB,27,FALSE),"N/A")</f>
        <v>N/A</v>
      </c>
      <c r="AA55" s="122" t="str">
        <f>IFERROR(VLOOKUP($B55,'LOD 300 - ADMN'!$B:AE,30,FALSE),"N/A")</f>
        <v>N/A</v>
      </c>
      <c r="AB55" s="145" t="str">
        <f>IFERROR(VLOOKUP($B55,'LOD 300 - ADMN'!$B:AH,33,FALSE),"N/A")</f>
        <v>N/A</v>
      </c>
      <c r="AC55" s="145" t="str">
        <f>IFERROR(VLOOKUP($B55,'LOD 300 - ADMN'!$B:AK,36,FALSE),"N/A")</f>
        <v>N/A</v>
      </c>
      <c r="AD55" s="122" t="str">
        <f>IFERROR(VLOOKUP($B55,'LOD 300 - ADMN'!$B:AN,39,FALSE),"N/A")</f>
        <v>N/A</v>
      </c>
      <c r="AE55" s="122" t="str">
        <f>IFERROR(VLOOKUP($B55,'LOD 300 - ADMN'!$B:AQ,42,FALSE),"N/A")</f>
        <v>N/A</v>
      </c>
      <c r="AF55" s="122" t="str">
        <f>IFERROR(VLOOKUP($B55,'LOD 300 - ADMN'!$B:AT,45,FALSE),"N/A")</f>
        <v>N/A</v>
      </c>
      <c r="AG55" s="122" t="str">
        <f>IFERROR(VLOOKUP($B55,'LOD 300 - ADMN'!$B:AW,48,FALSE),"N/A")</f>
        <v>N/A</v>
      </c>
      <c r="AH55" s="122" t="str">
        <f>IFERROR(VLOOKUP($B55,'LOD 300 - ADMN'!$B:AZ,51,FALSE),"N/A")</f>
        <v>N/A</v>
      </c>
      <c r="AI55" s="122" t="str">
        <f>IFERROR(VLOOKUP($B55,'LOD 300 - ADMN'!$B:BC,54,FALSE),"N/A")</f>
        <v>N/A</v>
      </c>
      <c r="AJ55" s="87" t="str">
        <f>IFERROR(VLOOKUP($B55,'LOD 300 - ADMN'!$B:BF,57,FALSE),"N/A")</f>
        <v>N/A</v>
      </c>
      <c r="AK55" s="87" t="str">
        <f>IFERROR(VLOOKUP($B55,'LOD 300 - ADMN'!$B:EP,60,FALSE),"N/A")</f>
        <v>N/A</v>
      </c>
      <c r="AL55" s="87" t="str">
        <f>IFERROR(VLOOKUP($B55,'LOD 300 - ADMN'!$B:EQ,63,FALSE),"N/A")</f>
        <v>N/A</v>
      </c>
      <c r="AM55" s="87" t="str">
        <f>IFERROR(VLOOKUP($B55,'LOD 300 - ADMN'!$B:BO,66,FALSE),"N/A")</f>
        <v>N/A</v>
      </c>
      <c r="AN55" s="87" t="str">
        <f>IFERROR(VLOOKUP($B55,'LOD 300 - ADMN'!$B:BR,69,FALSE),"N/A")</f>
        <v>N/A</v>
      </c>
      <c r="AO55" s="87" t="str">
        <f>IFERROR(VLOOKUP($B55,'LOD 300 - ADMN'!$B:BU,72,FALSE),"N/A")</f>
        <v>N/A</v>
      </c>
      <c r="AP55" s="87" t="str">
        <f>IFERROR(VLOOKUP($B55,'LOD 300 - ADMN'!$B:BX,75,FALSE),"N/A")</f>
        <v>N/A</v>
      </c>
      <c r="AQ55" s="87" t="str">
        <f>IFERROR(VLOOKUP($B55,'LOD 300 - ADMN'!$B:CA,78,FALSE),"N/A")</f>
        <v>N/A</v>
      </c>
      <c r="AR55" s="87" t="str">
        <f>IFERROR(VLOOKUP($B55,'LOD 300 - ADMN'!$B:CD,81,FALSE),"N/A")</f>
        <v>N/A</v>
      </c>
      <c r="AS55" s="87" t="str">
        <f>IFERROR(VLOOKUP($B55,'LOD 300 - ADMN'!$B:CG,84,FALSE),"N/A")</f>
        <v>N/A</v>
      </c>
      <c r="AT55" s="87" t="str">
        <f>IFERROR(VLOOKUP($B55,'LOD 300 - ADMN'!$B:CJ,87,FALSE),"N/A")</f>
        <v>N/A</v>
      </c>
      <c r="AU55" s="88" t="str">
        <f>IFERROR(VLOOKUP($B55,'LOD 300 - ADMN'!$B:CM,90,FALSE),"N/A")</f>
        <v>N/A</v>
      </c>
      <c r="AV55" s="88" t="str">
        <f>IFERROR(VLOOKUP($B55,'LOD 300 - ADMN'!$B:CP,93,FALSE),"N/A")</f>
        <v>N/A</v>
      </c>
      <c r="AW55" s="88" t="str">
        <f>IFERROR(VLOOKUP($B55,'LOD 300 - ADMN'!$B:CS,96,FALSE),"N/A")</f>
        <v>N/A</v>
      </c>
      <c r="AX55" s="88" t="str">
        <f>IFERROR(VLOOKUP($B55,'LOD 300 - ADMN'!$B:CV,99,FALSE),"N/A")</f>
        <v>N/A</v>
      </c>
      <c r="AY55" s="88" t="str">
        <f>IFERROR(VLOOKUP($B55,'LOD 300 - ADMN'!$B:CY,102,FALSE),"N/A")</f>
        <v>N/A</v>
      </c>
      <c r="AZ55" s="88" t="str">
        <f>IFERROR(VLOOKUP($B55,'LOD 300 - ADMN'!$B:DB,105,FALSE),"N/A")</f>
        <v>N/A</v>
      </c>
      <c r="BA55" s="87" t="str">
        <f>IFERROR(VLOOKUP($B55,'LOD 300 - ADMN'!$B:DE,108,FALSE),"N/A")</f>
        <v>N/A</v>
      </c>
      <c r="BB55" s="87" t="str">
        <f>IFERROR(VLOOKUP($B55,'LOD 300 - ADMN'!$B:DH,111,FALSE),"N/A")</f>
        <v>N/A</v>
      </c>
      <c r="BC55" s="87" t="str">
        <f>IFERROR(VLOOKUP($B55,'LOD 300 - ADMN'!$B:DK,114,FALSE),"N/A")</f>
        <v>N/A</v>
      </c>
      <c r="BD55" s="87" t="str">
        <f>IFERROR(VLOOKUP($B55,'LOD 300 - ADMN'!$B:DN,117,FALSE),"N/A")</f>
        <v>N/A</v>
      </c>
      <c r="BE55" s="87" t="str">
        <f>IFERROR(VLOOKUP($B55,'LOD 300 - ADMN'!$B:DQ,120,FALSE),"N/A")</f>
        <v>N/A</v>
      </c>
      <c r="BF55" s="87" t="str">
        <f>IFERROR(VLOOKUP($B55,'LOD 300 - ADMN'!$B:DT,123,FALSE),"N/A")</f>
        <v>N/A</v>
      </c>
      <c r="BG55" s="87" t="str">
        <f>IFERROR(VLOOKUP($B55,'LOD 300 - ADMN'!$B:DW,126,FALSE),"N/A")</f>
        <v>N/A</v>
      </c>
      <c r="BH55" s="87" t="str">
        <f>IFERROR(VLOOKUP($B55,'LOD 300 - ADMN'!$B:DZ,129,FALSE),"N/A")</f>
        <v>N/A</v>
      </c>
      <c r="BI55" s="87" t="str">
        <f>IFERROR(VLOOKUP($B55,'LOD 300 - ADMN'!$B:EC,132,FALSE),"N/A")</f>
        <v>N/A</v>
      </c>
      <c r="BJ55" s="90" t="str">
        <f>IFERROR(__xludf.DUMMYFUNCTION("IFERROR(
  MAX(FILTER(X55:BI55, ISNUMBER(X55:BI55))),
  BI55
)"),"N/A")</f>
        <v>N/A</v>
      </c>
      <c r="BK55" s="91" t="str">
        <f>IFERROR(VLOOKUP($B55,'LOD 300 - COLO1'!$B:S,18,FALSE),"N/A")</f>
        <v>N/A</v>
      </c>
      <c r="BL55" s="92" t="str">
        <f>IFERROR(VLOOKUP($B55,'LOD 300 - COLO1'!$B:V,21,FALSE),"N/A")</f>
        <v>N/A</v>
      </c>
      <c r="BM55" s="92" t="str">
        <f>IFERROR(VLOOKUP($B55,'LOD 300 - COLO1'!$B:Y,24,FALSE),"N/A")</f>
        <v>N/A</v>
      </c>
      <c r="BN55" s="92" t="str">
        <f>IFERROR(VLOOKUP($B55,'LOD 300 - COLO1'!$B:AB,27,FALSE),"N/A")</f>
        <v>N/A</v>
      </c>
      <c r="BO55" s="92" t="str">
        <f>IFERROR(VLOOKUP($B55,'LOD 300 - COLO1'!$B:AE,30,FALSE),"N/A")</f>
        <v>N/A</v>
      </c>
      <c r="BP55" s="92" t="str">
        <f>IFERROR(VLOOKUP($B55,'LOD 300 - COLO1'!$B:AH,33,FALSE),"N/A")</f>
        <v>N/A</v>
      </c>
      <c r="BQ55" s="92" t="str">
        <f>IFERROR(VLOOKUP($B55,'LOD 300 - COLO1'!$B:AK,36,FALSE),"N/A")</f>
        <v>N/A</v>
      </c>
      <c r="BR55" s="92" t="str">
        <f>IFERROR(VLOOKUP($B55,'LOD 300 - COLO1'!$B:AN,39,FALSE),"N/A")</f>
        <v>N/A</v>
      </c>
      <c r="BS55" s="92" t="str">
        <f>IFERROR(VLOOKUP($B55,'LOD 300 - COLO1'!$B:AQ,42,FALSE),"N/A")</f>
        <v>N/A</v>
      </c>
      <c r="BT55" s="92" t="str">
        <f>IFERROR(VLOOKUP($B55,'LOD 300 - COLO1'!$B:AT,45,FALSE),"N/A")</f>
        <v>N/A</v>
      </c>
      <c r="BU55" s="92" t="str">
        <f>IFERROR(VLOOKUP($B55,'LOD 300 - COLO1'!$B:AW,48,FALSE),"N/A")</f>
        <v>N/A</v>
      </c>
      <c r="BV55" s="92" t="str">
        <f>IFERROR(VLOOKUP($B55,'LOD 300 - COLO1'!$B:AZ,51,FALSE),"N/A")</f>
        <v>N/A</v>
      </c>
      <c r="BW55" s="92" t="str">
        <f>IFERROR(VLOOKUP($B55,'LOD 300 - COLO1'!$B:BC,54,FALSE),"N/A")</f>
        <v>N/A</v>
      </c>
      <c r="BX55" s="94" t="str">
        <f>IFERROR(VLOOKUP($B55,'LOD 300 - COLO1'!$B:BF,57,FALSE),"N/A")</f>
        <v>N/A</v>
      </c>
      <c r="BY55" s="94" t="str">
        <f>IFERROR(VLOOKUP($B55,'LOD 300 - COLO1'!$B:BI,60,FALSE),"N/A")</f>
        <v>N/A</v>
      </c>
      <c r="BZ55" s="95" t="str">
        <f>IFERROR(VLOOKUP($B55,'LOD 300 - COLO1'!$B:BL,63,FALSE),"N/A")</f>
        <v>N/A</v>
      </c>
      <c r="CA55" s="86" t="str">
        <f>IFERROR(VLOOKUP($B55,'LOD 300 - COLO1'!$B:BO,66,FALSE),"N/A")</f>
        <v>N/A</v>
      </c>
      <c r="CB55" s="86" t="str">
        <f>IFERROR(VLOOKUP($B55,'LOD 300 - COLO1'!$B:BR,69,FALSE),"N/A")</f>
        <v>N/A</v>
      </c>
      <c r="CC55" s="86" t="str">
        <f>IFERROR(VLOOKUP($B55,'LOD 300 - COLO1'!$B:BU,72,FALSE),"N/A")</f>
        <v>N/A</v>
      </c>
      <c r="CD55" s="86" t="str">
        <f>IFERROR(VLOOKUP($B55,'LOD 300 - COLO1'!$B:BX,75,FALSE),"N/A")</f>
        <v>N/A</v>
      </c>
      <c r="CE55" s="86" t="str">
        <f>IFERROR(VLOOKUP($B55,'LOD 300 - COLO1'!$B:CA,78,FALSE),"N/A")</f>
        <v>N/A</v>
      </c>
      <c r="CF55" s="87" t="str">
        <f>IFERROR(VLOOKUP($B55,'LOD 300 - COLO1'!$B:CD,81,FALSE),"N/A")</f>
        <v>N/A</v>
      </c>
      <c r="CG55" s="86" t="str">
        <f>IFERROR(VLOOKUP($B55,'LOD 300 - COLO1'!$B:CG,84,FALSE),"N/A")</f>
        <v>N/A</v>
      </c>
      <c r="CH55" s="87" t="str">
        <f>IFERROR(VLOOKUP($B55,'LOD 300 - COLO1'!$B:CJ,87,FALSE),"N/A")</f>
        <v>N/A</v>
      </c>
      <c r="CI55" s="88" t="str">
        <f>IFERROR(VLOOKUP($B55,'LOD 300 - COLO1'!$B:CM,90,FALSE),"N/A")</f>
        <v>N/A</v>
      </c>
      <c r="CJ55" s="88" t="str">
        <f>IFERROR(VLOOKUP($B55,'LOD 300 - COLO1'!$B:CP,93,FALSE),"N/A")</f>
        <v>N/A</v>
      </c>
      <c r="CK55" s="88" t="str">
        <f>IFERROR(VLOOKUP($B55,'LOD 300 - COLO1'!$B:CS,96,FALSE),"N/A")</f>
        <v>N/A</v>
      </c>
      <c r="CL55" s="88" t="str">
        <f>IFERROR(VLOOKUP($B55,'LOD 300 - COLO1'!$B:CV,99,FALSE),"N/A")</f>
        <v>N/A</v>
      </c>
      <c r="CM55" s="88" t="str">
        <f>IFERROR(VLOOKUP($B55,'LOD 300 - COLO1'!$B:CY,102,FALSE),"N/A")</f>
        <v>N/A</v>
      </c>
      <c r="CN55" s="89" t="str">
        <f>IFERROR(VLOOKUP($B55,'LOD 300 - COLO1'!$B:DB,105,FALSE),"N/A")</f>
        <v>N/A</v>
      </c>
      <c r="CO55" s="87" t="str">
        <f>IFERROR(VLOOKUP($B55,'LOD 300 - COLO1'!$B:EE,108,FALSE),"N/A")</f>
        <v>N/A</v>
      </c>
      <c r="CP55" s="87" t="str">
        <f>IFERROR(VLOOKUP($B55,'LOD 300 - COLO1'!$B:EH,111,FALSE),"N/A")</f>
        <v>N/A</v>
      </c>
      <c r="CQ55" s="87" t="str">
        <f>IFERROR(VLOOKUP($B55,'LOD 300 - COLO1'!$B:EK,114,FALSE),"N/A")</f>
        <v>N/A</v>
      </c>
      <c r="CR55" s="87" t="str">
        <f>IFERROR(VLOOKUP($B55,'LOD 300 - COLO1'!$B:EN,117,FALSE),"N/A")</f>
        <v>N/A</v>
      </c>
      <c r="CS55" s="87" t="str">
        <f>IFERROR(VLOOKUP($B55,'LOD 300 - COLO1'!$B:EQ,120,FALSE),"N/A")</f>
        <v>N/A</v>
      </c>
      <c r="CT55" s="87" t="str">
        <f>IFERROR(VLOOKUP($B55,'LOD 300 - COLO1'!$B:ET,123,FALSE),"N/A")</f>
        <v>N/A</v>
      </c>
      <c r="CU55" s="87" t="str">
        <f>IFERROR(VLOOKUP($B55,'LOD 300 - COLO1'!$B:EW,126,FALSE),"N/A")</f>
        <v>N/A</v>
      </c>
      <c r="CV55" s="87" t="str">
        <f>IFERROR(VLOOKUP($B55,'LOD 300 - COLO1'!$B:EZ,129,FALSE),"N/A")</f>
        <v>N/A</v>
      </c>
      <c r="CW55" s="87" t="str">
        <f>IFERROR(VLOOKUP($B55,'LOD 300 - COLO1'!$B:FC,132,FALSE),"N/A")</f>
        <v>N/A</v>
      </c>
      <c r="CX55" s="96" t="str">
        <f>IFERROR(__xludf.DUMMYFUNCTION("IFERROR(
  MAX(FILTER(BK55:CW55, ISNUMBER(BK55:CW55))),
  CW55
)"),"N/A")</f>
        <v>N/A</v>
      </c>
      <c r="CY55" s="104" t="str">
        <f>IFERROR(VLOOKUP($B55,'LOD 300 - COLO2'!$B:S,18,FALSE),"N/A")</f>
        <v>N/A</v>
      </c>
      <c r="CZ55" s="117" t="str">
        <f>IFERROR(VLOOKUP($B55,'LOD 300 - COLO2'!$B:V,21,FALSE),"N/A")</f>
        <v>N/A</v>
      </c>
      <c r="DA55" s="117" t="str">
        <f>IFERROR(VLOOKUP($B55,'LOD 300 - COLO2'!$B:Y,24,FALSE),"N/A")</f>
        <v>N/A</v>
      </c>
      <c r="DB55" s="117" t="str">
        <f>IFERROR(VLOOKUP($B55,'LOD 300 - COLO2'!$B:AB,27,FALSE),"N/A")</f>
        <v>N/A</v>
      </c>
      <c r="DC55" s="92" t="str">
        <f>IFERROR(VLOOKUP($B55,'LOD 300 - COLO2'!$B:AE,30,FALSE),"N/A")</f>
        <v>N/A</v>
      </c>
      <c r="DD55" s="120" t="str">
        <f>IFERROR(VLOOKUP($B55,'LOD 300 - COLO2'!$B:AH,33,FALSE),"N/A")</f>
        <v>N/A</v>
      </c>
      <c r="DE55" s="117" t="str">
        <f>IFERROR(VLOOKUP($B55,'LOD 300 - COLO2'!$B:AK,36,FALSE),"N/A")</f>
        <v>N/A</v>
      </c>
      <c r="DF55" s="117" t="str">
        <f>IFERROR(VLOOKUP($B55,'LOD 300 - COLO2'!$B:AN,39,FALSE),"N/A")</f>
        <v>N/A</v>
      </c>
      <c r="DG55" s="119" t="str">
        <f>IFERROR(VLOOKUP($B55,'LOD 300 - COLO2'!$B:AQ,42,FALSE),"N/A")</f>
        <v>N/A</v>
      </c>
      <c r="DH55" s="87" t="str">
        <f>IFERROR(VLOOKUP($B55,'LOD 300 - COLO2'!$B:AT,45,FALSE),"N/A")</f>
        <v>N/A</v>
      </c>
      <c r="DI55" s="94" t="str">
        <f>IFERROR(VLOOKUP($B55,'LOD 300 - COLO2'!$B:AW,48,FALSE),"N/A")</f>
        <v>N/A</v>
      </c>
      <c r="DJ55" s="95" t="str">
        <f>IFERROR(VLOOKUP($B55,'LOD 300 - COLO2'!$B:AZ,51,FALSE),"N/A")</f>
        <v>N/A</v>
      </c>
      <c r="DK55" s="86" t="str">
        <f>IFERROR(VLOOKUP($B55,'LOD 300 - COLO2'!$B:BC,54,FALSE),"N/A")</f>
        <v>N/A</v>
      </c>
      <c r="DL55" s="86" t="str">
        <f>IFERROR(VLOOKUP($B55,'LOD 300 - COLO2'!$B:BF,57,FALSE),"N/A")</f>
        <v>N/A</v>
      </c>
      <c r="DM55" s="86" t="str">
        <f>IFERROR(VLOOKUP($B55,'LOD 300 - COLO2'!$B:BI,60,FALSE),"N/A")</f>
        <v>N/A</v>
      </c>
      <c r="DN55" s="86" t="str">
        <f>IFERROR(VLOOKUP($B55,'LOD 300 - COLO2'!$B:BL,63,FALSE),"N/A")</f>
        <v>N/A</v>
      </c>
      <c r="DO55" s="86" t="str">
        <f>IFERROR(VLOOKUP($B55,'LOD 300 - COLO2'!$B:BO,66,FALSE),"N/A")</f>
        <v>N/A</v>
      </c>
      <c r="DP55" s="87" t="str">
        <f>IFERROR(VLOOKUP($B55,'LOD 300 - COLO2'!$B:BR,69,FALSE),"N/A")</f>
        <v>N/A</v>
      </c>
      <c r="DQ55" s="87" t="str">
        <f>IFERROR(VLOOKUP($B55,'LOD 300 - COLO2'!$B:BU,72,FALSE),"N/A")</f>
        <v>N/A</v>
      </c>
      <c r="DR55" s="87" t="str">
        <f>IFERROR(VLOOKUP($B55,'LOD 300 - COLO2'!$B:BX,75,FALSE),"N/A")</f>
        <v>N/A</v>
      </c>
      <c r="DS55" s="98" t="str">
        <f>IFERROR(VLOOKUP($B55,'LOD 300 - COLO2'!$B:CA,78,FALSE),"N/A")</f>
        <v>N/A</v>
      </c>
      <c r="DT55" s="98" t="str">
        <f>IFERROR(VLOOKUP($B55,'LOD 300 - COLO2'!$B:CD,81,FALSE),"N/A")</f>
        <v>N/A</v>
      </c>
      <c r="DU55" s="98" t="str">
        <f>IFERROR(VLOOKUP($B55,'LOD 300 - COLO2'!$B:CG,84,FALSE),"N/A")</f>
        <v>N/A</v>
      </c>
      <c r="DV55" s="98" t="str">
        <f>IFERROR(VLOOKUP($B55,'LOD 300 - COLO2'!$B:CJ,87,FALSE),"N/A")</f>
        <v>N/A</v>
      </c>
      <c r="DW55" s="98" t="str">
        <f>IFERROR(VLOOKUP($B55,'LOD 300 - COLO2'!$B:CM,90,FALSE),"N/A")</f>
        <v>N/A</v>
      </c>
      <c r="DX55" s="98" t="str">
        <f>IFERROR(VLOOKUP($B55,'LOD 300 - COLO2'!$B:CP,93,FALSE),"N/A")</f>
        <v>N/A</v>
      </c>
      <c r="DY55" s="87" t="str">
        <f>IFERROR(VLOOKUP($B55,'LOD 300 - COLO2'!$B:CS,96,FALSE),"N/A")</f>
        <v>N/A</v>
      </c>
      <c r="DZ55" s="87" t="str">
        <f>IFERROR(VLOOKUP($B55,'LOD 300 - COLO2'!$B:CV,99,FALSE),"N/A")</f>
        <v>N/A</v>
      </c>
      <c r="EA55" s="87" t="str">
        <f>IFERROR(VLOOKUP($B55,'LOD 300 - COLO2'!$B:DB,105,FALSE),"N/A")</f>
        <v>N/A</v>
      </c>
      <c r="EB55" s="87" t="str">
        <f>IFERROR(VLOOKUP($B55,'LOD 300 - COLO2'!$B:DB,105,FALSE),"N/A")</f>
        <v>N/A</v>
      </c>
      <c r="EC55" s="87" t="str">
        <f>IFERROR(VLOOKUP($B55,'LOD 300 - COLO2'!$B:DE,108,FALSE),"N/A")</f>
        <v>N/A</v>
      </c>
      <c r="ED55" s="87" t="str">
        <f>IFERROR(VLOOKUP($B55,'LOD 300 - COLO2'!$B:DH,111,FALSE),"N/A")</f>
        <v>N/A</v>
      </c>
      <c r="EE55" s="87" t="str">
        <f>IFERROR(VLOOKUP($B55,'LOD 300 - COLO2'!$B:DK,114,FALSE),"N/A")</f>
        <v>N/A</v>
      </c>
      <c r="EF55" s="87" t="str">
        <f>IFERROR(VLOOKUP($B55,'LOD 300 - COLO2'!$B:DN,117,FALSE),"N/A")</f>
        <v>N/A</v>
      </c>
      <c r="EG55" s="87" t="str">
        <f>IFERROR(VLOOKUP($B55,'LOD 300 - COLO2'!$B:DQ,120,FALSE),"N/A")</f>
        <v>N/A</v>
      </c>
      <c r="EH55" s="99" t="str">
        <f>IFERROR(__xludf.DUMMYFUNCTION("IFERROR(
  MAX(FILTER(CZ55:EG55, ISNUMBER(CZ55:EG55))),
  EG55
)"),"N/A")</f>
        <v>N/A</v>
      </c>
      <c r="EI55" s="100" t="str">
        <f>IFERROR(VLOOKUP($B55,'LOD 300 - COLO3'!$B:R,17,FALSE),"N/A")</f>
        <v>N/A</v>
      </c>
      <c r="EJ55" s="127" t="str">
        <f>IFERROR(VLOOKUP($B55,'LOD 300 - COLO3'!$B:U,20,FALSE),"N/A")</f>
        <v>N/A</v>
      </c>
      <c r="EK55" s="127" t="str">
        <f>IFERROR(VLOOKUP($B55,'LOD 300 - COLO3'!$B:X,23,FALSE),"N/A")</f>
        <v>N/A</v>
      </c>
      <c r="EL55" s="127" t="str">
        <f>IFERROR(VLOOKUP($B55,'LOD 300 - COLO3'!$B:AA,26,FALSE),"N/A")</f>
        <v>N/A</v>
      </c>
      <c r="EM55" s="127" t="str">
        <f>IFERROR(VLOOKUP($B55,'LOD 300 - COLO3'!$B:AD,29,FALSE),"N/A")</f>
        <v>N/A</v>
      </c>
      <c r="EN55" s="127" t="str">
        <f>IFERROR(VLOOKUP($B55,'LOD 300 - COLO3'!$B:AG,32,FALSE),"N/A")</f>
        <v>N/A</v>
      </c>
      <c r="EO55" s="127" t="str">
        <f>IFERROR(VLOOKUP($B55,'LOD 300 - COLO3'!$B:AJ,35,FALSE),"N/A")</f>
        <v>N/A</v>
      </c>
      <c r="EP55" s="100" t="str">
        <f>IFERROR(VLOOKUP($B55,'LOD 300 - COLO3'!$B:AM,38,FALSE),"N/A")</f>
        <v>N/A</v>
      </c>
      <c r="EQ55" s="100" t="str">
        <f>IFERROR(VLOOKUP($B55,'LOD 300 - COLO3'!$B:AP,41,FALSE),"N/A")</f>
        <v>N/A</v>
      </c>
      <c r="ER55" s="100" t="str">
        <f>IFERROR(VLOOKUP($B55,'LOD 300 - COLO3'!$B:AS,44,FALSE),"N/A")</f>
        <v>N/A</v>
      </c>
      <c r="ES55" s="100" t="str">
        <f>IFERROR(VLOOKUP($B55,'LOD 300 - COLO3'!$B:AV,47,FALSE),"N/A")</f>
        <v>N/A</v>
      </c>
      <c r="ET55" s="100" t="str">
        <f>IFERROR(VLOOKUP($B55,'LOD 300 - COLO3'!$B:AY,50,FALSE),"N/A")</f>
        <v>N/A</v>
      </c>
      <c r="EU55" s="100" t="str">
        <f>IFERROR(VLOOKUP($B55,'LOD 300 - COLO3'!$B:BB,53,FALSE),"N/A")</f>
        <v>N/A</v>
      </c>
      <c r="EV55" s="100" t="str">
        <f>IFERROR(VLOOKUP($B55,'LOD 300 - COLO3'!$B:BE,56,FALSE),"N/A")</f>
        <v>N/A</v>
      </c>
      <c r="EW55" s="100" t="str">
        <f>IFERROR(VLOOKUP($B55,'LOD 300 - COLO3'!$B:BL,59,FALSE),"N/A")</f>
        <v>N/A</v>
      </c>
      <c r="EX55" s="100" t="str">
        <f>IFERROR(VLOOKUP($B55,'LOD 300 - COLO3'!$B:BO,62,FALSE),"N/A")</f>
        <v>N/A</v>
      </c>
      <c r="EY55" s="103" t="str">
        <f>IFERROR(__xludf.DUMMYFUNCTION("IFERROR(
  MAX(FILTER(EI55:EX55, ISNUMBER(EI55:EX55))),
  EX55
)"),"N/A")</f>
        <v>N/A</v>
      </c>
      <c r="EZ55" s="104" t="str">
        <f>IFERROR(VLOOKUP($B55,'LOD 300 - COLO4'!$B:BT,17,FALSE),"N/A")</f>
        <v>N/A</v>
      </c>
      <c r="FA55" s="103" t="str">
        <f>IFERROR(__xludf.DUMMYFUNCTION("IFERROR(
  MAX(FILTER(EZ55, ISNUMBER(EZ55))),
  EZ55
)"),"N/A")</f>
        <v>N/A</v>
      </c>
      <c r="FB55" s="121">
        <f>IFERROR(VLOOKUP($B55,'LOD 300 - SITE'!$B:S,18,FALSE),"N/A")</f>
        <v>0.42</v>
      </c>
      <c r="FC55" s="122">
        <f>IFERROR(VLOOKUP($B55,'LOD 300 - SITE'!$B:V,21,FALSE),"N/A")</f>
        <v>1</v>
      </c>
      <c r="FD55" s="122">
        <f>IFERROR(VLOOKUP($B55,'LOD 300 - SITE'!$B:Y,24,FALSE),"N/A")</f>
        <v>1</v>
      </c>
      <c r="FE55" s="122">
        <f>IFERROR(VLOOKUP($B55,'LOD 300 - SITE'!$B:AB,27,FALSE),"N/A")</f>
        <v>1</v>
      </c>
      <c r="FF55" s="122">
        <f>IFERROR(VLOOKUP($B55,'LOD 300 - SITE'!$B:AE,30,FALSE),"N/A")</f>
        <v>1</v>
      </c>
      <c r="FG55" s="122">
        <f>IFERROR(VLOOKUP($B55,'LOD 300 - SITE'!$B:AH,33,FALSE),"N/A")</f>
        <v>1</v>
      </c>
      <c r="FH55" s="122">
        <f>IFERROR(VLOOKUP($B55,'LOD 300 - SITE'!$B:AK,36,FALSE),"N/A")</f>
        <v>1</v>
      </c>
      <c r="FI55" s="122">
        <f>IFERROR(VLOOKUP($B55,'LOD 300 - SITE'!$B:AN,39,FALSE),"N/A")</f>
        <v>1</v>
      </c>
      <c r="FJ55" s="122">
        <f>IFERROR(VLOOKUP($B55,'LOD 300 - SITE'!$B:AQ,42,FALSE),"N/A")</f>
        <v>1</v>
      </c>
      <c r="FK55" s="122">
        <f>IFERROR(VLOOKUP($B55,'LOD 300 - SITE'!$B:AT,45,FALSE),"N/A")</f>
        <v>1</v>
      </c>
      <c r="FL55" s="123">
        <f>IFERROR(VLOOKUP($B55,'LOD 300 - SITE'!$B:AW,48,FALSE),"N/A")</f>
        <v>1</v>
      </c>
      <c r="FM55" s="87">
        <f>IFERROR(VLOOKUP($B55,'LOD 300 - SITE'!$B:AZ,51,FALSE),"N/A")</f>
        <v>1</v>
      </c>
      <c r="FN55" s="94">
        <f>IFERROR(VLOOKUP($B55,'LOD 300 - SITE'!$B:BC,54,FALSE),"N/A")</f>
        <v>1</v>
      </c>
      <c r="FO55" s="95">
        <f>IFERROR(VLOOKUP($B55,'LOD 300 - SITE'!$B:BF,57,FALSE),"N/A")</f>
        <v>1</v>
      </c>
      <c r="FP55" s="86">
        <f>IFERROR(VLOOKUP($B55,'LOD 300 - SITE'!$B:BI,60,FALSE),"N/A")</f>
        <v>1</v>
      </c>
      <c r="FQ55" s="86">
        <f>IFERROR(VLOOKUP($B55,'LOD 300 - SITE'!$B:BL,63,FALSE),"N/A")</f>
        <v>1</v>
      </c>
      <c r="FR55" s="86">
        <f>IFERROR(VLOOKUP($B55,'LOD 300 - SITE'!$B:BO,66,FALSE),"N/A")</f>
        <v>1</v>
      </c>
      <c r="FS55" s="86">
        <f>IFERROR(VLOOKUP($B55,'LOD 300 - SITE'!$B:BR,69,FALSE),"N/A")</f>
        <v>1</v>
      </c>
      <c r="FT55" s="86">
        <f>IFERROR(VLOOKUP($B55,'LOD 300 - SITE'!$B:BU,72,FALSE),"N/A")</f>
        <v>1</v>
      </c>
      <c r="FU55" s="86">
        <f>IFERROR(VLOOKUP($B55,'LOD 300 - SITE'!$B:BX,75,FALSE),"N/A")</f>
        <v>1</v>
      </c>
      <c r="FV55" s="86">
        <f>IFERROR(VLOOKUP($B55,'LOD 300 - SITE'!$B:CA,78,FALSE),"N/A")</f>
        <v>1</v>
      </c>
      <c r="FW55" s="87">
        <f>IFERROR(VLOOKUP($B55,'LOD 300 - SITE'!$B:CD,81,FALSE),"N/A")</f>
        <v>1</v>
      </c>
      <c r="FX55" s="108">
        <f>IFERROR(VLOOKUP($B55,'LOD 300 - SITE'!$B:CG,84,FALSE),"N/A")</f>
        <v>1</v>
      </c>
      <c r="FY55" s="108">
        <f>IFERROR(VLOOKUP($B55,'LOD 300 - SITE'!$B:CJ,87,FALSE),"N/A")</f>
        <v>1</v>
      </c>
      <c r="FZ55" s="108">
        <f>IFERROR(VLOOKUP($B55,'LOD 300 - SITE'!$B:CM,90,FALSE),"N/A")</f>
        <v>1</v>
      </c>
      <c r="GA55" s="108">
        <f>IFERROR(VLOOKUP($B55,'LOD 300 - SITE'!$B:CP,93,FALSE),"N/A")</f>
        <v>1</v>
      </c>
      <c r="GB55" s="108">
        <f>IFERROR(VLOOKUP($B55,'LOD 300 - SITE'!$B:CS,96,FALSE),"N/A")</f>
        <v>1</v>
      </c>
      <c r="GC55" s="109">
        <f>IFERROR(VLOOKUP($B55,'LOD 300 - SITE'!$B:CV,99,FALSE),"N/A")</f>
        <v>1</v>
      </c>
      <c r="GD55" s="87">
        <f>IFERROR(VLOOKUP($B55,'LOD 300 - SITE'!$B:CY,102,FALSE),"N/A")</f>
        <v>1</v>
      </c>
      <c r="GE55" s="87">
        <f>IFERROR(VLOOKUP($B55,'LOD 300 - SITE'!$B:DB,105,FALSE),"N/A")</f>
        <v>1</v>
      </c>
      <c r="GF55" s="87">
        <f>IFERROR(VLOOKUP($B55,'LOD 300 - SITE'!$B:DE,108,FALSE),"N/A")</f>
        <v>1</v>
      </c>
      <c r="GG55" s="87">
        <f>IFERROR(VLOOKUP($B55,'LOD 300 - SITE'!$B:DH,111,FALSE),"N/A")</f>
        <v>1</v>
      </c>
      <c r="GH55" s="87">
        <f>IFERROR(VLOOKUP($B55,'LOD 300 - SITE'!$B:DK,114,FALSE),"N/A")</f>
        <v>1</v>
      </c>
      <c r="GI55" s="87">
        <f>IFERROR(VLOOKUP($B55,'LOD 300 - SITE'!$B:DN,117,FALSE),"N/A")</f>
        <v>1</v>
      </c>
      <c r="GJ55" s="87">
        <f>IFERROR(VLOOKUP($B55,'LOD 300 - SITE'!$B:DQ,120,FALSE),"N/A")</f>
        <v>1</v>
      </c>
      <c r="GK55" s="87">
        <f>IFERROR(VLOOKUP($B55,'LOD 300 - SITE'!$B:DT,123,FALSE),"N/A")</f>
        <v>1</v>
      </c>
      <c r="GL55" s="87">
        <f>IFERROR(VLOOKUP($B55,'LOD 300 - SITE'!$B:DW,126,FALSE),"N/A")</f>
        <v>1</v>
      </c>
      <c r="GM55" s="110">
        <f>IFERROR(__xludf.DUMMYFUNCTION("IFERROR(
  MAX(FILTER(FB55:GL55, ISNUMBER(FB55:GL55))),
  GL55
)"),1.0)</f>
        <v>1</v>
      </c>
      <c r="GN55" s="135"/>
      <c r="GO55" s="135"/>
      <c r="GP55" s="135"/>
    </row>
    <row r="56" ht="15.0" customHeight="1" outlineLevel="1">
      <c r="A56" s="60">
        <v>59.0</v>
      </c>
      <c r="B56" s="140" t="s">
        <v>215</v>
      </c>
      <c r="C56" s="70" t="s">
        <v>216</v>
      </c>
      <c r="D56" s="71" t="s">
        <v>85</v>
      </c>
      <c r="E56" s="146" t="s">
        <v>214</v>
      </c>
      <c r="F56" s="13">
        <v>1115.0</v>
      </c>
      <c r="G56" s="139" t="s">
        <v>214</v>
      </c>
      <c r="H56" s="139">
        <v>1115.0</v>
      </c>
      <c r="I56" s="74" t="str">
        <f>IFERROR(VLOOKUP(C53:C195,'R22 RELATÓRIO ACC'!B:F,5,FALSE),"NOT PUBLISHED")</f>
        <v>V40</v>
      </c>
      <c r="J56" s="74" t="str">
        <f>IFERROR(VLOOKUP(C53:C195,'R22 RELATÓRIO ACC'!B:P,15,FALSE),"NOT PUBLISHED")</f>
        <v>06/05/2026</v>
      </c>
      <c r="K56" s="141" t="str">
        <f>IFERROR(VLOOKUP(B53:B244,'RELATÓRIO ACC'!B:F,5,FALSE),"NOT PUBLISHED")</f>
        <v>V3</v>
      </c>
      <c r="L56" s="142" t="str">
        <f>IFERROR(VLOOKUP(B53:B244,'RELATÓRIO ACC'!B:P,15,FALSE),"NOT PUBLISHED")</f>
        <v>13/07/2026</v>
      </c>
      <c r="M56" s="76" t="str">
        <f>IF(OR($D56="UTLS",$D56="GUAR",$D56="STIR",$D56="PUMP",$D56="SITE"),
   VLOOKUP($B56,'LOD 300 - SITE'!B:M,12,FALSE),
   VLOOKUP($B56,'LOD 300 - ADMN'!B:M,12,FALSE)
)</f>
        <v>V26</v>
      </c>
      <c r="N56" s="77">
        <f>IF(OR($D56="UTLS",$D56="GUAR",$D56="STIR",$D56="PUMP",$D56="SITE"),
   VLOOKUP($B56,'LOD 300 - SITE'!B:N,13,FALSE),
   VLOOKUP($B56,'LOD 300 - ADMN'!B:N,13,FALSE)
)</f>
        <v>45924</v>
      </c>
      <c r="O56" s="78" t="str">
        <f>IF(OR($D56="UTLS",$D56="GUAR",$D56="STIR",$D56="PUMP",$D56="SITE"),
   VLOOKUP($B56,'LOD 300 - SITE'!B:O,14,FALSE),
   VLOOKUP($B56,'LOD 300 - ADMN'!B:O,14,FALSE)
)</f>
        <v>R22</v>
      </c>
      <c r="P56" s="79" t="str">
        <f>IF(OR($D56="C345",$D56="C12A",$D56="DATA"),
   VLOOKUP($B56,'LOD 300 - COLO3'!B:M,12,FALSE),"N/A")</f>
        <v>V39</v>
      </c>
      <c r="Q56" s="77">
        <f>IF(OR($D56="C345",$D56="C12A",$D56="DATA"),
   VLOOKUP($B56,'LOD 300 - COLO3'!B:N,13,FALSE),"N/A")</f>
        <v>46121</v>
      </c>
      <c r="R56" s="76" t="str">
        <f>IF(OR($D56="C345",$D56="C12A",$D56="DATA"),
   VLOOKUP($B56,'LOD 300 - COLO3'!B:O,14,FALSE),"N/A")</f>
        <v>R22</v>
      </c>
      <c r="S56" s="79" t="str">
        <f>IF(OR($D56="C345",$D56="C12A",$D56="DATA"),
   VLOOKUP($B56,'LOD 300 - COLO4'!B:M,12,FALSE),"N/A")</f>
        <v>N/A</v>
      </c>
      <c r="T56" s="76" t="str">
        <f>IF(OR($D56="C345",$D56="C12A",$D56="DATA"),
   VLOOKUP($B56,'LOD 300 - COLO4'!B:T,13,FALSE),"N/A")</f>
        <v>N/A</v>
      </c>
      <c r="U56" s="81">
        <f>IF(OR($D56="C345",$D56="C12A",$D56="DATA"),
   VLOOKUP($B56,'LOD 300 - COLO4'!B:U,17,FALSE),"N/A")</f>
        <v>0</v>
      </c>
      <c r="V56" s="126" t="s">
        <v>129</v>
      </c>
      <c r="W56" s="144">
        <f>IFERROR(VLOOKUP($B56,'LOD 300 - ADMN'!$B:S,18,FALSE),"N/A")</f>
        <v>0.35</v>
      </c>
      <c r="X56" s="122">
        <f>IFERROR(VLOOKUP($B56,'LOD 300 - ADMN'!$B:V,21,FALSE),"N/A")</f>
        <v>0.35</v>
      </c>
      <c r="Y56" s="122">
        <f>IFERROR(VLOOKUP($B56,'LOD 300 - ADMN'!$B:Y,24,FALSE),"N/A")</f>
        <v>0.99</v>
      </c>
      <c r="Z56" s="122">
        <f>IFERROR(VLOOKUP($B56,'LOD 300 - ADMN'!$B:AB,27,FALSE),"N/A")</f>
        <v>1</v>
      </c>
      <c r="AA56" s="122">
        <f>IFERROR(VLOOKUP($B56,'LOD 300 - ADMN'!$B:AE,30,FALSE),"N/A")</f>
        <v>1</v>
      </c>
      <c r="AB56" s="145">
        <f>IFERROR(VLOOKUP($B56,'LOD 300 - ADMN'!$B:AH,33,FALSE),"N/A")</f>
        <v>1</v>
      </c>
      <c r="AC56" s="145">
        <f>IFERROR(VLOOKUP($B56,'LOD 300 - ADMN'!$B:AK,36,FALSE),"N/A")</f>
        <v>1</v>
      </c>
      <c r="AD56" s="122">
        <f>IFERROR(VLOOKUP($B56,'LOD 300 - ADMN'!$B:AN,39,FALSE),"N/A")</f>
        <v>1</v>
      </c>
      <c r="AE56" s="122">
        <f>IFERROR(VLOOKUP($B56,'LOD 300 - ADMN'!$B:AQ,42,FALSE),"N/A")</f>
        <v>1</v>
      </c>
      <c r="AF56" s="122">
        <f>IFERROR(VLOOKUP($B56,'LOD 300 - ADMN'!$B:AT,45,FALSE),"N/A")</f>
        <v>1</v>
      </c>
      <c r="AG56" s="122">
        <f>IFERROR(VLOOKUP($B56,'LOD 300 - ADMN'!$B:AW,48,FALSE),"N/A")</f>
        <v>1</v>
      </c>
      <c r="AH56" s="122">
        <f>IFERROR(VLOOKUP($B56,'LOD 300 - ADMN'!$B:AZ,51,FALSE),"N/A")</f>
        <v>1</v>
      </c>
      <c r="AI56" s="122">
        <f>IFERROR(VLOOKUP($B56,'LOD 300 - ADMN'!$B:BC,54,FALSE),"N/A")</f>
        <v>1</v>
      </c>
      <c r="AJ56" s="87">
        <f>IFERROR(VLOOKUP($B56,'LOD 300 - ADMN'!$B:BF,57,FALSE),"N/A")</f>
        <v>1</v>
      </c>
      <c r="AK56" s="87">
        <f>IFERROR(VLOOKUP($B56,'LOD 300 - ADMN'!$B:EP,60,FALSE),"N/A")</f>
        <v>1</v>
      </c>
      <c r="AL56" s="87">
        <f>IFERROR(VLOOKUP($B56,'LOD 300 - ADMN'!$B:EQ,63,FALSE),"N/A")</f>
        <v>1</v>
      </c>
      <c r="AM56" s="87">
        <f>IFERROR(VLOOKUP($B56,'LOD 300 - ADMN'!$B:BO,66,FALSE),"N/A")</f>
        <v>1</v>
      </c>
      <c r="AN56" s="87">
        <f>IFERROR(VLOOKUP($B56,'LOD 300 - ADMN'!$B:BR,69,FALSE),"N/A")</f>
        <v>1</v>
      </c>
      <c r="AO56" s="87">
        <f>IFERROR(VLOOKUP($B56,'LOD 300 - ADMN'!$B:BU,72,FALSE),"N/A")</f>
        <v>1</v>
      </c>
      <c r="AP56" s="87">
        <f>IFERROR(VLOOKUP($B56,'LOD 300 - ADMN'!$B:BX,75,FALSE),"N/A")</f>
        <v>1</v>
      </c>
      <c r="AQ56" s="87">
        <f>IFERROR(VLOOKUP($B56,'LOD 300 - ADMN'!$B:CA,78,FALSE),"N/A")</f>
        <v>1</v>
      </c>
      <c r="AR56" s="87">
        <f>IFERROR(VLOOKUP($B56,'LOD 300 - ADMN'!$B:CD,81,FALSE),"N/A")</f>
        <v>1</v>
      </c>
      <c r="AS56" s="87">
        <f>IFERROR(VLOOKUP($B56,'LOD 300 - ADMN'!$B:CG,84,FALSE),"N/A")</f>
        <v>1</v>
      </c>
      <c r="AT56" s="87">
        <f>IFERROR(VLOOKUP($B56,'LOD 300 - ADMN'!$B:CJ,87,FALSE),"N/A")</f>
        <v>1</v>
      </c>
      <c r="AU56" s="88">
        <f>IFERROR(VLOOKUP($B56,'LOD 300 - ADMN'!$B:CM,90,FALSE),"N/A")</f>
        <v>1</v>
      </c>
      <c r="AV56" s="88">
        <f>IFERROR(VLOOKUP($B56,'LOD 300 - ADMN'!$B:CP,93,FALSE),"N/A")</f>
        <v>1</v>
      </c>
      <c r="AW56" s="88">
        <f>IFERROR(VLOOKUP($B56,'LOD 300 - ADMN'!$B:CS,96,FALSE),"N/A")</f>
        <v>1</v>
      </c>
      <c r="AX56" s="88">
        <f>IFERROR(VLOOKUP($B56,'LOD 300 - ADMN'!$B:CV,99,FALSE),"N/A")</f>
        <v>1</v>
      </c>
      <c r="AY56" s="88">
        <f>IFERROR(VLOOKUP($B56,'LOD 300 - ADMN'!$B:CY,102,FALSE),"N/A")</f>
        <v>1</v>
      </c>
      <c r="AZ56" s="88">
        <f>IFERROR(VLOOKUP($B56,'LOD 300 - ADMN'!$B:DB,105,FALSE),"N/A")</f>
        <v>1</v>
      </c>
      <c r="BA56" s="87">
        <f>IFERROR(VLOOKUP($B56,'LOD 300 - ADMN'!$B:DE,108,FALSE),"N/A")</f>
        <v>1</v>
      </c>
      <c r="BB56" s="87">
        <f>IFERROR(VLOOKUP($B56,'LOD 300 - ADMN'!$B:DH,111,FALSE),"N/A")</f>
        <v>1</v>
      </c>
      <c r="BC56" s="87">
        <f>IFERROR(VLOOKUP($B56,'LOD 300 - ADMN'!$B:DK,114,FALSE),"N/A")</f>
        <v>1</v>
      </c>
      <c r="BD56" s="87">
        <f>IFERROR(VLOOKUP($B56,'LOD 300 - ADMN'!$B:DN,117,FALSE),"N/A")</f>
        <v>1</v>
      </c>
      <c r="BE56" s="87">
        <f>IFERROR(VLOOKUP($B56,'LOD 300 - ADMN'!$B:DQ,120,FALSE),"N/A")</f>
        <v>1</v>
      </c>
      <c r="BF56" s="87">
        <f>IFERROR(VLOOKUP($B56,'LOD 300 - ADMN'!$B:DT,123,FALSE),"N/A")</f>
        <v>1</v>
      </c>
      <c r="BG56" s="87">
        <f>IFERROR(VLOOKUP($B56,'LOD 300 - ADMN'!$B:DW,126,FALSE),"N/A")</f>
        <v>1</v>
      </c>
      <c r="BH56" s="87">
        <f>IFERROR(VLOOKUP($B56,'LOD 300 - ADMN'!$B:DZ,129,FALSE),"N/A")</f>
        <v>1</v>
      </c>
      <c r="BI56" s="87">
        <f>IFERROR(VLOOKUP($B56,'LOD 300 - ADMN'!$B:EC,132,FALSE),"N/A")</f>
        <v>1</v>
      </c>
      <c r="BJ56" s="90">
        <f>IFERROR(__xludf.DUMMYFUNCTION("IFERROR(
  MAX(FILTER(X56:BI56, ISNUMBER(X56:BI56))),
  BI56
)"),1.0)</f>
        <v>1</v>
      </c>
      <c r="BK56" s="91">
        <f>IFERROR(VLOOKUP($B56,'LOD 300 - COLO1'!$B:S,18,FALSE),"N/A")</f>
        <v>0.35</v>
      </c>
      <c r="BL56" s="92">
        <f>IFERROR(VLOOKUP($B56,'LOD 300 - COLO1'!$B:V,21,FALSE),"N/A")</f>
        <v>0.35</v>
      </c>
      <c r="BM56" s="92">
        <f>IFERROR(VLOOKUP($B56,'LOD 300 - COLO1'!$B:Y,24,FALSE),"N/A")</f>
        <v>0.97</v>
      </c>
      <c r="BN56" s="92">
        <f>IFERROR(VLOOKUP($B56,'LOD 300 - COLO1'!$B:AB,27,FALSE),"N/A")</f>
        <v>1</v>
      </c>
      <c r="BO56" s="92">
        <f>IFERROR(VLOOKUP($B56,'LOD 300 - COLO1'!$B:AE,30,FALSE),"N/A")</f>
        <v>1</v>
      </c>
      <c r="BP56" s="92">
        <f>IFERROR(VLOOKUP($B56,'LOD 300 - COLO1'!$B:AH,33,FALSE),"N/A")</f>
        <v>1</v>
      </c>
      <c r="BQ56" s="92">
        <f>IFERROR(VLOOKUP($B56,'LOD 300 - COLO1'!$B:AK,36,FALSE),"N/A")</f>
        <v>1</v>
      </c>
      <c r="BR56" s="92">
        <f>IFERROR(VLOOKUP($B56,'LOD 300 - COLO1'!$B:AN,39,FALSE),"N/A")</f>
        <v>1</v>
      </c>
      <c r="BS56" s="92">
        <f>IFERROR(VLOOKUP($B56,'LOD 300 - COLO1'!$B:AQ,42,FALSE),"N/A")</f>
        <v>1</v>
      </c>
      <c r="BT56" s="92">
        <f>IFERROR(VLOOKUP($B56,'LOD 300 - COLO1'!$B:AT,45,FALSE),"N/A")</f>
        <v>1</v>
      </c>
      <c r="BU56" s="92">
        <f>IFERROR(VLOOKUP($B56,'LOD 300 - COLO1'!$B:AW,48,FALSE),"N/A")</f>
        <v>1</v>
      </c>
      <c r="BV56" s="92">
        <f>IFERROR(VLOOKUP($B56,'LOD 300 - COLO1'!$B:AZ,51,FALSE),"N/A")</f>
        <v>1</v>
      </c>
      <c r="BW56" s="92">
        <f>IFERROR(VLOOKUP($B56,'LOD 300 - COLO1'!$B:BC,54,FALSE),"N/A")</f>
        <v>1</v>
      </c>
      <c r="BX56" s="94">
        <f>IFERROR(VLOOKUP($B56,'LOD 300 - COLO1'!$B:BF,57,FALSE),"N/A")</f>
        <v>1</v>
      </c>
      <c r="BY56" s="94">
        <f>IFERROR(VLOOKUP($B56,'LOD 300 - COLO1'!$B:BI,60,FALSE),"N/A")</f>
        <v>1</v>
      </c>
      <c r="BZ56" s="95">
        <f>IFERROR(VLOOKUP($B56,'LOD 300 - COLO1'!$B:BL,63,FALSE),"N/A")</f>
        <v>1</v>
      </c>
      <c r="CA56" s="86">
        <f>IFERROR(VLOOKUP($B56,'LOD 300 - COLO1'!$B:BO,66,FALSE),"N/A")</f>
        <v>1</v>
      </c>
      <c r="CB56" s="86">
        <f>IFERROR(VLOOKUP($B56,'LOD 300 - COLO1'!$B:BR,69,FALSE),"N/A")</f>
        <v>1</v>
      </c>
      <c r="CC56" s="86">
        <f>IFERROR(VLOOKUP($B56,'LOD 300 - COLO1'!$B:BU,72,FALSE),"N/A")</f>
        <v>1</v>
      </c>
      <c r="CD56" s="86">
        <f>IFERROR(VLOOKUP($B56,'LOD 300 - COLO1'!$B:BX,75,FALSE),"N/A")</f>
        <v>1</v>
      </c>
      <c r="CE56" s="86">
        <f>IFERROR(VLOOKUP($B56,'LOD 300 - COLO1'!$B:CA,78,FALSE),"N/A")</f>
        <v>1</v>
      </c>
      <c r="CF56" s="87">
        <f>IFERROR(VLOOKUP($B56,'LOD 300 - COLO1'!$B:CD,81,FALSE),"N/A")</f>
        <v>1</v>
      </c>
      <c r="CG56" s="86">
        <f>IFERROR(VLOOKUP($B56,'LOD 300 - COLO1'!$B:CG,84,FALSE),"N/A")</f>
        <v>1</v>
      </c>
      <c r="CH56" s="87">
        <f>IFERROR(VLOOKUP($B56,'LOD 300 - COLO1'!$B:CJ,87,FALSE),"N/A")</f>
        <v>1</v>
      </c>
      <c r="CI56" s="88">
        <f>IFERROR(VLOOKUP($B56,'LOD 300 - COLO1'!$B:CM,90,FALSE),"N/A")</f>
        <v>1</v>
      </c>
      <c r="CJ56" s="88">
        <f>IFERROR(VLOOKUP($B56,'LOD 300 - COLO1'!$B:CP,93,FALSE),"N/A")</f>
        <v>1</v>
      </c>
      <c r="CK56" s="88">
        <f>IFERROR(VLOOKUP($B56,'LOD 300 - COLO1'!$B:CS,96,FALSE),"N/A")</f>
        <v>1</v>
      </c>
      <c r="CL56" s="88">
        <f>IFERROR(VLOOKUP($B56,'LOD 300 - COLO1'!$B:CV,99,FALSE),"N/A")</f>
        <v>1</v>
      </c>
      <c r="CM56" s="88">
        <f>IFERROR(VLOOKUP($B56,'LOD 300 - COLO1'!$B:CY,102,FALSE),"N/A")</f>
        <v>1</v>
      </c>
      <c r="CN56" s="89">
        <f>IFERROR(VLOOKUP($B56,'LOD 300 - COLO1'!$B:DB,105,FALSE),"N/A")</f>
        <v>1</v>
      </c>
      <c r="CO56" s="87">
        <f>IFERROR(VLOOKUP($B56,'LOD 300 - COLO1'!$B:EE,108,FALSE),"N/A")</f>
        <v>1</v>
      </c>
      <c r="CP56" s="87">
        <f>IFERROR(VLOOKUP($B56,'LOD 300 - COLO1'!$B:EH,111,FALSE),"N/A")</f>
        <v>1</v>
      </c>
      <c r="CQ56" s="87">
        <f>IFERROR(VLOOKUP($B56,'LOD 300 - COLO1'!$B:EK,114,FALSE),"N/A")</f>
        <v>1</v>
      </c>
      <c r="CR56" s="87">
        <f>IFERROR(VLOOKUP($B56,'LOD 300 - COLO1'!$B:EN,117,FALSE),"N/A")</f>
        <v>1</v>
      </c>
      <c r="CS56" s="87">
        <f>IFERROR(VLOOKUP($B56,'LOD 300 - COLO1'!$B:EQ,120,FALSE),"N/A")</f>
        <v>1</v>
      </c>
      <c r="CT56" s="87">
        <f>IFERROR(VLOOKUP($B56,'LOD 300 - COLO1'!$B:ET,123,FALSE),"N/A")</f>
        <v>1</v>
      </c>
      <c r="CU56" s="87">
        <f>IFERROR(VLOOKUP($B56,'LOD 300 - COLO1'!$B:EW,126,FALSE),"N/A")</f>
        <v>1</v>
      </c>
      <c r="CV56" s="87">
        <f>IFERROR(VLOOKUP($B56,'LOD 300 - COLO1'!$B:EZ,129,FALSE),"N/A")</f>
        <v>1</v>
      </c>
      <c r="CW56" s="87">
        <f>IFERROR(VLOOKUP($B56,'LOD 300 - COLO1'!$B:FC,132,FALSE),"N/A")</f>
        <v>1</v>
      </c>
      <c r="CX56" s="96">
        <f>IFERROR(__xludf.DUMMYFUNCTION("IFERROR(
  MAX(FILTER(BK56:CW56, ISNUMBER(BK56:CW56))),
  CW56
)"),1.0)</f>
        <v>1</v>
      </c>
      <c r="CY56" s="104">
        <f>IFERROR(VLOOKUP($B56,'LOD 300 - COLO2'!$B:S,18,FALSE),"N/A")</f>
        <v>0.94</v>
      </c>
      <c r="CZ56" s="117" t="str">
        <f>IFERROR(VLOOKUP($B56,'LOD 300 - COLO2'!$B:V,21,FALSE),"N/A")</f>
        <v>OUTDATED MODEL</v>
      </c>
      <c r="DA56" s="117">
        <f>IFERROR(VLOOKUP($B56,'LOD 300 - COLO2'!$B:Y,24,FALSE),"N/A")</f>
        <v>1</v>
      </c>
      <c r="DB56" s="117">
        <f>IFERROR(VLOOKUP($B56,'LOD 300 - COLO2'!$B:AB,27,FALSE),"N/A")</f>
        <v>1</v>
      </c>
      <c r="DC56" s="92">
        <f>IFERROR(VLOOKUP($B56,'LOD 300 - COLO2'!$B:AE,30,FALSE),"N/A")</f>
        <v>1</v>
      </c>
      <c r="DD56" s="120">
        <f>IFERROR(VLOOKUP($B56,'LOD 300 - COLO2'!$B:AH,33,FALSE),"N/A")</f>
        <v>1</v>
      </c>
      <c r="DE56" s="117">
        <f>IFERROR(VLOOKUP($B56,'LOD 300 - COLO2'!$B:AK,36,FALSE),"N/A")</f>
        <v>1</v>
      </c>
      <c r="DF56" s="117">
        <f>IFERROR(VLOOKUP($B56,'LOD 300 - COLO2'!$B:AN,39,FALSE),"N/A")</f>
        <v>1</v>
      </c>
      <c r="DG56" s="119">
        <f>IFERROR(VLOOKUP($B56,'LOD 300 - COLO2'!$B:AQ,42,FALSE),"N/A")</f>
        <v>1</v>
      </c>
      <c r="DH56" s="87">
        <f>IFERROR(VLOOKUP($B56,'LOD 300 - COLO2'!$B:AT,45,FALSE),"N/A")</f>
        <v>1</v>
      </c>
      <c r="DI56" s="94">
        <f>IFERROR(VLOOKUP($B56,'LOD 300 - COLO2'!$B:AW,48,FALSE),"N/A")</f>
        <v>1</v>
      </c>
      <c r="DJ56" s="95">
        <f>IFERROR(VLOOKUP($B56,'LOD 300 - COLO2'!$B:AZ,51,FALSE),"N/A")</f>
        <v>1</v>
      </c>
      <c r="DK56" s="86">
        <f>IFERROR(VLOOKUP($B56,'LOD 300 - COLO2'!$B:BC,54,FALSE),"N/A")</f>
        <v>1</v>
      </c>
      <c r="DL56" s="86">
        <f>IFERROR(VLOOKUP($B56,'LOD 300 - COLO2'!$B:BF,57,FALSE),"N/A")</f>
        <v>1</v>
      </c>
      <c r="DM56" s="86">
        <f>IFERROR(VLOOKUP($B56,'LOD 300 - COLO2'!$B:BI,60,FALSE),"N/A")</f>
        <v>1</v>
      </c>
      <c r="DN56" s="86">
        <f>IFERROR(VLOOKUP($B56,'LOD 300 - COLO2'!$B:BL,63,FALSE),"N/A")</f>
        <v>1</v>
      </c>
      <c r="DO56" s="86">
        <f>IFERROR(VLOOKUP($B56,'LOD 300 - COLO2'!$B:BO,66,FALSE),"N/A")</f>
        <v>1</v>
      </c>
      <c r="DP56" s="87">
        <f>IFERROR(VLOOKUP($B56,'LOD 300 - COLO2'!$B:BR,69,FALSE),"N/A")</f>
        <v>1</v>
      </c>
      <c r="DQ56" s="87">
        <f>IFERROR(VLOOKUP($B56,'LOD 300 - COLO2'!$B:BU,72,FALSE),"N/A")</f>
        <v>1</v>
      </c>
      <c r="DR56" s="87">
        <f>IFERROR(VLOOKUP($B56,'LOD 300 - COLO2'!$B:BX,75,FALSE),"N/A")</f>
        <v>1</v>
      </c>
      <c r="DS56" s="98">
        <f>IFERROR(VLOOKUP($B56,'LOD 300 - COLO2'!$B:CA,78,FALSE),"N/A")</f>
        <v>1</v>
      </c>
      <c r="DT56" s="98">
        <f>IFERROR(VLOOKUP($B56,'LOD 300 - COLO2'!$B:CD,81,FALSE),"N/A")</f>
        <v>1</v>
      </c>
      <c r="DU56" s="98">
        <f>IFERROR(VLOOKUP($B56,'LOD 300 - COLO2'!$B:CG,84,FALSE),"N/A")</f>
        <v>1</v>
      </c>
      <c r="DV56" s="98">
        <f>IFERROR(VLOOKUP($B56,'LOD 300 - COLO2'!$B:CJ,87,FALSE),"N/A")</f>
        <v>1</v>
      </c>
      <c r="DW56" s="98">
        <f>IFERROR(VLOOKUP($B56,'LOD 300 - COLO2'!$B:CM,90,FALSE),"N/A")</f>
        <v>1</v>
      </c>
      <c r="DX56" s="98">
        <f>IFERROR(VLOOKUP($B56,'LOD 300 - COLO2'!$B:CP,93,FALSE),"N/A")</f>
        <v>1</v>
      </c>
      <c r="DY56" s="87">
        <f>IFERROR(VLOOKUP($B56,'LOD 300 - COLO2'!$B:CS,96,FALSE),"N/A")</f>
        <v>1</v>
      </c>
      <c r="DZ56" s="87">
        <f>IFERROR(VLOOKUP($B56,'LOD 300 - COLO2'!$B:CV,99,FALSE),"N/A")</f>
        <v>1</v>
      </c>
      <c r="EA56" s="87">
        <f>IFERROR(VLOOKUP($B56,'LOD 300 - COLO2'!$B:DB,105,FALSE),"N/A")</f>
        <v>1</v>
      </c>
      <c r="EB56" s="87">
        <f>IFERROR(VLOOKUP($B56,'LOD 300 - COLO2'!$B:DB,105,FALSE),"N/A")</f>
        <v>1</v>
      </c>
      <c r="EC56" s="87">
        <f>IFERROR(VLOOKUP($B56,'LOD 300 - COLO2'!$B:DE,108,FALSE),"N/A")</f>
        <v>1</v>
      </c>
      <c r="ED56" s="87">
        <f>IFERROR(VLOOKUP($B56,'LOD 300 - COLO2'!$B:DH,111,FALSE),"N/A")</f>
        <v>1</v>
      </c>
      <c r="EE56" s="87">
        <f>IFERROR(VLOOKUP($B56,'LOD 300 - COLO2'!$B:DK,114,FALSE),"N/A")</f>
        <v>1</v>
      </c>
      <c r="EF56" s="87">
        <f>IFERROR(VLOOKUP($B56,'LOD 300 - COLO2'!$B:DN,117,FALSE),"N/A")</f>
        <v>1</v>
      </c>
      <c r="EG56" s="87">
        <f>IFERROR(VLOOKUP($B56,'LOD 300 - COLO2'!$B:DQ,120,FALSE),"N/A")</f>
        <v>1</v>
      </c>
      <c r="EH56" s="99">
        <f>IFERROR(__xludf.DUMMYFUNCTION("IFERROR(
  MAX(FILTER(CZ56:EG56, ISNUMBER(CZ56:EG56))),
  EG56
)"),1.0)</f>
        <v>1</v>
      </c>
      <c r="EI56" s="100">
        <f>IFERROR(VLOOKUP($B56,'LOD 300 - COLO3'!$B:R,17,FALSE),"N/A")</f>
        <v>0</v>
      </c>
      <c r="EJ56" s="127">
        <f>IFERROR(VLOOKUP($B56,'LOD 300 - COLO3'!$B:U,20,FALSE),"N/A")</f>
        <v>1</v>
      </c>
      <c r="EK56" s="127">
        <f>IFERROR(VLOOKUP($B56,'LOD 300 - COLO3'!$B:X,23,FALSE),"N/A")</f>
        <v>1</v>
      </c>
      <c r="EL56" s="127">
        <f>IFERROR(VLOOKUP($B56,'LOD 300 - COLO3'!$B:AA,26,FALSE),"N/A")</f>
        <v>1</v>
      </c>
      <c r="EM56" s="127">
        <f>IFERROR(VLOOKUP($B56,'LOD 300 - COLO3'!$B:AD,29,FALSE),"N/A")</f>
        <v>1</v>
      </c>
      <c r="EN56" s="127">
        <f>IFERROR(VLOOKUP($B56,'LOD 300 - COLO3'!$B:AG,32,FALSE),"N/A")</f>
        <v>1</v>
      </c>
      <c r="EO56" s="127">
        <f>IFERROR(VLOOKUP($B56,'LOD 300 - COLO3'!$B:AJ,35,FALSE),"N/A")</f>
        <v>1</v>
      </c>
      <c r="EP56" s="100">
        <f>IFERROR(VLOOKUP($B56,'LOD 300 - COLO3'!$B:AM,38,FALSE),"N/A")</f>
        <v>1</v>
      </c>
      <c r="EQ56" s="100">
        <f>IFERROR(VLOOKUP($B56,'LOD 300 - COLO3'!$B:AP,41,FALSE),"N/A")</f>
        <v>1</v>
      </c>
      <c r="ER56" s="100">
        <f>IFERROR(VLOOKUP($B56,'LOD 300 - COLO3'!$B:AS,44,FALSE),"N/A")</f>
        <v>1</v>
      </c>
      <c r="ES56" s="100">
        <f>IFERROR(VLOOKUP($B56,'LOD 300 - COLO3'!$B:AV,47,FALSE),"N/A")</f>
        <v>1</v>
      </c>
      <c r="ET56" s="100">
        <f>IFERROR(VLOOKUP($B56,'LOD 300 - COLO3'!$B:AY,50,FALSE),"N/A")</f>
        <v>1</v>
      </c>
      <c r="EU56" s="100">
        <f>IFERROR(VLOOKUP($B56,'LOD 300 - COLO3'!$B:BB,53,FALSE),"N/A")</f>
        <v>1</v>
      </c>
      <c r="EV56" s="100">
        <f>IFERROR(VLOOKUP($B56,'LOD 300 - COLO3'!$B:BE,56,FALSE),"N/A")</f>
        <v>1</v>
      </c>
      <c r="EW56" s="100">
        <f>IFERROR(VLOOKUP($B56,'LOD 300 - COLO3'!$B:BL,59,FALSE),"N/A")</f>
        <v>1</v>
      </c>
      <c r="EX56" s="100">
        <f>IFERROR(VLOOKUP($B56,'LOD 300 - COLO3'!$B:BO,62,FALSE),"N/A")</f>
        <v>1</v>
      </c>
      <c r="EY56" s="103">
        <f>IFERROR(__xludf.DUMMYFUNCTION("IFERROR(
  MAX(FILTER(EI56:EX56, ISNUMBER(EI56:EX56))),
  EX56
)"),1.0)</f>
        <v>1</v>
      </c>
      <c r="EZ56" s="104">
        <f>IFERROR(VLOOKUP($B56,'LOD 300 - COLO4'!$B:BT,17,FALSE),"N/A")</f>
        <v>0</v>
      </c>
      <c r="FA56" s="103">
        <f>IFERROR(__xludf.DUMMYFUNCTION("IFERROR(
  MAX(FILTER(EZ56, ISNUMBER(EZ56))),
  EZ56
)"),0.0)</f>
        <v>0</v>
      </c>
      <c r="FB56" s="121" t="str">
        <f>IFERROR(VLOOKUP($B56,'LOD 300 - SITE'!$B:S,18,FALSE),"N/A")</f>
        <v>N/A</v>
      </c>
      <c r="FC56" s="122" t="str">
        <f>IFERROR(VLOOKUP($B56,'LOD 300 - SITE'!$B:V,21,FALSE),"N/A")</f>
        <v>N/A</v>
      </c>
      <c r="FD56" s="122" t="str">
        <f>IFERROR(VLOOKUP($B56,'LOD 300 - SITE'!$B:Y,24,FALSE),"N/A")</f>
        <v>N/A</v>
      </c>
      <c r="FE56" s="122" t="str">
        <f>IFERROR(VLOOKUP($B56,'LOD 300 - SITE'!$B:AB,27,FALSE),"N/A")</f>
        <v>N/A</v>
      </c>
      <c r="FF56" s="122" t="str">
        <f>IFERROR(VLOOKUP($B56,'LOD 300 - SITE'!$B:AE,30,FALSE),"N/A")</f>
        <v>N/A</v>
      </c>
      <c r="FG56" s="122" t="str">
        <f>IFERROR(VLOOKUP($B56,'LOD 300 - SITE'!$B:AH,33,FALSE),"N/A")</f>
        <v>N/A</v>
      </c>
      <c r="FH56" s="122" t="str">
        <f>IFERROR(VLOOKUP($B56,'LOD 300 - SITE'!$B:AK,36,FALSE),"N/A")</f>
        <v>N/A</v>
      </c>
      <c r="FI56" s="122" t="str">
        <f>IFERROR(VLOOKUP($B56,'LOD 300 - SITE'!$B:AN,39,FALSE),"N/A")</f>
        <v>N/A</v>
      </c>
      <c r="FJ56" s="122" t="str">
        <f>IFERROR(VLOOKUP($B56,'LOD 300 - SITE'!$B:AQ,42,FALSE),"N/A")</f>
        <v>N/A</v>
      </c>
      <c r="FK56" s="122" t="str">
        <f>IFERROR(VLOOKUP($B56,'LOD 300 - SITE'!$B:AT,45,FALSE),"N/A")</f>
        <v>N/A</v>
      </c>
      <c r="FL56" s="123" t="str">
        <f>IFERROR(VLOOKUP($B56,'LOD 300 - SITE'!$B:AW,48,FALSE),"N/A")</f>
        <v>N/A</v>
      </c>
      <c r="FM56" s="87" t="str">
        <f>IFERROR(VLOOKUP($B56,'LOD 300 - SITE'!$B:AZ,51,FALSE),"N/A")</f>
        <v>N/A</v>
      </c>
      <c r="FN56" s="94" t="str">
        <f>IFERROR(VLOOKUP($B56,'LOD 300 - SITE'!$B:BC,54,FALSE),"N/A")</f>
        <v>N/A</v>
      </c>
      <c r="FO56" s="95" t="str">
        <f>IFERROR(VLOOKUP($B56,'LOD 300 - SITE'!$B:BF,57,FALSE),"N/A")</f>
        <v>N/A</v>
      </c>
      <c r="FP56" s="86" t="str">
        <f>IFERROR(VLOOKUP($B56,'LOD 300 - SITE'!$B:BI,60,FALSE),"N/A")</f>
        <v>N/A</v>
      </c>
      <c r="FQ56" s="86" t="str">
        <f>IFERROR(VLOOKUP($B56,'LOD 300 - SITE'!$B:BL,63,FALSE),"N/A")</f>
        <v>N/A</v>
      </c>
      <c r="FR56" s="86" t="str">
        <f>IFERROR(VLOOKUP($B56,'LOD 300 - SITE'!$B:BO,66,FALSE),"N/A")</f>
        <v>N/A</v>
      </c>
      <c r="FS56" s="86" t="str">
        <f>IFERROR(VLOOKUP($B56,'LOD 300 - SITE'!$B:BR,69,FALSE),"N/A")</f>
        <v>N/A</v>
      </c>
      <c r="FT56" s="86" t="str">
        <f>IFERROR(VLOOKUP($B56,'LOD 300 - SITE'!$B:BU,72,FALSE),"N/A")</f>
        <v>N/A</v>
      </c>
      <c r="FU56" s="86" t="str">
        <f>IFERROR(VLOOKUP($B56,'LOD 300 - SITE'!$B:BX,75,FALSE),"N/A")</f>
        <v>N/A</v>
      </c>
      <c r="FV56" s="86" t="str">
        <f>IFERROR(VLOOKUP($B56,'LOD 300 - SITE'!$B:CA,78,FALSE),"N/A")</f>
        <v>N/A</v>
      </c>
      <c r="FW56" s="87" t="str">
        <f>IFERROR(VLOOKUP($B56,'LOD 300 - SITE'!$B:CD,81,FALSE),"N/A")</f>
        <v>N/A</v>
      </c>
      <c r="FX56" s="108" t="str">
        <f>IFERROR(VLOOKUP($B56,'LOD 300 - SITE'!$B:CG,84,FALSE),"N/A")</f>
        <v>N/A</v>
      </c>
      <c r="FY56" s="108" t="str">
        <f>IFERROR(VLOOKUP($B56,'LOD 300 - SITE'!$B:CJ,87,FALSE),"N/A")</f>
        <v>N/A</v>
      </c>
      <c r="FZ56" s="108" t="str">
        <f>IFERROR(VLOOKUP($B56,'LOD 300 - SITE'!$B:CM,90,FALSE),"N/A")</f>
        <v>N/A</v>
      </c>
      <c r="GA56" s="108" t="str">
        <f>IFERROR(VLOOKUP($B56,'LOD 300 - SITE'!$B:CP,93,FALSE),"N/A")</f>
        <v>N/A</v>
      </c>
      <c r="GB56" s="108" t="str">
        <f>IFERROR(VLOOKUP($B56,'LOD 300 - SITE'!$B:CS,96,FALSE),"N/A")</f>
        <v>N/A</v>
      </c>
      <c r="GC56" s="109" t="str">
        <f>IFERROR(VLOOKUP($B56,'LOD 300 - SITE'!$B:CV,99,FALSE),"N/A")</f>
        <v>N/A</v>
      </c>
      <c r="GD56" s="87" t="str">
        <f>IFERROR(VLOOKUP($B56,'LOD 300 - SITE'!$B:CY,102,FALSE),"N/A")</f>
        <v>N/A</v>
      </c>
      <c r="GE56" s="87" t="str">
        <f>IFERROR(VLOOKUP($B56,'LOD 300 - SITE'!$B:DB,105,FALSE),"N/A")</f>
        <v>N/A</v>
      </c>
      <c r="GF56" s="87" t="str">
        <f>IFERROR(VLOOKUP($B56,'LOD 300 - SITE'!$B:DE,108,FALSE),"N/A")</f>
        <v>N/A</v>
      </c>
      <c r="GG56" s="87" t="str">
        <f>IFERROR(VLOOKUP($B56,'LOD 300 - SITE'!$B:DH,111,FALSE),"N/A")</f>
        <v>N/A</v>
      </c>
      <c r="GH56" s="87" t="str">
        <f>IFERROR(VLOOKUP($B56,'LOD 300 - SITE'!$B:DK,114,FALSE),"N/A")</f>
        <v>N/A</v>
      </c>
      <c r="GI56" s="87" t="str">
        <f>IFERROR(VLOOKUP($B56,'LOD 300 - SITE'!$B:DN,117,FALSE),"N/A")</f>
        <v>N/A</v>
      </c>
      <c r="GJ56" s="87" t="str">
        <f>IFERROR(VLOOKUP($B56,'LOD 300 - SITE'!$B:DQ,120,FALSE),"N/A")</f>
        <v>N/A</v>
      </c>
      <c r="GK56" s="87" t="str">
        <f>IFERROR(VLOOKUP($B56,'LOD 300 - SITE'!$B:DT,123,FALSE),"N/A")</f>
        <v>N/A</v>
      </c>
      <c r="GL56" s="87" t="str">
        <f>IFERROR(VLOOKUP($B56,'LOD 300 - SITE'!$B:DW,126,FALSE),"N/A")</f>
        <v>N/A</v>
      </c>
      <c r="GM56" s="110" t="str">
        <f>IFERROR(__xludf.DUMMYFUNCTION("IFERROR(
  MAX(FILTER(FB56:GL56, ISNUMBER(FB56:GL56))),
  GL56
)"),"N/A")</f>
        <v>N/A</v>
      </c>
      <c r="GN56" s="111"/>
      <c r="GO56" s="111"/>
      <c r="GP56" s="111"/>
    </row>
    <row r="57" ht="15.0" customHeight="1" outlineLevel="1">
      <c r="A57" s="60">
        <v>60.0</v>
      </c>
      <c r="B57" s="140" t="s">
        <v>217</v>
      </c>
      <c r="C57" s="70" t="s">
        <v>217</v>
      </c>
      <c r="D57" s="71" t="s">
        <v>90</v>
      </c>
      <c r="E57" s="138" t="s">
        <v>218</v>
      </c>
      <c r="F57" s="13">
        <v>1115.0</v>
      </c>
      <c r="G57" s="138" t="s">
        <v>218</v>
      </c>
      <c r="H57" s="139"/>
      <c r="I57" s="74" t="str">
        <f>IFERROR(VLOOKUP(C54:C196,'R22 RELATÓRIO ACC'!B:F,5,FALSE),"NOT PUBLISHED")</f>
        <v>V2</v>
      </c>
      <c r="J57" s="74" t="str">
        <f>IFERROR(VLOOKUP(C54:C196,'R22 RELATÓRIO ACC'!B:P,15,FALSE),"NOT PUBLISHED")</f>
        <v>07/05/2026</v>
      </c>
      <c r="K57" s="141" t="str">
        <f>IFERROR(VLOOKUP(B54:B245,'RELATÓRIO ACC'!B:F,5,FALSE),"NOT PUBLISHED")</f>
        <v>V5</v>
      </c>
      <c r="L57" s="142" t="str">
        <f>IFERROR(VLOOKUP(B54:B245,'RELATÓRIO ACC'!B:P,15,FALSE),"NOT PUBLISHED")</f>
        <v>08/07/2026</v>
      </c>
      <c r="M57" s="76" t="str">
        <f>IF(OR($D57="UTLS",$D57="GUAR",$D57="STIR",$D57="PUMP",$D57="SITE"),
   VLOOKUP($B57,'LOD 300 - SITE'!B:M,12,FALSE),
   VLOOKUP($B57,'LOD 300 - ADMN'!B:M,12,FALSE)
)</f>
        <v>V4</v>
      </c>
      <c r="N57" s="80">
        <f>IF(OR($D57="UTLS",$D57="GUAR",$D57="STIR",$D57="PUMP",$D57="SITE"),
   VLOOKUP($B57,'LOD 300 - SITE'!B:N,13,FALSE),
   VLOOKUP($B57,'LOD 300 - ADMN'!B:N,13,FALSE)
)</f>
        <v>46205</v>
      </c>
      <c r="O57" s="78" t="str">
        <f>IF(OR($D57="UTLS",$D57="GUAR",$D57="STIR",$D57="PUMP",$D57="SITE"),
   VLOOKUP($B57,'LOD 300 - SITE'!B:O,14,FALSE),
   VLOOKUP($B57,'LOD 300 - ADMN'!B:O,14,FALSE)
)</f>
        <v>R24</v>
      </c>
      <c r="P57" s="79" t="str">
        <f>IF(OR($D57="C345",$D57="C12A",$D57="DATA"),
   VLOOKUP($B57,'LOD 300 - COLO3'!B:M,12,FALSE),"N/A")</f>
        <v>N/A</v>
      </c>
      <c r="Q57" s="76" t="str">
        <f>IF(OR($D57="C345",$D57="C12A",$D57="DATA"),
   VLOOKUP($B57,'LOD 300 - COLO3'!B:N,13,FALSE),"N/A")</f>
        <v>N/A</v>
      </c>
      <c r="R57" s="76" t="str">
        <f>IF(OR($D57="C345",$D57="C12A",$D57="DATA"),
   VLOOKUP($B57,'LOD 300 - COLO3'!B:O,14,FALSE),"N/A")</f>
        <v>N/A</v>
      </c>
      <c r="S57" s="79" t="str">
        <f>IF(OR($D57="C345",$D57="C12A",$D57="DATA"),
   VLOOKUP($B57,'LOD 300 - COLO4'!B:M,12,FALSE),"N/A")</f>
        <v>N/A</v>
      </c>
      <c r="T57" s="76" t="str">
        <f>IF(OR($D57="C345",$D57="C12A",$D57="DATA"),
   VLOOKUP($B57,'LOD 300 - COLO4'!B:T,13,FALSE),"N/A")</f>
        <v>N/A</v>
      </c>
      <c r="U57" s="76" t="str">
        <f>IF(OR($D57="C345",$D57="C12A",$D57="DATA"),
   VLOOKUP($B57,'LOD 300 - COLO4'!B:U,17,FALSE),"N/A")</f>
        <v>N/A</v>
      </c>
      <c r="V57" s="126"/>
      <c r="W57" s="144" t="str">
        <f>IFERROR(VLOOKUP($B57,'LOD 300 - ADMN'!$B:S,18,FALSE),"N/A")</f>
        <v>N/A</v>
      </c>
      <c r="X57" s="122" t="str">
        <f>IFERROR(VLOOKUP($B57,'LOD 300 - ADMN'!$B:V,21,FALSE),"N/A")</f>
        <v>N/A</v>
      </c>
      <c r="Y57" s="122" t="str">
        <f>IFERROR(VLOOKUP($B57,'LOD 300 - ADMN'!$B:Y,24,FALSE),"N/A")</f>
        <v>N/A</v>
      </c>
      <c r="Z57" s="122" t="str">
        <f>IFERROR(VLOOKUP($B57,'LOD 300 - ADMN'!$B:AB,27,FALSE),"N/A")</f>
        <v>N/A</v>
      </c>
      <c r="AA57" s="122" t="str">
        <f>IFERROR(VLOOKUP($B57,'LOD 300 - ADMN'!$B:AE,30,FALSE),"N/A")</f>
        <v>N/A</v>
      </c>
      <c r="AB57" s="145" t="str">
        <f>IFERROR(VLOOKUP($B57,'LOD 300 - ADMN'!$B:AH,33,FALSE),"N/A")</f>
        <v>N/A</v>
      </c>
      <c r="AC57" s="145" t="str">
        <f>IFERROR(VLOOKUP($B57,'LOD 300 - ADMN'!$B:AK,36,FALSE),"N/A")</f>
        <v>N/A</v>
      </c>
      <c r="AD57" s="122" t="str">
        <f>IFERROR(VLOOKUP($B57,'LOD 300 - ADMN'!$B:AN,39,FALSE),"N/A")</f>
        <v>N/A</v>
      </c>
      <c r="AE57" s="122" t="str">
        <f>IFERROR(VLOOKUP($B57,'LOD 300 - ADMN'!$B:AQ,42,FALSE),"N/A")</f>
        <v>N/A</v>
      </c>
      <c r="AF57" s="122" t="str">
        <f>IFERROR(VLOOKUP($B57,'LOD 300 - ADMN'!$B:AT,45,FALSE),"N/A")</f>
        <v>N/A</v>
      </c>
      <c r="AG57" s="122" t="str">
        <f>IFERROR(VLOOKUP($B57,'LOD 300 - ADMN'!$B:AW,48,FALSE),"N/A")</f>
        <v>N/A</v>
      </c>
      <c r="AH57" s="122" t="str">
        <f>IFERROR(VLOOKUP($B57,'LOD 300 - ADMN'!$B:AZ,51,FALSE),"N/A")</f>
        <v>N/A</v>
      </c>
      <c r="AI57" s="122" t="str">
        <f>IFERROR(VLOOKUP($B57,'LOD 300 - ADMN'!$B:BC,54,FALSE),"N/A")</f>
        <v>N/A</v>
      </c>
      <c r="AJ57" s="87" t="str">
        <f>IFERROR(VLOOKUP($B57,'LOD 300 - ADMN'!$B:BF,57,FALSE),"N/A")</f>
        <v>N/A</v>
      </c>
      <c r="AK57" s="87" t="str">
        <f>IFERROR(VLOOKUP($B57,'LOD 300 - ADMN'!$B:EP,60,FALSE),"N/A")</f>
        <v>N/A</v>
      </c>
      <c r="AL57" s="87" t="str">
        <f>IFERROR(VLOOKUP($B57,'LOD 300 - ADMN'!$B:EQ,63,FALSE),"N/A")</f>
        <v>N/A</v>
      </c>
      <c r="AM57" s="87" t="str">
        <f>IFERROR(VLOOKUP($B57,'LOD 300 - ADMN'!$B:BO,66,FALSE),"N/A")</f>
        <v>N/A</v>
      </c>
      <c r="AN57" s="87" t="str">
        <f>IFERROR(VLOOKUP($B57,'LOD 300 - ADMN'!$B:BR,69,FALSE),"N/A")</f>
        <v>N/A</v>
      </c>
      <c r="AO57" s="87" t="str">
        <f>IFERROR(VLOOKUP($B57,'LOD 300 - ADMN'!$B:BU,72,FALSE),"N/A")</f>
        <v>N/A</v>
      </c>
      <c r="AP57" s="87" t="str">
        <f>IFERROR(VLOOKUP($B57,'LOD 300 - ADMN'!$B:BX,75,FALSE),"N/A")</f>
        <v>N/A</v>
      </c>
      <c r="AQ57" s="87" t="str">
        <f>IFERROR(VLOOKUP($B57,'LOD 300 - ADMN'!$B:CA,78,FALSE),"N/A")</f>
        <v>N/A</v>
      </c>
      <c r="AR57" s="87" t="str">
        <f>IFERROR(VLOOKUP($B57,'LOD 300 - ADMN'!$B:CD,81,FALSE),"N/A")</f>
        <v>N/A</v>
      </c>
      <c r="AS57" s="87" t="str">
        <f>IFERROR(VLOOKUP($B57,'LOD 300 - ADMN'!$B:CG,84,FALSE),"N/A")</f>
        <v>N/A</v>
      </c>
      <c r="AT57" s="87" t="str">
        <f>IFERROR(VLOOKUP($B57,'LOD 300 - ADMN'!$B:CJ,87,FALSE),"N/A")</f>
        <v>N/A</v>
      </c>
      <c r="AU57" s="88" t="str">
        <f>IFERROR(VLOOKUP($B57,'LOD 300 - ADMN'!$B:CM,90,FALSE),"N/A")</f>
        <v>N/A</v>
      </c>
      <c r="AV57" s="88" t="str">
        <f>IFERROR(VLOOKUP($B57,'LOD 300 - ADMN'!$B:CP,93,FALSE),"N/A")</f>
        <v>N/A</v>
      </c>
      <c r="AW57" s="88" t="str">
        <f>IFERROR(VLOOKUP($B57,'LOD 300 - ADMN'!$B:CS,96,FALSE),"N/A")</f>
        <v>N/A</v>
      </c>
      <c r="AX57" s="88" t="str">
        <f>IFERROR(VLOOKUP($B57,'LOD 300 - ADMN'!$B:CV,99,FALSE),"N/A")</f>
        <v>N/A</v>
      </c>
      <c r="AY57" s="88" t="str">
        <f>IFERROR(VLOOKUP($B57,'LOD 300 - ADMN'!$B:CY,102,FALSE),"N/A")</f>
        <v>N/A</v>
      </c>
      <c r="AZ57" s="88" t="str">
        <f>IFERROR(VLOOKUP($B57,'LOD 300 - ADMN'!$B:DB,105,FALSE),"N/A")</f>
        <v>N/A</v>
      </c>
      <c r="BA57" s="87" t="str">
        <f>IFERROR(VLOOKUP($B57,'LOD 300 - ADMN'!$B:DE,108,FALSE),"N/A")</f>
        <v>N/A</v>
      </c>
      <c r="BB57" s="87" t="str">
        <f>IFERROR(VLOOKUP($B57,'LOD 300 - ADMN'!$B:DH,111,FALSE),"N/A")</f>
        <v>N/A</v>
      </c>
      <c r="BC57" s="87" t="str">
        <f>IFERROR(VLOOKUP($B57,'LOD 300 - ADMN'!$B:DK,114,FALSE),"N/A")</f>
        <v>N/A</v>
      </c>
      <c r="BD57" s="87" t="str">
        <f>IFERROR(VLOOKUP($B57,'LOD 300 - ADMN'!$B:DN,117,FALSE),"N/A")</f>
        <v>N/A</v>
      </c>
      <c r="BE57" s="87" t="str">
        <f>IFERROR(VLOOKUP($B57,'LOD 300 - ADMN'!$B:DQ,120,FALSE),"N/A")</f>
        <v>N/A</v>
      </c>
      <c r="BF57" s="87" t="str">
        <f>IFERROR(VLOOKUP($B57,'LOD 300 - ADMN'!$B:DT,123,FALSE),"N/A")</f>
        <v>N/A</v>
      </c>
      <c r="BG57" s="87" t="str">
        <f>IFERROR(VLOOKUP($B57,'LOD 300 - ADMN'!$B:DW,126,FALSE),"N/A")</f>
        <v>N/A</v>
      </c>
      <c r="BH57" s="87" t="str">
        <f>IFERROR(VLOOKUP($B57,'LOD 300 - ADMN'!$B:DZ,129,FALSE),"N/A")</f>
        <v>N/A</v>
      </c>
      <c r="BI57" s="87" t="str">
        <f>IFERROR(VLOOKUP($B57,'LOD 300 - ADMN'!$B:EC,132,FALSE),"N/A")</f>
        <v>N/A</v>
      </c>
      <c r="BJ57" s="90" t="str">
        <f>IFERROR(__xludf.DUMMYFUNCTION("IFERROR(
  MAX(FILTER(X57:BI57, ISNUMBER(X57:BI57))),
  BI57
)"),"N/A")</f>
        <v>N/A</v>
      </c>
      <c r="BK57" s="91" t="str">
        <f>IFERROR(VLOOKUP($B57,'LOD 300 - COLO1'!$B:S,18,FALSE),"N/A")</f>
        <v>N/A</v>
      </c>
      <c r="BL57" s="92" t="str">
        <f>IFERROR(VLOOKUP($B57,'LOD 300 - COLO1'!$B:V,21,FALSE),"N/A")</f>
        <v>N/A</v>
      </c>
      <c r="BM57" s="92" t="str">
        <f>IFERROR(VLOOKUP($B57,'LOD 300 - COLO1'!$B:Y,24,FALSE),"N/A")</f>
        <v>N/A</v>
      </c>
      <c r="BN57" s="92" t="str">
        <f>IFERROR(VLOOKUP($B57,'LOD 300 - COLO1'!$B:AB,27,FALSE),"N/A")</f>
        <v>N/A</v>
      </c>
      <c r="BO57" s="92" t="str">
        <f>IFERROR(VLOOKUP($B57,'LOD 300 - COLO1'!$B:AE,30,FALSE),"N/A")</f>
        <v>N/A</v>
      </c>
      <c r="BP57" s="92" t="str">
        <f>IFERROR(VLOOKUP($B57,'LOD 300 - COLO1'!$B:AH,33,FALSE),"N/A")</f>
        <v>N/A</v>
      </c>
      <c r="BQ57" s="92" t="str">
        <f>IFERROR(VLOOKUP($B57,'LOD 300 - COLO1'!$B:AK,36,FALSE),"N/A")</f>
        <v>N/A</v>
      </c>
      <c r="BR57" s="92" t="str">
        <f>IFERROR(VLOOKUP($B57,'LOD 300 - COLO1'!$B:AN,39,FALSE),"N/A")</f>
        <v>N/A</v>
      </c>
      <c r="BS57" s="92" t="str">
        <f>IFERROR(VLOOKUP($B57,'LOD 300 - COLO1'!$B:AQ,42,FALSE),"N/A")</f>
        <v>N/A</v>
      </c>
      <c r="BT57" s="92" t="str">
        <f>IFERROR(VLOOKUP($B57,'LOD 300 - COLO1'!$B:AT,45,FALSE),"N/A")</f>
        <v>N/A</v>
      </c>
      <c r="BU57" s="92" t="str">
        <f>IFERROR(VLOOKUP($B57,'LOD 300 - COLO1'!$B:AW,48,FALSE),"N/A")</f>
        <v>N/A</v>
      </c>
      <c r="BV57" s="92" t="str">
        <f>IFERROR(VLOOKUP($B57,'LOD 300 - COLO1'!$B:AZ,51,FALSE),"N/A")</f>
        <v>N/A</v>
      </c>
      <c r="BW57" s="92" t="str">
        <f>IFERROR(VLOOKUP($B57,'LOD 300 - COLO1'!$B:BC,54,FALSE),"N/A")</f>
        <v>N/A</v>
      </c>
      <c r="BX57" s="94" t="str">
        <f>IFERROR(VLOOKUP($B57,'LOD 300 - COLO1'!$B:BF,57,FALSE),"N/A")</f>
        <v>N/A</v>
      </c>
      <c r="BY57" s="94" t="str">
        <f>IFERROR(VLOOKUP($B57,'LOD 300 - COLO1'!$B:BI,60,FALSE),"N/A")</f>
        <v>N/A</v>
      </c>
      <c r="BZ57" s="95" t="str">
        <f>IFERROR(VLOOKUP($B57,'LOD 300 - COLO1'!$B:BL,63,FALSE),"N/A")</f>
        <v>N/A</v>
      </c>
      <c r="CA57" s="86" t="str">
        <f>IFERROR(VLOOKUP($B57,'LOD 300 - COLO1'!$B:BO,66,FALSE),"N/A")</f>
        <v>N/A</v>
      </c>
      <c r="CB57" s="86" t="str">
        <f>IFERROR(VLOOKUP($B57,'LOD 300 - COLO1'!$B:BR,69,FALSE),"N/A")</f>
        <v>N/A</v>
      </c>
      <c r="CC57" s="86" t="str">
        <f>IFERROR(VLOOKUP($B57,'LOD 300 - COLO1'!$B:BU,72,FALSE),"N/A")</f>
        <v>N/A</v>
      </c>
      <c r="CD57" s="86" t="str">
        <f>IFERROR(VLOOKUP($B57,'LOD 300 - COLO1'!$B:BX,75,FALSE),"N/A")</f>
        <v>N/A</v>
      </c>
      <c r="CE57" s="86" t="str">
        <f>IFERROR(VLOOKUP($B57,'LOD 300 - COLO1'!$B:CA,78,FALSE),"N/A")</f>
        <v>N/A</v>
      </c>
      <c r="CF57" s="87" t="str">
        <f>IFERROR(VLOOKUP($B57,'LOD 300 - COLO1'!$B:CD,81,FALSE),"N/A")</f>
        <v>N/A</v>
      </c>
      <c r="CG57" s="86" t="str">
        <f>IFERROR(VLOOKUP($B57,'LOD 300 - COLO1'!$B:CG,84,FALSE),"N/A")</f>
        <v>N/A</v>
      </c>
      <c r="CH57" s="87" t="str">
        <f>IFERROR(VLOOKUP($B57,'LOD 300 - COLO1'!$B:CJ,87,FALSE),"N/A")</f>
        <v>N/A</v>
      </c>
      <c r="CI57" s="88" t="str">
        <f>IFERROR(VLOOKUP($B57,'LOD 300 - COLO1'!$B:CM,90,FALSE),"N/A")</f>
        <v>N/A</v>
      </c>
      <c r="CJ57" s="88" t="str">
        <f>IFERROR(VLOOKUP($B57,'LOD 300 - COLO1'!$B:CP,93,FALSE),"N/A")</f>
        <v>N/A</v>
      </c>
      <c r="CK57" s="88" t="str">
        <f>IFERROR(VLOOKUP($B57,'LOD 300 - COLO1'!$B:CS,96,FALSE),"N/A")</f>
        <v>N/A</v>
      </c>
      <c r="CL57" s="88" t="str">
        <f>IFERROR(VLOOKUP($B57,'LOD 300 - COLO1'!$B:CV,99,FALSE),"N/A")</f>
        <v>N/A</v>
      </c>
      <c r="CM57" s="88" t="str">
        <f>IFERROR(VLOOKUP($B57,'LOD 300 - COLO1'!$B:CY,102,FALSE),"N/A")</f>
        <v>N/A</v>
      </c>
      <c r="CN57" s="89" t="str">
        <f>IFERROR(VLOOKUP($B57,'LOD 300 - COLO1'!$B:DB,105,FALSE),"N/A")</f>
        <v>N/A</v>
      </c>
      <c r="CO57" s="87" t="str">
        <f>IFERROR(VLOOKUP($B57,'LOD 300 - COLO1'!$B:EE,108,FALSE),"N/A")</f>
        <v>N/A</v>
      </c>
      <c r="CP57" s="87" t="str">
        <f>IFERROR(VLOOKUP($B57,'LOD 300 - COLO1'!$B:EH,111,FALSE),"N/A")</f>
        <v>N/A</v>
      </c>
      <c r="CQ57" s="87" t="str">
        <f>IFERROR(VLOOKUP($B57,'LOD 300 - COLO1'!$B:EK,114,FALSE),"N/A")</f>
        <v>N/A</v>
      </c>
      <c r="CR57" s="87" t="str">
        <f>IFERROR(VLOOKUP($B57,'LOD 300 - COLO1'!$B:EN,117,FALSE),"N/A")</f>
        <v>N/A</v>
      </c>
      <c r="CS57" s="87" t="str">
        <f>IFERROR(VLOOKUP($B57,'LOD 300 - COLO1'!$B:EQ,120,FALSE),"N/A")</f>
        <v>N/A</v>
      </c>
      <c r="CT57" s="87" t="str">
        <f>IFERROR(VLOOKUP($B57,'LOD 300 - COLO1'!$B:ET,123,FALSE),"N/A")</f>
        <v>N/A</v>
      </c>
      <c r="CU57" s="87" t="str">
        <f>IFERROR(VLOOKUP($B57,'LOD 300 - COLO1'!$B:EW,126,FALSE),"N/A")</f>
        <v>N/A</v>
      </c>
      <c r="CV57" s="87" t="str">
        <f>IFERROR(VLOOKUP($B57,'LOD 300 - COLO1'!$B:EZ,129,FALSE),"N/A")</f>
        <v>N/A</v>
      </c>
      <c r="CW57" s="87" t="str">
        <f>IFERROR(VLOOKUP($B57,'LOD 300 - COLO1'!$B:FC,132,FALSE),"N/A")</f>
        <v>N/A</v>
      </c>
      <c r="CX57" s="96" t="str">
        <f>IFERROR(__xludf.DUMMYFUNCTION("IFERROR(
  MAX(FILTER(BK57:CW57, ISNUMBER(BK57:CW57))),
  CW57
)"),"N/A")</f>
        <v>N/A</v>
      </c>
      <c r="CY57" s="104" t="str">
        <f>IFERROR(VLOOKUP($B57,'LOD 300 - COLO2'!$B:S,18,FALSE),"N/A")</f>
        <v>N/A</v>
      </c>
      <c r="CZ57" s="117" t="str">
        <f>IFERROR(VLOOKUP($B57,'LOD 300 - COLO2'!$B:V,21,FALSE),"N/A")</f>
        <v>N/A</v>
      </c>
      <c r="DA57" s="117" t="str">
        <f>IFERROR(VLOOKUP($B57,'LOD 300 - COLO2'!$B:Y,24,FALSE),"N/A")</f>
        <v>N/A</v>
      </c>
      <c r="DB57" s="117" t="str">
        <f>IFERROR(VLOOKUP($B57,'LOD 300 - COLO2'!$B:AB,27,FALSE),"N/A")</f>
        <v>N/A</v>
      </c>
      <c r="DC57" s="92" t="str">
        <f>IFERROR(VLOOKUP($B57,'LOD 300 - COLO2'!$B:AE,30,FALSE),"N/A")</f>
        <v>N/A</v>
      </c>
      <c r="DD57" s="120" t="str">
        <f>IFERROR(VLOOKUP($B57,'LOD 300 - COLO2'!$B:AH,33,FALSE),"N/A")</f>
        <v>N/A</v>
      </c>
      <c r="DE57" s="117" t="str">
        <f>IFERROR(VLOOKUP($B57,'LOD 300 - COLO2'!$B:AK,36,FALSE),"N/A")</f>
        <v>N/A</v>
      </c>
      <c r="DF57" s="117" t="str">
        <f>IFERROR(VLOOKUP($B57,'LOD 300 - COLO2'!$B:AN,39,FALSE),"N/A")</f>
        <v>N/A</v>
      </c>
      <c r="DG57" s="119" t="str">
        <f>IFERROR(VLOOKUP($B57,'LOD 300 - COLO2'!$B:AQ,42,FALSE),"N/A")</f>
        <v>N/A</v>
      </c>
      <c r="DH57" s="87" t="str">
        <f>IFERROR(VLOOKUP($B57,'LOD 300 - COLO2'!$B:AT,45,FALSE),"N/A")</f>
        <v>N/A</v>
      </c>
      <c r="DI57" s="94" t="str">
        <f>IFERROR(VLOOKUP($B57,'LOD 300 - COLO2'!$B:AW,48,FALSE),"N/A")</f>
        <v>N/A</v>
      </c>
      <c r="DJ57" s="95" t="str">
        <f>IFERROR(VLOOKUP($B57,'LOD 300 - COLO2'!$B:AZ,51,FALSE),"N/A")</f>
        <v>N/A</v>
      </c>
      <c r="DK57" s="86" t="str">
        <f>IFERROR(VLOOKUP($B57,'LOD 300 - COLO2'!$B:BC,54,FALSE),"N/A")</f>
        <v>N/A</v>
      </c>
      <c r="DL57" s="86" t="str">
        <f>IFERROR(VLOOKUP($B57,'LOD 300 - COLO2'!$B:BF,57,FALSE),"N/A")</f>
        <v>N/A</v>
      </c>
      <c r="DM57" s="86" t="str">
        <f>IFERROR(VLOOKUP($B57,'LOD 300 - COLO2'!$B:BI,60,FALSE),"N/A")</f>
        <v>N/A</v>
      </c>
      <c r="DN57" s="86" t="str">
        <f>IFERROR(VLOOKUP($B57,'LOD 300 - COLO2'!$B:BL,63,FALSE),"N/A")</f>
        <v>N/A</v>
      </c>
      <c r="DO57" s="86" t="str">
        <f>IFERROR(VLOOKUP($B57,'LOD 300 - COLO2'!$B:BO,66,FALSE),"N/A")</f>
        <v>N/A</v>
      </c>
      <c r="DP57" s="87" t="str">
        <f>IFERROR(VLOOKUP($B57,'LOD 300 - COLO2'!$B:BR,69,FALSE),"N/A")</f>
        <v>N/A</v>
      </c>
      <c r="DQ57" s="87" t="str">
        <f>IFERROR(VLOOKUP($B57,'LOD 300 - COLO2'!$B:BU,72,FALSE),"N/A")</f>
        <v>N/A</v>
      </c>
      <c r="DR57" s="87" t="str">
        <f>IFERROR(VLOOKUP($B57,'LOD 300 - COLO2'!$B:BX,75,FALSE),"N/A")</f>
        <v>N/A</v>
      </c>
      <c r="DS57" s="98" t="str">
        <f>IFERROR(VLOOKUP($B57,'LOD 300 - COLO2'!$B:CA,78,FALSE),"N/A")</f>
        <v>N/A</v>
      </c>
      <c r="DT57" s="98" t="str">
        <f>IFERROR(VLOOKUP($B57,'LOD 300 - COLO2'!$B:CD,81,FALSE),"N/A")</f>
        <v>N/A</v>
      </c>
      <c r="DU57" s="98" t="str">
        <f>IFERROR(VLOOKUP($B57,'LOD 300 - COLO2'!$B:CG,84,FALSE),"N/A")</f>
        <v>N/A</v>
      </c>
      <c r="DV57" s="98" t="str">
        <f>IFERROR(VLOOKUP($B57,'LOD 300 - COLO2'!$B:CJ,87,FALSE),"N/A")</f>
        <v>N/A</v>
      </c>
      <c r="DW57" s="98" t="str">
        <f>IFERROR(VLOOKUP($B57,'LOD 300 - COLO2'!$B:CM,90,FALSE),"N/A")</f>
        <v>N/A</v>
      </c>
      <c r="DX57" s="98" t="str">
        <f>IFERROR(VLOOKUP($B57,'LOD 300 - COLO2'!$B:CP,93,FALSE),"N/A")</f>
        <v>N/A</v>
      </c>
      <c r="DY57" s="87" t="str">
        <f>IFERROR(VLOOKUP($B57,'LOD 300 - COLO2'!$B:CS,96,FALSE),"N/A")</f>
        <v>N/A</v>
      </c>
      <c r="DZ57" s="87" t="str">
        <f>IFERROR(VLOOKUP($B57,'LOD 300 - COLO2'!$B:CV,99,FALSE),"N/A")</f>
        <v>N/A</v>
      </c>
      <c r="EA57" s="87" t="str">
        <f>IFERROR(VLOOKUP($B57,'LOD 300 - COLO2'!$B:DB,105,FALSE),"N/A")</f>
        <v>N/A</v>
      </c>
      <c r="EB57" s="87" t="str">
        <f>IFERROR(VLOOKUP($B57,'LOD 300 - COLO2'!$B:DB,105,FALSE),"N/A")</f>
        <v>N/A</v>
      </c>
      <c r="EC57" s="87" t="str">
        <f>IFERROR(VLOOKUP($B57,'LOD 300 - COLO2'!$B:DE,108,FALSE),"N/A")</f>
        <v>N/A</v>
      </c>
      <c r="ED57" s="87" t="str">
        <f>IFERROR(VLOOKUP($B57,'LOD 300 - COLO2'!$B:DH,111,FALSE),"N/A")</f>
        <v>N/A</v>
      </c>
      <c r="EE57" s="87" t="str">
        <f>IFERROR(VLOOKUP($B57,'LOD 300 - COLO2'!$B:DK,114,FALSE),"N/A")</f>
        <v>N/A</v>
      </c>
      <c r="EF57" s="87" t="str">
        <f>IFERROR(VLOOKUP($B57,'LOD 300 - COLO2'!$B:DN,117,FALSE),"N/A")</f>
        <v>N/A</v>
      </c>
      <c r="EG57" s="87" t="str">
        <f>IFERROR(VLOOKUP($B57,'LOD 300 - COLO2'!$B:DQ,120,FALSE),"N/A")</f>
        <v>N/A</v>
      </c>
      <c r="EH57" s="99" t="str">
        <f>IFERROR(__xludf.DUMMYFUNCTION("IFERROR(
  MAX(FILTER(CZ57:EG57, ISNUMBER(CZ57:EG57))),
  EG57
)"),"N/A")</f>
        <v>N/A</v>
      </c>
      <c r="EI57" s="100" t="str">
        <f>IFERROR(VLOOKUP($B57,'LOD 300 - COLO3'!$B:R,17,FALSE),"N/A")</f>
        <v>N/A</v>
      </c>
      <c r="EJ57" s="127" t="str">
        <f>IFERROR(VLOOKUP($B57,'LOD 300 - COLO3'!$B:U,20,FALSE),"N/A")</f>
        <v>N/A</v>
      </c>
      <c r="EK57" s="127" t="str">
        <f>IFERROR(VLOOKUP($B57,'LOD 300 - COLO3'!$B:X,23,FALSE),"N/A")</f>
        <v>N/A</v>
      </c>
      <c r="EL57" s="127" t="str">
        <f>IFERROR(VLOOKUP($B57,'LOD 300 - COLO3'!$B:AA,26,FALSE),"N/A")</f>
        <v>N/A</v>
      </c>
      <c r="EM57" s="127" t="str">
        <f>IFERROR(VLOOKUP($B57,'LOD 300 - COLO3'!$B:AD,29,FALSE),"N/A")</f>
        <v>N/A</v>
      </c>
      <c r="EN57" s="127" t="str">
        <f>IFERROR(VLOOKUP($B57,'LOD 300 - COLO3'!$B:AG,32,FALSE),"N/A")</f>
        <v>N/A</v>
      </c>
      <c r="EO57" s="127" t="str">
        <f>IFERROR(VLOOKUP($B57,'LOD 300 - COLO3'!$B:AJ,35,FALSE),"N/A")</f>
        <v>N/A</v>
      </c>
      <c r="EP57" s="100" t="str">
        <f>IFERROR(VLOOKUP($B57,'LOD 300 - COLO3'!$B:AM,38,FALSE),"N/A")</f>
        <v>N/A</v>
      </c>
      <c r="EQ57" s="100" t="str">
        <f>IFERROR(VLOOKUP($B57,'LOD 300 - COLO3'!$B:AP,41,FALSE),"N/A")</f>
        <v>N/A</v>
      </c>
      <c r="ER57" s="100" t="str">
        <f>IFERROR(VLOOKUP($B57,'LOD 300 - COLO3'!$B:AS,44,FALSE),"N/A")</f>
        <v>N/A</v>
      </c>
      <c r="ES57" s="100" t="str">
        <f>IFERROR(VLOOKUP($B57,'LOD 300 - COLO3'!$B:AV,47,FALSE),"N/A")</f>
        <v>N/A</v>
      </c>
      <c r="ET57" s="100" t="str">
        <f>IFERROR(VLOOKUP($B57,'LOD 300 - COLO3'!$B:AY,50,FALSE),"N/A")</f>
        <v>N/A</v>
      </c>
      <c r="EU57" s="100" t="str">
        <f>IFERROR(VLOOKUP($B57,'LOD 300 - COLO3'!$B:BB,53,FALSE),"N/A")</f>
        <v>N/A</v>
      </c>
      <c r="EV57" s="100" t="str">
        <f>IFERROR(VLOOKUP($B57,'LOD 300 - COLO3'!$B:BE,56,FALSE),"N/A")</f>
        <v>N/A</v>
      </c>
      <c r="EW57" s="100" t="str">
        <f>IFERROR(VLOOKUP($B57,'LOD 300 - COLO3'!$B:BL,59,FALSE),"N/A")</f>
        <v>N/A</v>
      </c>
      <c r="EX57" s="100" t="str">
        <f>IFERROR(VLOOKUP($B57,'LOD 300 - COLO3'!$B:BO,62,FALSE),"N/A")</f>
        <v>N/A</v>
      </c>
      <c r="EY57" s="103" t="str">
        <f>IFERROR(__xludf.DUMMYFUNCTION("IFERROR(
  MAX(FILTER(EI57:EX57, ISNUMBER(EI57:EX57))),
  EX57
)"),"N/A")</f>
        <v>N/A</v>
      </c>
      <c r="EZ57" s="104" t="str">
        <f>IFERROR(VLOOKUP($B57,'LOD 300 - COLO4'!$B:BT,17,FALSE),"N/A")</f>
        <v>N/A</v>
      </c>
      <c r="FA57" s="103" t="str">
        <f>IFERROR(__xludf.DUMMYFUNCTION("IFERROR(
  MAX(FILTER(EZ57, ISNUMBER(EZ57))),
  EZ57
)"),"N/A")</f>
        <v>N/A</v>
      </c>
      <c r="FB57" s="121" t="str">
        <f>IFERROR(VLOOKUP($B57,'LOD 300 - SITE'!$B:S,18,FALSE),"N/A")</f>
        <v>NOT PUBLISHED</v>
      </c>
      <c r="FC57" s="122" t="str">
        <f>IFERROR(VLOOKUP($B57,'LOD 300 - SITE'!$B:V,21,FALSE),"N/A")</f>
        <v>NOT PUBLISHED</v>
      </c>
      <c r="FD57" s="122" t="str">
        <f>IFERROR(VLOOKUP($B57,'LOD 300 - SITE'!$B:Y,24,FALSE),"N/A")</f>
        <v>NOT PUBLISHED</v>
      </c>
      <c r="FE57" s="122" t="str">
        <f>IFERROR(VLOOKUP($B57,'LOD 300 - SITE'!$B:AB,27,FALSE),"N/A")</f>
        <v>NOT PUBLISHED</v>
      </c>
      <c r="FF57" s="122" t="str">
        <f>IFERROR(VLOOKUP($B57,'LOD 300 - SITE'!$B:AE,30,FALSE),"N/A")</f>
        <v>NOT PUBLISHED</v>
      </c>
      <c r="FG57" s="122" t="str">
        <f>IFERROR(VLOOKUP($B57,'LOD 300 - SITE'!$B:AH,33,FALSE),"N/A")</f>
        <v>NOT PUBLISHED</v>
      </c>
      <c r="FH57" s="122" t="str">
        <f>IFERROR(VLOOKUP($B57,'LOD 300 - SITE'!$B:AK,36,FALSE),"N/A")</f>
        <v>NOT PUBLISHED</v>
      </c>
      <c r="FI57" s="122" t="str">
        <f>IFERROR(VLOOKUP($B57,'LOD 300 - SITE'!$B:AN,39,FALSE),"N/A")</f>
        <v>NOT PUBLISHED</v>
      </c>
      <c r="FJ57" s="122" t="str">
        <f>IFERROR(VLOOKUP($B57,'LOD 300 - SITE'!$B:AQ,42,FALSE),"N/A")</f>
        <v>NOT PUBLISHED</v>
      </c>
      <c r="FK57" s="122" t="str">
        <f>IFERROR(VLOOKUP($B57,'LOD 300 - SITE'!$B:AT,45,FALSE),"N/A")</f>
        <v>NOT PUBLISHED</v>
      </c>
      <c r="FL57" s="123" t="str">
        <f>IFERROR(VLOOKUP($B57,'LOD 300 - SITE'!$B:AW,48,FALSE),"N/A")</f>
        <v>NOT PUBLISHED</v>
      </c>
      <c r="FM57" s="87" t="str">
        <f>IFERROR(VLOOKUP($B57,'LOD 300 - SITE'!$B:AZ,51,FALSE),"N/A")</f>
        <v>NOT PUBLISHED</v>
      </c>
      <c r="FN57" s="94" t="str">
        <f>IFERROR(VLOOKUP($B57,'LOD 300 - SITE'!$B:BC,54,FALSE),"N/A")</f>
        <v>NOT PUBLISHED</v>
      </c>
      <c r="FO57" s="95" t="str">
        <f>IFERROR(VLOOKUP($B57,'LOD 300 - SITE'!$B:BF,57,FALSE),"N/A")</f>
        <v>NOT PUBLISHED</v>
      </c>
      <c r="FP57" s="86" t="str">
        <f>IFERROR(VLOOKUP($B57,'LOD 300 - SITE'!$B:BI,60,FALSE),"N/A")</f>
        <v>NOT PUBLISHED</v>
      </c>
      <c r="FQ57" s="86" t="str">
        <f>IFERROR(VLOOKUP($B57,'LOD 300 - SITE'!$B:BL,63,FALSE),"N/A")</f>
        <v>NOT PUBLISHED</v>
      </c>
      <c r="FR57" s="86" t="str">
        <f>IFERROR(VLOOKUP($B57,'LOD 300 - SITE'!$B:BO,66,FALSE),"N/A")</f>
        <v>NOT PUBLISHED</v>
      </c>
      <c r="FS57" s="86" t="str">
        <f>IFERROR(VLOOKUP($B57,'LOD 300 - SITE'!$B:BR,69,FALSE),"N/A")</f>
        <v>NOT PUBLISHED</v>
      </c>
      <c r="FT57" s="86" t="str">
        <f>IFERROR(VLOOKUP($B57,'LOD 300 - SITE'!$B:BU,72,FALSE),"N/A")</f>
        <v>NOT PUBLISHED</v>
      </c>
      <c r="FU57" s="86" t="str">
        <f>IFERROR(VLOOKUP($B57,'LOD 300 - SITE'!$B:BX,75,FALSE),"N/A")</f>
        <v>NOT PUBLISHED</v>
      </c>
      <c r="FV57" s="86" t="str">
        <f>IFERROR(VLOOKUP($B57,'LOD 300 - SITE'!$B:CA,78,FALSE),"N/A")</f>
        <v>NOT PUBLISHED</v>
      </c>
      <c r="FW57" s="87" t="str">
        <f>IFERROR(VLOOKUP($B57,'LOD 300 - SITE'!$B:CD,81,FALSE),"N/A")</f>
        <v>NOT PUBLISHED</v>
      </c>
      <c r="FX57" s="108" t="str">
        <f>IFERROR(VLOOKUP($B57,'LOD 300 - SITE'!$B:CG,84,FALSE),"N/A")</f>
        <v>NOT PUBLISHED</v>
      </c>
      <c r="FY57" s="108" t="str">
        <f>IFERROR(VLOOKUP($B57,'LOD 300 - SITE'!$B:CJ,87,FALSE),"N/A")</f>
        <v>NOT PUBLISHED</v>
      </c>
      <c r="FZ57" s="108" t="str">
        <f>IFERROR(VLOOKUP($B57,'LOD 300 - SITE'!$B:CM,90,FALSE),"N/A")</f>
        <v>NOT PUBLISHED</v>
      </c>
      <c r="GA57" s="108" t="str">
        <f>IFERROR(VLOOKUP($B57,'LOD 300 - SITE'!$B:CP,93,FALSE),"N/A")</f>
        <v>NOT PUBLISHED</v>
      </c>
      <c r="GB57" s="108">
        <f>IFERROR(VLOOKUP($B57,'LOD 300 - SITE'!$B:CS,96,FALSE),"N/A")</f>
        <v>0</v>
      </c>
      <c r="GC57" s="109" t="str">
        <f>IFERROR(VLOOKUP($B57,'LOD 300 - SITE'!$B:CV,99,FALSE),"N/A")</f>
        <v>NEXT ROUND</v>
      </c>
      <c r="GD57" s="87" t="str">
        <f>IFERROR(VLOOKUP($B57,'LOD 300 - SITE'!$B:CY,102,FALSE),"N/A")</f>
        <v>NEXT ROUND</v>
      </c>
      <c r="GE57" s="87">
        <f>IFERROR(VLOOKUP($B57,'LOD 300 - SITE'!$B:DB,105,FALSE),"N/A")</f>
        <v>0.38</v>
      </c>
      <c r="GF57" s="87" t="str">
        <f>IFERROR(VLOOKUP($B57,'LOD 300 - SITE'!$B:DE,108,FALSE),"N/A")</f>
        <v>OUTDATED MODEL</v>
      </c>
      <c r="GG57" s="87" t="str">
        <f>IFERROR(VLOOKUP($B57,'LOD 300 - SITE'!$B:DH,111,FALSE),"N/A")</f>
        <v>OUTDATED MODEL</v>
      </c>
      <c r="GH57" s="87" t="str">
        <f>IFERROR(VLOOKUP($B57,'LOD 300 - SITE'!$B:DK,114,FALSE),"N/A")</f>
        <v>NEXT ROUND</v>
      </c>
      <c r="GI57" s="87">
        <f>IFERROR(VLOOKUP($B57,'LOD 300 - SITE'!$B:DN,117,FALSE),"N/A")</f>
        <v>0.4</v>
      </c>
      <c r="GJ57" s="87" t="str">
        <f>IFERROR(VLOOKUP($B57,'LOD 300 - SITE'!$B:DQ,120,FALSE),"N/A")</f>
        <v>NEXT ROUND</v>
      </c>
      <c r="GK57" s="87">
        <f>IFERROR(VLOOKUP($B57,'LOD 300 - SITE'!$B:DT,123,FALSE),"N/A")</f>
        <v>1</v>
      </c>
      <c r="GL57" s="87">
        <f>IFERROR(VLOOKUP($B57,'LOD 300 - SITE'!$B:DW,126,FALSE),"N/A")</f>
        <v>1</v>
      </c>
      <c r="GM57" s="110">
        <f>IFERROR(__xludf.DUMMYFUNCTION("IFERROR(
  MAX(FILTER(FB57:GL57, ISNUMBER(FB57:GL57))),
  GL57
)"),1.0)</f>
        <v>1</v>
      </c>
      <c r="GN57" s="111"/>
      <c r="GO57" s="111"/>
      <c r="GP57" s="111"/>
    </row>
    <row r="58" ht="15.0" hidden="1" customHeight="1">
      <c r="A58" s="60">
        <v>61.0</v>
      </c>
      <c r="B58" s="262" t="s">
        <v>219</v>
      </c>
      <c r="C58" s="263"/>
      <c r="D58" s="264"/>
      <c r="E58" s="264"/>
      <c r="F58" s="13"/>
      <c r="G58" s="264"/>
      <c r="H58" s="265"/>
      <c r="I58" s="266"/>
      <c r="J58" s="266"/>
      <c r="K58" s="264"/>
      <c r="L58" s="264"/>
      <c r="M58" s="267"/>
      <c r="N58" s="267"/>
      <c r="O58" s="267"/>
      <c r="P58" s="268"/>
      <c r="Q58" s="267"/>
      <c r="R58" s="267"/>
      <c r="S58" s="79" t="str">
        <f>IF(OR($D58="C345",$D58="C12A",$D58="DATA"),
   VLOOKUP($B58,'LOD 300 - COLO4'!B:S,14,FALSE),"N/A")</f>
        <v>N/A</v>
      </c>
      <c r="T58" s="76" t="str">
        <f>IF(OR($D58="C345",$D58="C12A",$D58="DATA"),
   VLOOKUP($B58,'LOD 300 - COLO3'!B:T,13,FALSE),"N/A")</f>
        <v>N/A</v>
      </c>
      <c r="U58" s="267"/>
      <c r="V58" s="264"/>
      <c r="W58" s="269"/>
      <c r="X58" s="270"/>
      <c r="Y58" s="270"/>
      <c r="Z58" s="270"/>
      <c r="AA58" s="270"/>
      <c r="AB58" s="270"/>
      <c r="AC58" s="270"/>
      <c r="AD58" s="270"/>
      <c r="AE58" s="270"/>
      <c r="AF58" s="270"/>
      <c r="AG58" s="270"/>
      <c r="AH58" s="270"/>
      <c r="AI58" s="270"/>
      <c r="AJ58" s="271"/>
      <c r="AK58" s="271"/>
      <c r="AL58" s="272"/>
      <c r="AM58" s="271"/>
      <c r="AN58" s="271"/>
      <c r="AO58" s="271"/>
      <c r="AP58" s="271"/>
      <c r="AQ58" s="271"/>
      <c r="AR58" s="271"/>
      <c r="AS58" s="271"/>
      <c r="AT58" s="271"/>
      <c r="AU58" s="271"/>
      <c r="AV58" s="272"/>
      <c r="AW58" s="272"/>
      <c r="AX58" s="272"/>
      <c r="AY58" s="272"/>
      <c r="AZ58" s="272"/>
      <c r="BA58" s="271"/>
      <c r="BB58" s="272"/>
      <c r="BC58" s="273"/>
      <c r="BD58" s="273"/>
      <c r="BE58" s="273"/>
      <c r="BF58" s="273"/>
      <c r="BG58" s="273"/>
      <c r="BH58" s="273"/>
      <c r="BI58" s="273"/>
      <c r="BJ58" s="274"/>
      <c r="BK58" s="275"/>
      <c r="BL58" s="275"/>
      <c r="BM58" s="275"/>
      <c r="BN58" s="275"/>
      <c r="BO58" s="275"/>
      <c r="BP58" s="275"/>
      <c r="BQ58" s="275"/>
      <c r="BR58" s="275"/>
      <c r="BS58" s="275"/>
      <c r="BT58" s="275"/>
      <c r="BU58" s="275"/>
      <c r="BV58" s="275"/>
      <c r="BW58" s="275"/>
      <c r="BX58" s="276"/>
      <c r="BY58" s="276"/>
      <c r="BZ58" s="277"/>
      <c r="CA58" s="278"/>
      <c r="CB58" s="278"/>
      <c r="CC58" s="278"/>
      <c r="CD58" s="278"/>
      <c r="CE58" s="278"/>
      <c r="CF58" s="271"/>
      <c r="CG58" s="277"/>
      <c r="CH58" s="271"/>
      <c r="CI58" s="271"/>
      <c r="CJ58" s="277"/>
      <c r="CK58" s="277"/>
      <c r="CL58" s="277"/>
      <c r="CM58" s="277"/>
      <c r="CN58" s="277"/>
      <c r="CO58" s="271"/>
      <c r="CP58" s="279"/>
      <c r="CQ58" s="277"/>
      <c r="CR58" s="277"/>
      <c r="CS58" s="277"/>
      <c r="CT58" s="277"/>
      <c r="CU58" s="277"/>
      <c r="CV58" s="277"/>
      <c r="CW58" s="277"/>
      <c r="CX58" s="274"/>
      <c r="CY58" s="280"/>
      <c r="CZ58" s="281"/>
      <c r="DA58" s="281"/>
      <c r="DB58" s="281"/>
      <c r="DC58" s="282"/>
      <c r="DD58" s="283"/>
      <c r="DE58" s="280"/>
      <c r="DF58" s="280"/>
      <c r="DG58" s="284"/>
      <c r="DH58" s="271"/>
      <c r="DI58" s="276"/>
      <c r="DJ58" s="277"/>
      <c r="DK58" s="278"/>
      <c r="DL58" s="278"/>
      <c r="DM58" s="278"/>
      <c r="DN58" s="278"/>
      <c r="DO58" s="278"/>
      <c r="DP58" s="271"/>
      <c r="DQ58" s="271"/>
      <c r="DR58" s="271"/>
      <c r="DS58" s="285"/>
      <c r="DT58" s="286"/>
      <c r="DU58" s="286"/>
      <c r="DV58" s="286"/>
      <c r="DW58" s="286"/>
      <c r="DX58" s="286"/>
      <c r="DY58" s="271"/>
      <c r="DZ58" s="272"/>
      <c r="EA58" s="273"/>
      <c r="EB58" s="273"/>
      <c r="EC58" s="273"/>
      <c r="ED58" s="273"/>
      <c r="EE58" s="273"/>
      <c r="EF58" s="273"/>
      <c r="EG58" s="273"/>
      <c r="EH58" s="273"/>
      <c r="EI58" s="271"/>
      <c r="EJ58" s="271"/>
      <c r="EK58" s="271"/>
      <c r="EL58" s="271"/>
      <c r="EM58" s="271"/>
      <c r="EN58" s="271"/>
      <c r="EO58" s="271"/>
      <c r="EP58" s="271"/>
      <c r="EQ58" s="271"/>
      <c r="ER58" s="278"/>
      <c r="ES58" s="278"/>
      <c r="ET58" s="278"/>
      <c r="EU58" s="278"/>
      <c r="EV58" s="278"/>
      <c r="EW58" s="278"/>
      <c r="EX58" s="278"/>
      <c r="EY58" s="278"/>
      <c r="EZ58" s="287"/>
      <c r="FA58" s="287"/>
      <c r="FB58" s="270"/>
      <c r="FC58" s="270"/>
      <c r="FD58" s="270"/>
      <c r="FE58" s="270"/>
      <c r="FF58" s="270"/>
      <c r="FG58" s="270"/>
      <c r="FH58" s="270"/>
      <c r="FI58" s="270"/>
      <c r="FJ58" s="270"/>
      <c r="FK58" s="270"/>
      <c r="FL58" s="288"/>
      <c r="FM58" s="271"/>
      <c r="FN58" s="276"/>
      <c r="FO58" s="277"/>
      <c r="FP58" s="278"/>
      <c r="FQ58" s="278"/>
      <c r="FR58" s="278"/>
      <c r="FS58" s="278"/>
      <c r="FT58" s="278"/>
      <c r="FU58" s="278"/>
      <c r="FV58" s="278"/>
      <c r="FW58" s="271"/>
      <c r="FX58" s="276"/>
      <c r="FY58" s="277"/>
      <c r="FZ58" s="277"/>
      <c r="GA58" s="277"/>
      <c r="GB58" s="277"/>
      <c r="GC58" s="277"/>
      <c r="GD58" s="271"/>
      <c r="GE58" s="279"/>
      <c r="GF58" s="277"/>
      <c r="GG58" s="277"/>
      <c r="GH58" s="277"/>
      <c r="GI58" s="277"/>
      <c r="GJ58" s="277"/>
      <c r="GK58" s="277"/>
      <c r="GL58" s="277"/>
      <c r="GM58" s="289"/>
      <c r="GN58" s="186"/>
      <c r="GO58" s="186"/>
      <c r="GP58" s="186"/>
    </row>
    <row r="59" ht="15.0" customHeight="1" outlineLevel="1">
      <c r="A59" s="60">
        <v>62.0</v>
      </c>
      <c r="B59" s="140" t="s">
        <v>220</v>
      </c>
      <c r="C59" s="70" t="s">
        <v>221</v>
      </c>
      <c r="D59" s="71" t="s">
        <v>90</v>
      </c>
      <c r="E59" s="146" t="s">
        <v>169</v>
      </c>
      <c r="F59" s="13">
        <v>1112.0</v>
      </c>
      <c r="G59" s="139" t="s">
        <v>170</v>
      </c>
      <c r="H59" s="139">
        <v>1129.0</v>
      </c>
      <c r="I59" s="74" t="str">
        <f>IFERROR(VLOOKUP(C56:C198,'R22 RELATÓRIO ACC'!B:F,5,FALSE),"NOT PUBLISHED")</f>
        <v>V33</v>
      </c>
      <c r="J59" s="74" t="str">
        <f>IFERROR(VLOOKUP(C56:C198,'R22 RELATÓRIO ACC'!B:P,15,FALSE),"NOT PUBLISHED")</f>
        <v>05/03/2026</v>
      </c>
      <c r="K59" s="141" t="str">
        <f>IFERROR(VLOOKUP(B55:B246,'RELATÓRIO ACC'!B:F,5,FALSE),"NOT PUBLISHED")</f>
        <v>V1</v>
      </c>
      <c r="L59" s="142" t="str">
        <f>IFERROR(VLOOKUP(B55:B246,'RELATÓRIO ACC'!B:P,15,FALSE),"NOT PUBLISHED")</f>
        <v>19/05/2026</v>
      </c>
      <c r="M59" s="76" t="str">
        <f>IF(OR($D59="UTLS",$D59="GUAR",$D59="STIR",$D59="PUMP",$D59="SITE"),
   VLOOKUP($B59,'LOD 300 - SITE'!B:M,12,FALSE),
   VLOOKUP($B59,'LOD 300 - ADMN'!B:M,12,FALSE)
)</f>
        <v>V21</v>
      </c>
      <c r="N59" s="80">
        <f>IF(OR($D59="UTLS",$D59="GUAR",$D59="STIR",$D59="PUMP",$D59="SITE"),
   VLOOKUP($B59,'LOD 300 - SITE'!B:N,13,FALSE),
   VLOOKUP($B59,'LOD 300 - ADMN'!B:N,13,FALSE)
)</f>
        <v>45889</v>
      </c>
      <c r="O59" s="143" t="str">
        <f>IF(OR($D59="UTLS",$D59="GUAR",$D59="STIR",$D59="PUMP",$D59="SITE"),
   VLOOKUP($B59,'LOD 300 - SITE'!B:O,14,FALSE),
   VLOOKUP($B59,'LOD 300 - ADMN'!B:O,14,FALSE)
)</f>
        <v>R22</v>
      </c>
      <c r="P59" s="79" t="str">
        <f>IF(OR($D59="C345",$D59="C12A",$D59="DATA"),
   VLOOKUP($B59,'LOD 300 - COLO3'!B:M,12,FALSE),"N/A")</f>
        <v>N/A</v>
      </c>
      <c r="Q59" s="76" t="str">
        <f>IF(OR($D59="C345",$D59="C12A",$D59="DATA"),
   VLOOKUP($B59,'LOD 300 - COLO3'!B:N,13,FALSE),"N/A")</f>
        <v>N/A</v>
      </c>
      <c r="R59" s="76" t="str">
        <f>IF(OR($D59="C345",$D59="C12A",$D59="DATA"),
   VLOOKUP($B59,'LOD 300 - COLO3'!B:O,14,FALSE),"N/A")</f>
        <v>N/A</v>
      </c>
      <c r="S59" s="79" t="str">
        <f>IF(OR($D59="C345",$D59="C12A",$D59="DATA"),
   VLOOKUP($B59,'LOD 300 - COLO4'!B:M,12,FALSE),"N/A")</f>
        <v>N/A</v>
      </c>
      <c r="T59" s="76" t="str">
        <f>IF(OR($D59="C345",$D59="C12A",$D59="DATA"),
   VLOOKUP($B59,'LOD 300 - COLO4'!B:T,13,FALSE),"N/A")</f>
        <v>N/A</v>
      </c>
      <c r="U59" s="76" t="str">
        <f>IF(OR($D59="C345",$D59="C12A",$D59="DATA"),
   VLOOKUP($B59,'LOD 300 - COLO4'!B:U,17,FALSE),"N/A")</f>
        <v>N/A</v>
      </c>
      <c r="V59" s="126" t="s">
        <v>129</v>
      </c>
      <c r="W59" s="144" t="str">
        <f>IFERROR(VLOOKUP($B59,'LOD 300 - ADMN'!$B:S,18,FALSE),"N/A")</f>
        <v>N/A</v>
      </c>
      <c r="X59" s="122" t="str">
        <f>IFERROR(VLOOKUP($B59,'LOD 300 - ADMN'!$B:V,21,FALSE),"N/A")</f>
        <v>N/A</v>
      </c>
      <c r="Y59" s="122" t="str">
        <f>IFERROR(VLOOKUP($B59,'LOD 300 - ADMN'!$B:Y,24,FALSE),"N/A")</f>
        <v>N/A</v>
      </c>
      <c r="Z59" s="122" t="str">
        <f>IFERROR(VLOOKUP($B59,'LOD 300 - ADMN'!$B:AB,27,FALSE),"N/A")</f>
        <v>N/A</v>
      </c>
      <c r="AA59" s="122" t="str">
        <f>IFERROR(VLOOKUP($B59,'LOD 300 - ADMN'!$B:AE,30,FALSE),"N/A")</f>
        <v>N/A</v>
      </c>
      <c r="AB59" s="145" t="str">
        <f>IFERROR(VLOOKUP($B59,'LOD 300 - ADMN'!$B:AH,33,FALSE),"N/A")</f>
        <v>N/A</v>
      </c>
      <c r="AC59" s="145" t="str">
        <f>IFERROR(VLOOKUP($B59,'LOD 300 - ADMN'!$B:AK,36,FALSE),"N/A")</f>
        <v>N/A</v>
      </c>
      <c r="AD59" s="122" t="str">
        <f>IFERROR(VLOOKUP($B59,'LOD 300 - ADMN'!$B:AN,39,FALSE),"N/A")</f>
        <v>N/A</v>
      </c>
      <c r="AE59" s="122" t="str">
        <f>IFERROR(VLOOKUP($B59,'LOD 300 - ADMN'!$B:AQ,42,FALSE),"N/A")</f>
        <v>N/A</v>
      </c>
      <c r="AF59" s="122" t="str">
        <f>IFERROR(VLOOKUP($B59,'LOD 300 - ADMN'!$B:AT,45,FALSE),"N/A")</f>
        <v>N/A</v>
      </c>
      <c r="AG59" s="122" t="str">
        <f>IFERROR(VLOOKUP($B59,'LOD 300 - ADMN'!$B:AW,48,FALSE),"N/A")</f>
        <v>N/A</v>
      </c>
      <c r="AH59" s="122" t="str">
        <f>IFERROR(VLOOKUP($B59,'LOD 300 - ADMN'!$B:AZ,51,FALSE),"N/A")</f>
        <v>N/A</v>
      </c>
      <c r="AI59" s="122" t="str">
        <f>IFERROR(VLOOKUP($B59,'LOD 300 - ADMN'!$B:BC,54,FALSE),"N/A")</f>
        <v>N/A</v>
      </c>
      <c r="AJ59" s="87" t="str">
        <f>IFERROR(VLOOKUP($B59,'LOD 300 - ADMN'!$B:BF,57,FALSE),"N/A")</f>
        <v>N/A</v>
      </c>
      <c r="AK59" s="87" t="str">
        <f>IFERROR(VLOOKUP($B59,'LOD 300 - ADMN'!$B:EP,60,FALSE),"N/A")</f>
        <v>N/A</v>
      </c>
      <c r="AL59" s="87" t="str">
        <f>IFERROR(VLOOKUP($B59,'LOD 300 - ADMN'!$B:EQ,63,FALSE),"N/A")</f>
        <v>N/A</v>
      </c>
      <c r="AM59" s="87" t="str">
        <f>IFERROR(VLOOKUP($B59,'LOD 300 - ADMN'!$B:BO,66,FALSE),"N/A")</f>
        <v>N/A</v>
      </c>
      <c r="AN59" s="87" t="str">
        <f>IFERROR(VLOOKUP($B59,'LOD 300 - ADMN'!$B:BR,69,FALSE),"N/A")</f>
        <v>N/A</v>
      </c>
      <c r="AO59" s="87" t="str">
        <f>IFERROR(VLOOKUP($B59,'LOD 300 - ADMN'!$B:BU,72,FALSE),"N/A")</f>
        <v>N/A</v>
      </c>
      <c r="AP59" s="87" t="str">
        <f>IFERROR(VLOOKUP($B59,'LOD 300 - ADMN'!$B:BX,75,FALSE),"N/A")</f>
        <v>N/A</v>
      </c>
      <c r="AQ59" s="87" t="str">
        <f>IFERROR(VLOOKUP($B59,'LOD 300 - ADMN'!$B:CA,78,FALSE),"N/A")</f>
        <v>N/A</v>
      </c>
      <c r="AR59" s="87" t="str">
        <f>IFERROR(VLOOKUP($B59,'LOD 300 - ADMN'!$B:CD,81,FALSE),"N/A")</f>
        <v>N/A</v>
      </c>
      <c r="AS59" s="87" t="str">
        <f>IFERROR(VLOOKUP($B59,'LOD 300 - ADMN'!$B:CG,84,FALSE),"N/A")</f>
        <v>N/A</v>
      </c>
      <c r="AT59" s="87" t="str">
        <f>IFERROR(VLOOKUP($B59,'LOD 300 - ADMN'!$B:CJ,87,FALSE),"N/A")</f>
        <v>N/A</v>
      </c>
      <c r="AU59" s="88" t="str">
        <f>IFERROR(VLOOKUP($B59,'LOD 300 - ADMN'!$B:CM,90,FALSE),"N/A")</f>
        <v>N/A</v>
      </c>
      <c r="AV59" s="88" t="str">
        <f>IFERROR(VLOOKUP($B59,'LOD 300 - ADMN'!$B:CP,93,FALSE),"N/A")</f>
        <v>N/A</v>
      </c>
      <c r="AW59" s="88" t="str">
        <f>IFERROR(VLOOKUP($B59,'LOD 300 - ADMN'!$B:CS,96,FALSE),"N/A")</f>
        <v>N/A</v>
      </c>
      <c r="AX59" s="88" t="str">
        <f>IFERROR(VLOOKUP($B59,'LOD 300 - ADMN'!$B:CV,99,FALSE),"N/A")</f>
        <v>N/A</v>
      </c>
      <c r="AY59" s="88" t="str">
        <f>IFERROR(VLOOKUP($B59,'LOD 300 - ADMN'!$B:CY,102,FALSE),"N/A")</f>
        <v>N/A</v>
      </c>
      <c r="AZ59" s="88" t="str">
        <f>IFERROR(VLOOKUP($B59,'LOD 300 - ADMN'!$B:DB,105,FALSE),"N/A")</f>
        <v>N/A</v>
      </c>
      <c r="BA59" s="87" t="str">
        <f>IFERROR(VLOOKUP($B59,'LOD 300 - ADMN'!$B:DE,108,FALSE),"N/A")</f>
        <v>N/A</v>
      </c>
      <c r="BB59" s="87" t="str">
        <f>IFERROR(VLOOKUP($B59,'LOD 300 - ADMN'!$B:DH,111,FALSE),"N/A")</f>
        <v>N/A</v>
      </c>
      <c r="BC59" s="87" t="str">
        <f>IFERROR(VLOOKUP($B59,'LOD 300 - ADMN'!$B:DK,114,FALSE),"N/A")</f>
        <v>N/A</v>
      </c>
      <c r="BD59" s="87" t="str">
        <f>IFERROR(VLOOKUP($B59,'LOD 300 - ADMN'!$B:DN,117,FALSE),"N/A")</f>
        <v>N/A</v>
      </c>
      <c r="BE59" s="87" t="str">
        <f>IFERROR(VLOOKUP($B59,'LOD 300 - ADMN'!$B:DQ,120,FALSE),"N/A")</f>
        <v>N/A</v>
      </c>
      <c r="BF59" s="87" t="str">
        <f>IFERROR(VLOOKUP($B59,'LOD 300 - ADMN'!$B:DT,123,FALSE),"N/A")</f>
        <v>N/A</v>
      </c>
      <c r="BG59" s="87" t="str">
        <f>IFERROR(VLOOKUP($B59,'LOD 300 - ADMN'!$B:DW,126,FALSE),"N/A")</f>
        <v>N/A</v>
      </c>
      <c r="BH59" s="87" t="str">
        <f>IFERROR(VLOOKUP($B59,'LOD 300 - ADMN'!$B:DZ,129,FALSE),"N/A")</f>
        <v>N/A</v>
      </c>
      <c r="BI59" s="87" t="str">
        <f>IFERROR(VLOOKUP($B59,'LOD 300 - ADMN'!$B:EC,132,FALSE),"N/A")</f>
        <v>N/A</v>
      </c>
      <c r="BJ59" s="90" t="str">
        <f>IFERROR(__xludf.DUMMYFUNCTION("IFERROR(
  MAX(FILTER(X59:BI59, ISNUMBER(X59:BI59))),
  BI59
)"),"N/A")</f>
        <v>N/A</v>
      </c>
      <c r="BK59" s="91" t="str">
        <f>IFERROR(VLOOKUP($B59,'LOD 300 - COLO1'!$B:S,18,FALSE),"N/A")</f>
        <v>N/A</v>
      </c>
      <c r="BL59" s="92" t="str">
        <f>IFERROR(VLOOKUP($B59,'LOD 300 - COLO1'!$B:V,21,FALSE),"N/A")</f>
        <v>N/A</v>
      </c>
      <c r="BM59" s="92" t="str">
        <f>IFERROR(VLOOKUP($B59,'LOD 300 - COLO1'!$B:Y,24,FALSE),"N/A")</f>
        <v>N/A</v>
      </c>
      <c r="BN59" s="92" t="str">
        <f>IFERROR(VLOOKUP($B59,'LOD 300 - COLO1'!$B:AB,27,FALSE),"N/A")</f>
        <v>N/A</v>
      </c>
      <c r="BO59" s="92" t="str">
        <f>IFERROR(VLOOKUP($B59,'LOD 300 - COLO1'!$B:AE,30,FALSE),"N/A")</f>
        <v>N/A</v>
      </c>
      <c r="BP59" s="92" t="str">
        <f>IFERROR(VLOOKUP($B59,'LOD 300 - COLO1'!$B:AH,33,FALSE),"N/A")</f>
        <v>N/A</v>
      </c>
      <c r="BQ59" s="92" t="str">
        <f>IFERROR(VLOOKUP($B59,'LOD 300 - COLO1'!$B:AK,36,FALSE),"N/A")</f>
        <v>N/A</v>
      </c>
      <c r="BR59" s="92" t="str">
        <f>IFERROR(VLOOKUP($B59,'LOD 300 - COLO1'!$B:AN,39,FALSE),"N/A")</f>
        <v>N/A</v>
      </c>
      <c r="BS59" s="92" t="str">
        <f>IFERROR(VLOOKUP($B59,'LOD 300 - COLO1'!$B:AQ,42,FALSE),"N/A")</f>
        <v>N/A</v>
      </c>
      <c r="BT59" s="92" t="str">
        <f>IFERROR(VLOOKUP($B59,'LOD 300 - COLO1'!$B:AT,45,FALSE),"N/A")</f>
        <v>N/A</v>
      </c>
      <c r="BU59" s="92" t="str">
        <f>IFERROR(VLOOKUP($B59,'LOD 300 - COLO1'!$B:AW,48,FALSE),"N/A")</f>
        <v>N/A</v>
      </c>
      <c r="BV59" s="92" t="str">
        <f>IFERROR(VLOOKUP($B59,'LOD 300 - COLO1'!$B:AZ,51,FALSE),"N/A")</f>
        <v>N/A</v>
      </c>
      <c r="BW59" s="92" t="str">
        <f>IFERROR(VLOOKUP($B59,'LOD 300 - COLO1'!$B:BC,54,FALSE),"N/A")</f>
        <v>N/A</v>
      </c>
      <c r="BX59" s="94" t="str">
        <f>IFERROR(VLOOKUP($B59,'LOD 300 - COLO1'!$B:BF,57,FALSE),"N/A")</f>
        <v>N/A</v>
      </c>
      <c r="BY59" s="94" t="str">
        <f>IFERROR(VLOOKUP($B59,'LOD 300 - COLO1'!$B:BI,60,FALSE),"N/A")</f>
        <v>N/A</v>
      </c>
      <c r="BZ59" s="95" t="str">
        <f>IFERROR(VLOOKUP($B59,'LOD 300 - COLO1'!$B:BL,63,FALSE),"N/A")</f>
        <v>N/A</v>
      </c>
      <c r="CA59" s="86" t="str">
        <f>IFERROR(VLOOKUP($B59,'LOD 300 - COLO1'!$B:BO,66,FALSE),"N/A")</f>
        <v>N/A</v>
      </c>
      <c r="CB59" s="86" t="str">
        <f>IFERROR(VLOOKUP($B59,'LOD 300 - COLO1'!$B:BR,69,FALSE),"N/A")</f>
        <v>N/A</v>
      </c>
      <c r="CC59" s="86" t="str">
        <f>IFERROR(VLOOKUP($B59,'LOD 300 - COLO1'!$B:BU,72,FALSE),"N/A")</f>
        <v>N/A</v>
      </c>
      <c r="CD59" s="86" t="str">
        <f>IFERROR(VLOOKUP($B59,'LOD 300 - COLO1'!$B:BX,75,FALSE),"N/A")</f>
        <v>N/A</v>
      </c>
      <c r="CE59" s="86" t="str">
        <f>IFERROR(VLOOKUP($B59,'LOD 300 - COLO1'!$B:CA,78,FALSE),"N/A")</f>
        <v>N/A</v>
      </c>
      <c r="CF59" s="87" t="str">
        <f>IFERROR(VLOOKUP($B59,'LOD 300 - COLO1'!$B:CD,81,FALSE),"N/A")</f>
        <v>N/A</v>
      </c>
      <c r="CG59" s="86" t="str">
        <f>IFERROR(VLOOKUP($B59,'LOD 300 - COLO1'!$B:CG,84,FALSE),"N/A")</f>
        <v>N/A</v>
      </c>
      <c r="CH59" s="87" t="str">
        <f>IFERROR(VLOOKUP($B59,'LOD 300 - COLO1'!$B:CJ,87,FALSE),"N/A")</f>
        <v>N/A</v>
      </c>
      <c r="CI59" s="88" t="str">
        <f>IFERROR(VLOOKUP($B59,'LOD 300 - COLO1'!$B:CM,90,FALSE),"N/A")</f>
        <v>N/A</v>
      </c>
      <c r="CJ59" s="88" t="str">
        <f>IFERROR(VLOOKUP($B59,'LOD 300 - COLO1'!$B:CP,93,FALSE),"N/A")</f>
        <v>N/A</v>
      </c>
      <c r="CK59" s="88" t="str">
        <f>IFERROR(VLOOKUP($B59,'LOD 300 - COLO1'!$B:CS,96,FALSE),"N/A")</f>
        <v>N/A</v>
      </c>
      <c r="CL59" s="88" t="str">
        <f>IFERROR(VLOOKUP($B59,'LOD 300 - COLO1'!$B:CV,99,FALSE),"N/A")</f>
        <v>N/A</v>
      </c>
      <c r="CM59" s="88" t="str">
        <f>IFERROR(VLOOKUP($B59,'LOD 300 - COLO1'!$B:CY,102,FALSE),"N/A")</f>
        <v>N/A</v>
      </c>
      <c r="CN59" s="89" t="str">
        <f>IFERROR(VLOOKUP($B59,'LOD 300 - COLO1'!$B:DB,105,FALSE),"N/A")</f>
        <v>N/A</v>
      </c>
      <c r="CO59" s="87" t="str">
        <f>IFERROR(VLOOKUP($B59,'LOD 300 - COLO1'!$B:EE,108,FALSE),"N/A")</f>
        <v>N/A</v>
      </c>
      <c r="CP59" s="87" t="str">
        <f>IFERROR(VLOOKUP($B59,'LOD 300 - COLO1'!$B:EH,111,FALSE),"N/A")</f>
        <v>N/A</v>
      </c>
      <c r="CQ59" s="87" t="str">
        <f>IFERROR(VLOOKUP($B59,'LOD 300 - COLO1'!$B:EK,114,FALSE),"N/A")</f>
        <v>N/A</v>
      </c>
      <c r="CR59" s="87" t="str">
        <f>IFERROR(VLOOKUP($B59,'LOD 300 - COLO1'!$B:EN,117,FALSE),"N/A")</f>
        <v>N/A</v>
      </c>
      <c r="CS59" s="87" t="str">
        <f>IFERROR(VLOOKUP($B59,'LOD 300 - COLO1'!$B:EQ,120,FALSE),"N/A")</f>
        <v>N/A</v>
      </c>
      <c r="CT59" s="87" t="str">
        <f>IFERROR(VLOOKUP($B59,'LOD 300 - COLO1'!$B:ET,123,FALSE),"N/A")</f>
        <v>N/A</v>
      </c>
      <c r="CU59" s="87" t="str">
        <f>IFERROR(VLOOKUP($B59,'LOD 300 - COLO1'!$B:EW,126,FALSE),"N/A")</f>
        <v>N/A</v>
      </c>
      <c r="CV59" s="87" t="str">
        <f>IFERROR(VLOOKUP($B59,'LOD 300 - COLO1'!$B:EZ,129,FALSE),"N/A")</f>
        <v>N/A</v>
      </c>
      <c r="CW59" s="87" t="str">
        <f>IFERROR(VLOOKUP($B59,'LOD 300 - COLO1'!$B:FC,132,FALSE),"N/A")</f>
        <v>N/A</v>
      </c>
      <c r="CX59" s="96" t="str">
        <f>IFERROR(__xludf.DUMMYFUNCTION("IFERROR(
  MAX(FILTER(BK59:CW59, ISNUMBER(BK59:CW59))),
  CW59
)"),"N/A")</f>
        <v>N/A</v>
      </c>
      <c r="CY59" s="104" t="str">
        <f>IFERROR(VLOOKUP($B59,'LOD 300 - COLO2'!$B:S,18,FALSE),"N/A")</f>
        <v>N/A</v>
      </c>
      <c r="CZ59" s="117" t="str">
        <f>IFERROR(VLOOKUP($B59,'LOD 300 - COLO2'!$B:V,21,FALSE),"N/A")</f>
        <v>N/A</v>
      </c>
      <c r="DA59" s="117" t="str">
        <f>IFERROR(VLOOKUP($B59,'LOD 300 - COLO2'!$B:Y,24,FALSE),"N/A")</f>
        <v>N/A</v>
      </c>
      <c r="DB59" s="117" t="str">
        <f>IFERROR(VLOOKUP($B59,'LOD 300 - COLO2'!$B:AB,27,FALSE),"N/A")</f>
        <v>N/A</v>
      </c>
      <c r="DC59" s="92" t="str">
        <f>IFERROR(VLOOKUP($B59,'LOD 300 - COLO2'!$B:AE,30,FALSE),"N/A")</f>
        <v>N/A</v>
      </c>
      <c r="DD59" s="120" t="str">
        <f>IFERROR(VLOOKUP($B59,'LOD 300 - COLO2'!$B:AH,33,FALSE),"N/A")</f>
        <v>N/A</v>
      </c>
      <c r="DE59" s="117" t="str">
        <f>IFERROR(VLOOKUP($B59,'LOD 300 - COLO2'!$B:AK,36,FALSE),"N/A")</f>
        <v>N/A</v>
      </c>
      <c r="DF59" s="117" t="str">
        <f>IFERROR(VLOOKUP($B59,'LOD 300 - COLO2'!$B:AN,39,FALSE),"N/A")</f>
        <v>N/A</v>
      </c>
      <c r="DG59" s="119" t="str">
        <f>IFERROR(VLOOKUP($B59,'LOD 300 - COLO2'!$B:AQ,42,FALSE),"N/A")</f>
        <v>N/A</v>
      </c>
      <c r="DH59" s="87" t="str">
        <f>IFERROR(VLOOKUP($B59,'LOD 300 - COLO2'!$B:AT,45,FALSE),"N/A")</f>
        <v>N/A</v>
      </c>
      <c r="DI59" s="94" t="str">
        <f>IFERROR(VLOOKUP($B59,'LOD 300 - COLO2'!$B:AW,48,FALSE),"N/A")</f>
        <v>N/A</v>
      </c>
      <c r="DJ59" s="95" t="str">
        <f>IFERROR(VLOOKUP($B59,'LOD 300 - COLO2'!$B:AZ,51,FALSE),"N/A")</f>
        <v>N/A</v>
      </c>
      <c r="DK59" s="86" t="str">
        <f>IFERROR(VLOOKUP($B59,'LOD 300 - COLO2'!$B:BC,54,FALSE),"N/A")</f>
        <v>N/A</v>
      </c>
      <c r="DL59" s="86" t="str">
        <f>IFERROR(VLOOKUP($B59,'LOD 300 - COLO2'!$B:BF,57,FALSE),"N/A")</f>
        <v>N/A</v>
      </c>
      <c r="DM59" s="86" t="str">
        <f>IFERROR(VLOOKUP($B59,'LOD 300 - COLO2'!$B:BI,60,FALSE),"N/A")</f>
        <v>N/A</v>
      </c>
      <c r="DN59" s="86" t="str">
        <f>IFERROR(VLOOKUP($B59,'LOD 300 - COLO2'!$B:BL,63,FALSE),"N/A")</f>
        <v>N/A</v>
      </c>
      <c r="DO59" s="86" t="str">
        <f>IFERROR(VLOOKUP($B59,'LOD 300 - COLO2'!$B:BO,66,FALSE),"N/A")</f>
        <v>N/A</v>
      </c>
      <c r="DP59" s="87" t="str">
        <f>IFERROR(VLOOKUP($B59,'LOD 300 - COLO2'!$B:BR,69,FALSE),"N/A")</f>
        <v>N/A</v>
      </c>
      <c r="DQ59" s="87" t="str">
        <f>IFERROR(VLOOKUP($B59,'LOD 300 - COLO2'!$B:BU,72,FALSE),"N/A")</f>
        <v>N/A</v>
      </c>
      <c r="DR59" s="87" t="str">
        <f>IFERROR(VLOOKUP($B59,'LOD 300 - COLO2'!$B:BX,75,FALSE),"N/A")</f>
        <v>N/A</v>
      </c>
      <c r="DS59" s="98" t="str">
        <f>IFERROR(VLOOKUP($B59,'LOD 300 - COLO2'!$B:CA,78,FALSE),"N/A")</f>
        <v>N/A</v>
      </c>
      <c r="DT59" s="98" t="str">
        <f>IFERROR(VLOOKUP($B59,'LOD 300 - COLO2'!$B:CD,81,FALSE),"N/A")</f>
        <v>N/A</v>
      </c>
      <c r="DU59" s="98" t="str">
        <f>IFERROR(VLOOKUP($B59,'LOD 300 - COLO2'!$B:CG,84,FALSE),"N/A")</f>
        <v>N/A</v>
      </c>
      <c r="DV59" s="98" t="str">
        <f>IFERROR(VLOOKUP($B59,'LOD 300 - COLO2'!$B:CJ,87,FALSE),"N/A")</f>
        <v>N/A</v>
      </c>
      <c r="DW59" s="98" t="str">
        <f>IFERROR(VLOOKUP($B59,'LOD 300 - COLO2'!$B:CM,90,FALSE),"N/A")</f>
        <v>N/A</v>
      </c>
      <c r="DX59" s="98" t="str">
        <f>IFERROR(VLOOKUP($B59,'LOD 300 - COLO2'!$B:CP,93,FALSE),"N/A")</f>
        <v>N/A</v>
      </c>
      <c r="DY59" s="87" t="str">
        <f>IFERROR(VLOOKUP($B59,'LOD 300 - COLO2'!$B:CS,96,FALSE),"N/A")</f>
        <v>N/A</v>
      </c>
      <c r="DZ59" s="87" t="str">
        <f>IFERROR(VLOOKUP($B59,'LOD 300 - COLO2'!$B:CV,99,FALSE),"N/A")</f>
        <v>N/A</v>
      </c>
      <c r="EA59" s="87" t="str">
        <f>IFERROR(VLOOKUP($B59,'LOD 300 - COLO2'!$B:DB,105,FALSE),"N/A")</f>
        <v>N/A</v>
      </c>
      <c r="EB59" s="87" t="str">
        <f>IFERROR(VLOOKUP($B59,'LOD 300 - COLO2'!$B:DB,105,FALSE),"N/A")</f>
        <v>N/A</v>
      </c>
      <c r="EC59" s="87" t="str">
        <f>IFERROR(VLOOKUP($B59,'LOD 300 - COLO2'!$B:DE,108,FALSE),"N/A")</f>
        <v>N/A</v>
      </c>
      <c r="ED59" s="87" t="str">
        <f>IFERROR(VLOOKUP($B59,'LOD 300 - COLO2'!$B:DH,111,FALSE),"N/A")</f>
        <v>N/A</v>
      </c>
      <c r="EE59" s="87" t="str">
        <f>IFERROR(VLOOKUP($B59,'LOD 300 - COLO2'!$B:DK,114,FALSE),"N/A")</f>
        <v>N/A</v>
      </c>
      <c r="EF59" s="87" t="str">
        <f>IFERROR(VLOOKUP($B59,'LOD 300 - COLO2'!$B:DN,117,FALSE),"N/A")</f>
        <v>N/A</v>
      </c>
      <c r="EG59" s="87" t="str">
        <f>IFERROR(VLOOKUP($B59,'LOD 300 - COLO2'!$B:DQ,120,FALSE),"N/A")</f>
        <v>N/A</v>
      </c>
      <c r="EH59" s="99" t="str">
        <f>IFERROR(__xludf.DUMMYFUNCTION("IFERROR(
  MAX(FILTER(CZ59:EG59, ISNUMBER(CZ59:EG59))),
  EG59
)"),"N/A")</f>
        <v>N/A</v>
      </c>
      <c r="EI59" s="100" t="str">
        <f>IFERROR(VLOOKUP($B59,'LOD 300 - COLO3'!$B:R,17,FALSE),"N/A")</f>
        <v>N/A</v>
      </c>
      <c r="EJ59" s="127" t="str">
        <f>IFERROR(VLOOKUP($B59,'LOD 300 - COLO3'!$B:U,20,FALSE),"N/A")</f>
        <v>N/A</v>
      </c>
      <c r="EK59" s="127" t="str">
        <f>IFERROR(VLOOKUP($B59,'LOD 300 - COLO3'!$B:X,23,FALSE),"N/A")</f>
        <v>N/A</v>
      </c>
      <c r="EL59" s="127" t="str">
        <f>IFERROR(VLOOKUP($B59,'LOD 300 - COLO3'!$B:AA,26,FALSE),"N/A")</f>
        <v>N/A</v>
      </c>
      <c r="EM59" s="127" t="str">
        <f>IFERROR(VLOOKUP($B59,'LOD 300 - COLO3'!$B:AD,29,FALSE),"N/A")</f>
        <v>N/A</v>
      </c>
      <c r="EN59" s="127" t="str">
        <f>IFERROR(VLOOKUP($B59,'LOD 300 - COLO3'!$B:AG,32,FALSE),"N/A")</f>
        <v>N/A</v>
      </c>
      <c r="EO59" s="127" t="str">
        <f>IFERROR(VLOOKUP($B59,'LOD 300 - COLO3'!$B:AJ,35,FALSE),"N/A")</f>
        <v>N/A</v>
      </c>
      <c r="EP59" s="100" t="str">
        <f>IFERROR(VLOOKUP($B59,'LOD 300 - COLO3'!$B:AM,38,FALSE),"N/A")</f>
        <v>N/A</v>
      </c>
      <c r="EQ59" s="100" t="str">
        <f>IFERROR(VLOOKUP($B59,'LOD 300 - COLO3'!$B:AP,41,FALSE),"N/A")</f>
        <v>N/A</v>
      </c>
      <c r="ER59" s="100" t="str">
        <f>IFERROR(VLOOKUP($B59,'LOD 300 - COLO3'!$B:AS,44,FALSE),"N/A")</f>
        <v>N/A</v>
      </c>
      <c r="ES59" s="100" t="str">
        <f>IFERROR(VLOOKUP($B59,'LOD 300 - COLO3'!$B:AV,47,FALSE),"N/A")</f>
        <v>N/A</v>
      </c>
      <c r="ET59" s="100" t="str">
        <f>IFERROR(VLOOKUP($B59,'LOD 300 - COLO3'!$B:AY,50,FALSE),"N/A")</f>
        <v>N/A</v>
      </c>
      <c r="EU59" s="100" t="str">
        <f>IFERROR(VLOOKUP($B59,'LOD 300 - COLO3'!$B:BB,53,FALSE),"N/A")</f>
        <v>N/A</v>
      </c>
      <c r="EV59" s="100" t="str">
        <f>IFERROR(VLOOKUP($B59,'LOD 300 - COLO3'!$B:BE,56,FALSE),"N/A")</f>
        <v>N/A</v>
      </c>
      <c r="EW59" s="100" t="str">
        <f>IFERROR(VLOOKUP($B59,'LOD 300 - COLO3'!$B:BL,59,FALSE),"N/A")</f>
        <v>N/A</v>
      </c>
      <c r="EX59" s="100" t="str">
        <f>IFERROR(VLOOKUP($B59,'LOD 300 - COLO3'!$B:BO,62,FALSE),"N/A")</f>
        <v>N/A</v>
      </c>
      <c r="EY59" s="103" t="str">
        <f>IFERROR(__xludf.DUMMYFUNCTION("IFERROR(
  MAX(FILTER(EI59:EX59, ISNUMBER(EI59:EX59))),
  EX59
)"),"N/A")</f>
        <v>N/A</v>
      </c>
      <c r="EZ59" s="104" t="str">
        <f>IFERROR(VLOOKUP($B59,'LOD 300 - COLO4'!$B:BT,17,FALSE),"N/A")</f>
        <v>N/A</v>
      </c>
      <c r="FA59" s="103" t="str">
        <f>IFERROR(__xludf.DUMMYFUNCTION("IFERROR(
  MAX(FILTER(EZ59, ISNUMBER(EZ59))),
  EZ59
)"),"N/A")</f>
        <v>N/A</v>
      </c>
      <c r="FB59" s="121">
        <f>IFERROR(VLOOKUP($B59,'LOD 300 - SITE'!$B:S,18,FALSE),"N/A")</f>
        <v>0.69</v>
      </c>
      <c r="FC59" s="122">
        <f>IFERROR(VLOOKUP($B59,'LOD 300 - SITE'!$B:V,21,FALSE),"N/A")</f>
        <v>1</v>
      </c>
      <c r="FD59" s="122">
        <f>IFERROR(VLOOKUP($B59,'LOD 300 - SITE'!$B:Y,24,FALSE),"N/A")</f>
        <v>1</v>
      </c>
      <c r="FE59" s="122">
        <f>IFERROR(VLOOKUP($B59,'LOD 300 - SITE'!$B:AB,27,FALSE),"N/A")</f>
        <v>1</v>
      </c>
      <c r="FF59" s="122">
        <f>IFERROR(VLOOKUP($B59,'LOD 300 - SITE'!$B:AE,30,FALSE),"N/A")</f>
        <v>1</v>
      </c>
      <c r="FG59" s="122">
        <f>IFERROR(VLOOKUP($B59,'LOD 300 - SITE'!$B:AH,33,FALSE),"N/A")</f>
        <v>1</v>
      </c>
      <c r="FH59" s="122">
        <f>IFERROR(VLOOKUP($B59,'LOD 300 - SITE'!$B:AK,36,FALSE),"N/A")</f>
        <v>1</v>
      </c>
      <c r="FI59" s="122">
        <f>IFERROR(VLOOKUP($B59,'LOD 300 - SITE'!$B:AN,39,FALSE),"N/A")</f>
        <v>1</v>
      </c>
      <c r="FJ59" s="122">
        <f>IFERROR(VLOOKUP($B59,'LOD 300 - SITE'!$B:AQ,42,FALSE),"N/A")</f>
        <v>1</v>
      </c>
      <c r="FK59" s="122">
        <f>IFERROR(VLOOKUP($B59,'LOD 300 - SITE'!$B:AT,45,FALSE),"N/A")</f>
        <v>1</v>
      </c>
      <c r="FL59" s="123">
        <f>IFERROR(VLOOKUP($B59,'LOD 300 - SITE'!$B:AW,48,FALSE),"N/A")</f>
        <v>1</v>
      </c>
      <c r="FM59" s="87">
        <f>IFERROR(VLOOKUP($B59,'LOD 300 - SITE'!$B:AZ,51,FALSE),"N/A")</f>
        <v>1</v>
      </c>
      <c r="FN59" s="94">
        <f>IFERROR(VLOOKUP($B59,'LOD 300 - SITE'!$B:BC,54,FALSE),"N/A")</f>
        <v>1</v>
      </c>
      <c r="FO59" s="95">
        <f>IFERROR(VLOOKUP($B59,'LOD 300 - SITE'!$B:BF,57,FALSE),"N/A")</f>
        <v>1</v>
      </c>
      <c r="FP59" s="86">
        <f>IFERROR(VLOOKUP($B59,'LOD 300 - SITE'!$B:BI,60,FALSE),"N/A")</f>
        <v>1</v>
      </c>
      <c r="FQ59" s="86">
        <f>IFERROR(VLOOKUP($B59,'LOD 300 - SITE'!$B:BL,63,FALSE),"N/A")</f>
        <v>1</v>
      </c>
      <c r="FR59" s="86">
        <f>IFERROR(VLOOKUP($B59,'LOD 300 - SITE'!$B:BO,66,FALSE),"N/A")</f>
        <v>1</v>
      </c>
      <c r="FS59" s="86">
        <f>IFERROR(VLOOKUP($B59,'LOD 300 - SITE'!$B:BR,69,FALSE),"N/A")</f>
        <v>1</v>
      </c>
      <c r="FT59" s="86">
        <f>IFERROR(VLOOKUP($B59,'LOD 300 - SITE'!$B:BU,72,FALSE),"N/A")</f>
        <v>1</v>
      </c>
      <c r="FU59" s="86">
        <f>IFERROR(VLOOKUP($B59,'LOD 300 - SITE'!$B:BX,75,FALSE),"N/A")</f>
        <v>1</v>
      </c>
      <c r="FV59" s="86">
        <f>IFERROR(VLOOKUP($B59,'LOD 300 - SITE'!$B:CA,78,FALSE),"N/A")</f>
        <v>1</v>
      </c>
      <c r="FW59" s="87">
        <f>IFERROR(VLOOKUP($B59,'LOD 300 - SITE'!$B:CD,81,FALSE),"N/A")</f>
        <v>1</v>
      </c>
      <c r="FX59" s="108">
        <f>IFERROR(VLOOKUP($B59,'LOD 300 - SITE'!$B:CG,84,FALSE),"N/A")</f>
        <v>1</v>
      </c>
      <c r="FY59" s="108">
        <f>IFERROR(VLOOKUP($B59,'LOD 300 - SITE'!$B:CJ,87,FALSE),"N/A")</f>
        <v>1</v>
      </c>
      <c r="FZ59" s="108">
        <f>IFERROR(VLOOKUP($B59,'LOD 300 - SITE'!$B:CM,90,FALSE),"N/A")</f>
        <v>1</v>
      </c>
      <c r="GA59" s="108">
        <f>IFERROR(VLOOKUP($B59,'LOD 300 - SITE'!$B:CP,93,FALSE),"N/A")</f>
        <v>1</v>
      </c>
      <c r="GB59" s="108">
        <f>IFERROR(VLOOKUP($B59,'LOD 300 - SITE'!$B:CS,96,FALSE),"N/A")</f>
        <v>1</v>
      </c>
      <c r="GC59" s="109">
        <f>IFERROR(VLOOKUP($B59,'LOD 300 - SITE'!$B:CV,99,FALSE),"N/A")</f>
        <v>1</v>
      </c>
      <c r="GD59" s="87">
        <f>IFERROR(VLOOKUP($B59,'LOD 300 - SITE'!$B:CY,102,FALSE),"N/A")</f>
        <v>1</v>
      </c>
      <c r="GE59" s="87">
        <f>IFERROR(VLOOKUP($B59,'LOD 300 - SITE'!$B:DB,105,FALSE),"N/A")</f>
        <v>1</v>
      </c>
      <c r="GF59" s="87">
        <f>IFERROR(VLOOKUP($B59,'LOD 300 - SITE'!$B:DE,108,FALSE),"N/A")</f>
        <v>1</v>
      </c>
      <c r="GG59" s="87">
        <f>IFERROR(VLOOKUP($B59,'LOD 300 - SITE'!$B:DH,111,FALSE),"N/A")</f>
        <v>1</v>
      </c>
      <c r="GH59" s="87">
        <f>IFERROR(VLOOKUP($B59,'LOD 300 - SITE'!$B:DK,114,FALSE),"N/A")</f>
        <v>1</v>
      </c>
      <c r="GI59" s="87">
        <f>IFERROR(VLOOKUP($B59,'LOD 300 - SITE'!$B:DN,117,FALSE),"N/A")</f>
        <v>1</v>
      </c>
      <c r="GJ59" s="87">
        <f>IFERROR(VLOOKUP($B59,'LOD 300 - SITE'!$B:DQ,120,FALSE),"N/A")</f>
        <v>1</v>
      </c>
      <c r="GK59" s="87">
        <f>IFERROR(VLOOKUP($B59,'LOD 300 - SITE'!$B:DT,123,FALSE),"N/A")</f>
        <v>1</v>
      </c>
      <c r="GL59" s="87">
        <f>IFERROR(VLOOKUP($B59,'LOD 300 - SITE'!$B:DW,126,FALSE),"N/A")</f>
        <v>1</v>
      </c>
      <c r="GM59" s="110">
        <f>IFERROR(__xludf.DUMMYFUNCTION("IFERROR(
  MAX(FILTER(FB59:GL59, ISNUMBER(FB59:GL59))),
  GL59
)"),1.0)</f>
        <v>1</v>
      </c>
      <c r="GN59" s="135"/>
      <c r="GO59" s="135"/>
      <c r="GP59" s="135"/>
    </row>
    <row r="60" ht="15.0" customHeight="1" outlineLevel="1">
      <c r="A60" s="60">
        <v>63.0</v>
      </c>
      <c r="B60" s="140" t="s">
        <v>222</v>
      </c>
      <c r="C60" s="70" t="s">
        <v>223</v>
      </c>
      <c r="D60" s="71" t="s">
        <v>85</v>
      </c>
      <c r="E60" s="146" t="s">
        <v>169</v>
      </c>
      <c r="F60" s="13">
        <v>1112.0</v>
      </c>
      <c r="G60" s="139" t="s">
        <v>170</v>
      </c>
      <c r="H60" s="139">
        <v>1129.0</v>
      </c>
      <c r="I60" s="74" t="str">
        <f>IFERROR(VLOOKUP(C57:C199,'R22 RELATÓRIO ACC'!B:F,5,FALSE),"NOT PUBLISHED")</f>
        <v>V52</v>
      </c>
      <c r="J60" s="74" t="str">
        <f>IFERROR(VLOOKUP(C57:C199,'R22 RELATÓRIO ACC'!B:P,15,FALSE),"NOT PUBLISHED")</f>
        <v>30/04/2026</v>
      </c>
      <c r="K60" s="141" t="str">
        <f>IFERROR(VLOOKUP(B56:B247,'RELATÓRIO ACC'!B:F,5,FALSE),"NOT PUBLISHED")</f>
        <v>V4</v>
      </c>
      <c r="L60" s="142" t="str">
        <f>IFERROR(VLOOKUP(B56:B247,'RELATÓRIO ACC'!B:P,15,FALSE),"NOT PUBLISHED")</f>
        <v>06/07/2026</v>
      </c>
      <c r="M60" s="76" t="str">
        <f>IF(OR($D60="UTLS",$D60="GUAR",$D60="STIR",$D60="PUMP",$D60="SITE"),
   VLOOKUP($B60,'LOD 300 - SITE'!B:M,12,FALSE),
   VLOOKUP($B60,'LOD 300 - ADMN'!B:M,12,FALSE)
)</f>
        <v>V37</v>
      </c>
      <c r="N60" s="77" t="str">
        <f>IF(OR($D60="UTLS",$D60="GUAR",$D60="STIR",$D60="PUMP",$D60="SITE"),
   VLOOKUP($B60,'LOD 300 - SITE'!B:N,13,FALSE),
   VLOOKUP($B60,'LOD 300 - ADMN'!B:N,13,FALSE)
)</f>
        <v>31/10/2025</v>
      </c>
      <c r="O60" s="78" t="str">
        <f>IF(OR($D60="UTLS",$D60="GUAR",$D60="STIR",$D60="PUMP",$D60="SITE"),
   VLOOKUP($B60,'LOD 300 - SITE'!B:O,14,FALSE),
   VLOOKUP($B60,'LOD 300 - ADMN'!B:O,14,FALSE)
)</f>
        <v>R22</v>
      </c>
      <c r="P60" s="79" t="str">
        <f>IF(OR($D60="C345",$D60="C12A",$D60="DATA"),
   VLOOKUP($B60,'LOD 300 - COLO3'!B:M,12,FALSE),"N/A")</f>
        <v>V4</v>
      </c>
      <c r="Q60" s="77">
        <f>IF(OR($D60="C345",$D60="C12A",$D60="DATA"),
   VLOOKUP($B60,'LOD 300 - COLO3'!B:N,13,FALSE),"N/A")</f>
        <v>46209</v>
      </c>
      <c r="R60" s="76" t="str">
        <f>IF(OR($D60="C345",$D60="C12A",$D60="DATA"),
   VLOOKUP($B60,'LOD 300 - COLO3'!B:O,14,FALSE),"N/A")</f>
        <v>R24</v>
      </c>
      <c r="S60" s="79" t="str">
        <f>IF(OR($D60="C345",$D60="C12A",$D60="DATA"),
   VLOOKUP($B60,'LOD 300 - COLO4'!B:M,12,FALSE),"N/A")</f>
        <v>N/A</v>
      </c>
      <c r="T60" s="76" t="str">
        <f>IF(OR($D60="C345",$D60="C12A",$D60="DATA"),
   VLOOKUP($B60,'LOD 300 - COLO4'!B:T,13,FALSE),"N/A")</f>
        <v>N/A</v>
      </c>
      <c r="U60" s="81">
        <f>IF(OR($D60="C345",$D60="C12A",$D60="DATA"),
   VLOOKUP($B60,'LOD 300 - COLO4'!B:U,17,FALSE),"N/A")</f>
        <v>0</v>
      </c>
      <c r="V60" s="126" t="s">
        <v>129</v>
      </c>
      <c r="W60" s="144">
        <f>IFERROR(VLOOKUP($B60,'LOD 300 - ADMN'!$B:S,18,FALSE),"N/A")</f>
        <v>0.46</v>
      </c>
      <c r="X60" s="122">
        <f>IFERROR(VLOOKUP($B60,'LOD 300 - ADMN'!$B:V,21,FALSE),"N/A")</f>
        <v>0.94</v>
      </c>
      <c r="Y60" s="122">
        <f>IFERROR(VLOOKUP($B60,'LOD 300 - ADMN'!$B:Y,24,FALSE),"N/A")</f>
        <v>1</v>
      </c>
      <c r="Z60" s="122">
        <f>IFERROR(VLOOKUP($B60,'LOD 300 - ADMN'!$B:AB,27,FALSE),"N/A")</f>
        <v>1</v>
      </c>
      <c r="AA60" s="122">
        <f>IFERROR(VLOOKUP($B60,'LOD 300 - ADMN'!$B:AE,30,FALSE),"N/A")</f>
        <v>1</v>
      </c>
      <c r="AB60" s="145">
        <f>IFERROR(VLOOKUP($B60,'LOD 300 - ADMN'!$B:AH,33,FALSE),"N/A")</f>
        <v>1</v>
      </c>
      <c r="AC60" s="145">
        <f>IFERROR(VLOOKUP($B60,'LOD 300 - ADMN'!$B:AK,36,FALSE),"N/A")</f>
        <v>1</v>
      </c>
      <c r="AD60" s="122">
        <f>IFERROR(VLOOKUP($B60,'LOD 300 - ADMN'!$B:AN,39,FALSE),"N/A")</f>
        <v>1</v>
      </c>
      <c r="AE60" s="122">
        <f>IFERROR(VLOOKUP($B60,'LOD 300 - ADMN'!$B:AQ,42,FALSE),"N/A")</f>
        <v>1</v>
      </c>
      <c r="AF60" s="122">
        <f>IFERROR(VLOOKUP($B60,'LOD 300 - ADMN'!$B:AT,45,FALSE),"N/A")</f>
        <v>1</v>
      </c>
      <c r="AG60" s="122">
        <f>IFERROR(VLOOKUP($B60,'LOD 300 - ADMN'!$B:AW,48,FALSE),"N/A")</f>
        <v>1</v>
      </c>
      <c r="AH60" s="122">
        <f>IFERROR(VLOOKUP($B60,'LOD 300 - ADMN'!$B:AZ,51,FALSE),"N/A")</f>
        <v>1</v>
      </c>
      <c r="AI60" s="122">
        <f>IFERROR(VLOOKUP($B60,'LOD 300 - ADMN'!$B:BC,54,FALSE),"N/A")</f>
        <v>1</v>
      </c>
      <c r="AJ60" s="87">
        <f>IFERROR(VLOOKUP($B60,'LOD 300 - ADMN'!$B:BF,57,FALSE),"N/A")</f>
        <v>1</v>
      </c>
      <c r="AK60" s="87">
        <f>IFERROR(VLOOKUP($B60,'LOD 300 - ADMN'!$B:EP,60,FALSE),"N/A")</f>
        <v>1</v>
      </c>
      <c r="AL60" s="87">
        <f>IFERROR(VLOOKUP($B60,'LOD 300 - ADMN'!$B:EQ,63,FALSE),"N/A")</f>
        <v>1</v>
      </c>
      <c r="AM60" s="87">
        <f>IFERROR(VLOOKUP($B60,'LOD 300 - ADMN'!$B:BO,66,FALSE),"N/A")</f>
        <v>1</v>
      </c>
      <c r="AN60" s="87">
        <f>IFERROR(VLOOKUP($B60,'LOD 300 - ADMN'!$B:BR,69,FALSE),"N/A")</f>
        <v>1</v>
      </c>
      <c r="AO60" s="87">
        <f>IFERROR(VLOOKUP($B60,'LOD 300 - ADMN'!$B:BU,72,FALSE),"N/A")</f>
        <v>1</v>
      </c>
      <c r="AP60" s="87">
        <f>IFERROR(VLOOKUP($B60,'LOD 300 - ADMN'!$B:BX,75,FALSE),"N/A")</f>
        <v>1</v>
      </c>
      <c r="AQ60" s="87">
        <f>IFERROR(VLOOKUP($B60,'LOD 300 - ADMN'!$B:CA,78,FALSE),"N/A")</f>
        <v>1</v>
      </c>
      <c r="AR60" s="87">
        <f>IFERROR(VLOOKUP($B60,'LOD 300 - ADMN'!$B:CD,81,FALSE),"N/A")</f>
        <v>1</v>
      </c>
      <c r="AS60" s="87">
        <f>IFERROR(VLOOKUP($B60,'LOD 300 - ADMN'!$B:CG,84,FALSE),"N/A")</f>
        <v>1</v>
      </c>
      <c r="AT60" s="87">
        <f>IFERROR(VLOOKUP($B60,'LOD 300 - ADMN'!$B:CJ,87,FALSE),"N/A")</f>
        <v>1</v>
      </c>
      <c r="AU60" s="88">
        <f>IFERROR(VLOOKUP($B60,'LOD 300 - ADMN'!$B:CM,90,FALSE),"N/A")</f>
        <v>1</v>
      </c>
      <c r="AV60" s="88">
        <f>IFERROR(VLOOKUP($B60,'LOD 300 - ADMN'!$B:CP,93,FALSE),"N/A")</f>
        <v>1</v>
      </c>
      <c r="AW60" s="88">
        <f>IFERROR(VLOOKUP($B60,'LOD 300 - ADMN'!$B:CS,96,FALSE),"N/A")</f>
        <v>1</v>
      </c>
      <c r="AX60" s="88">
        <f>IFERROR(VLOOKUP($B60,'LOD 300 - ADMN'!$B:CV,99,FALSE),"N/A")</f>
        <v>1</v>
      </c>
      <c r="AY60" s="88">
        <f>IFERROR(VLOOKUP($B60,'LOD 300 - ADMN'!$B:CY,102,FALSE),"N/A")</f>
        <v>1</v>
      </c>
      <c r="AZ60" s="88">
        <f>IFERROR(VLOOKUP($B60,'LOD 300 - ADMN'!$B:DB,105,FALSE),"N/A")</f>
        <v>1</v>
      </c>
      <c r="BA60" s="87">
        <f>IFERROR(VLOOKUP($B60,'LOD 300 - ADMN'!$B:DE,108,FALSE),"N/A")</f>
        <v>1</v>
      </c>
      <c r="BB60" s="87">
        <f>IFERROR(VLOOKUP($B60,'LOD 300 - ADMN'!$B:DH,111,FALSE),"N/A")</f>
        <v>1</v>
      </c>
      <c r="BC60" s="87">
        <f>IFERROR(VLOOKUP($B60,'LOD 300 - ADMN'!$B:DK,114,FALSE),"N/A")</f>
        <v>1</v>
      </c>
      <c r="BD60" s="87">
        <f>IFERROR(VLOOKUP($B60,'LOD 300 - ADMN'!$B:DN,117,FALSE),"N/A")</f>
        <v>1</v>
      </c>
      <c r="BE60" s="87">
        <f>IFERROR(VLOOKUP($B60,'LOD 300 - ADMN'!$B:DQ,120,FALSE),"N/A")</f>
        <v>1</v>
      </c>
      <c r="BF60" s="87">
        <f>IFERROR(VLOOKUP($B60,'LOD 300 - ADMN'!$B:DT,123,FALSE),"N/A")</f>
        <v>1</v>
      </c>
      <c r="BG60" s="87">
        <f>IFERROR(VLOOKUP($B60,'LOD 300 - ADMN'!$B:DW,126,FALSE),"N/A")</f>
        <v>1</v>
      </c>
      <c r="BH60" s="87">
        <f>IFERROR(VLOOKUP($B60,'LOD 300 - ADMN'!$B:DZ,129,FALSE),"N/A")</f>
        <v>1</v>
      </c>
      <c r="BI60" s="87">
        <f>IFERROR(VLOOKUP($B60,'LOD 300 - ADMN'!$B:EC,132,FALSE),"N/A")</f>
        <v>1</v>
      </c>
      <c r="BJ60" s="90">
        <f>IFERROR(__xludf.DUMMYFUNCTION("IFERROR(
  MAX(FILTER(X60:BI60, ISNUMBER(X60:BI60))),
  BI60
)"),1.0)</f>
        <v>1</v>
      </c>
      <c r="BK60" s="91">
        <f>IFERROR(VLOOKUP($B60,'LOD 300 - COLO1'!$B:S,18,FALSE),"N/A")</f>
        <v>0.46</v>
      </c>
      <c r="BL60" s="92">
        <f>IFERROR(VLOOKUP($B60,'LOD 300 - COLO1'!$B:V,21,FALSE),"N/A")</f>
        <v>0.92</v>
      </c>
      <c r="BM60" s="92">
        <f>IFERROR(VLOOKUP($B60,'LOD 300 - COLO1'!$B:Y,24,FALSE),"N/A")</f>
        <v>1</v>
      </c>
      <c r="BN60" s="92">
        <f>IFERROR(VLOOKUP($B60,'LOD 300 - COLO1'!$B:AB,27,FALSE),"N/A")</f>
        <v>1</v>
      </c>
      <c r="BO60" s="92">
        <f>IFERROR(VLOOKUP($B60,'LOD 300 - COLO1'!$B:AE,30,FALSE),"N/A")</f>
        <v>1</v>
      </c>
      <c r="BP60" s="92">
        <f>IFERROR(VLOOKUP($B60,'LOD 300 - COLO1'!$B:AH,33,FALSE),"N/A")</f>
        <v>1</v>
      </c>
      <c r="BQ60" s="92">
        <f>IFERROR(VLOOKUP($B60,'LOD 300 - COLO1'!$B:AK,36,FALSE),"N/A")</f>
        <v>1</v>
      </c>
      <c r="BR60" s="92">
        <f>IFERROR(VLOOKUP($B60,'LOD 300 - COLO1'!$B:AN,39,FALSE),"N/A")</f>
        <v>1</v>
      </c>
      <c r="BS60" s="92">
        <f>IFERROR(VLOOKUP($B60,'LOD 300 - COLO1'!$B:AQ,42,FALSE),"N/A")</f>
        <v>1</v>
      </c>
      <c r="BT60" s="92">
        <f>IFERROR(VLOOKUP($B60,'LOD 300 - COLO1'!$B:AT,45,FALSE),"N/A")</f>
        <v>1</v>
      </c>
      <c r="BU60" s="92">
        <f>IFERROR(VLOOKUP($B60,'LOD 300 - COLO1'!$B:AW,48,FALSE),"N/A")</f>
        <v>1</v>
      </c>
      <c r="BV60" s="92">
        <f>IFERROR(VLOOKUP($B60,'LOD 300 - COLO1'!$B:AZ,51,FALSE),"N/A")</f>
        <v>1</v>
      </c>
      <c r="BW60" s="92">
        <f>IFERROR(VLOOKUP($B60,'LOD 300 - COLO1'!$B:BC,54,FALSE),"N/A")</f>
        <v>1</v>
      </c>
      <c r="BX60" s="94">
        <f>IFERROR(VLOOKUP($B60,'LOD 300 - COLO1'!$B:BF,57,FALSE),"N/A")</f>
        <v>1</v>
      </c>
      <c r="BY60" s="94">
        <f>IFERROR(VLOOKUP($B60,'LOD 300 - COLO1'!$B:BI,60,FALSE),"N/A")</f>
        <v>1</v>
      </c>
      <c r="BZ60" s="95">
        <f>IFERROR(VLOOKUP($B60,'LOD 300 - COLO1'!$B:BL,63,FALSE),"N/A")</f>
        <v>1</v>
      </c>
      <c r="CA60" s="86">
        <f>IFERROR(VLOOKUP($B60,'LOD 300 - COLO1'!$B:BO,66,FALSE),"N/A")</f>
        <v>1</v>
      </c>
      <c r="CB60" s="86">
        <f>IFERROR(VLOOKUP($B60,'LOD 300 - COLO1'!$B:BR,69,FALSE),"N/A")</f>
        <v>1</v>
      </c>
      <c r="CC60" s="86">
        <f>IFERROR(VLOOKUP($B60,'LOD 300 - COLO1'!$B:BU,72,FALSE),"N/A")</f>
        <v>1</v>
      </c>
      <c r="CD60" s="86">
        <f>IFERROR(VLOOKUP($B60,'LOD 300 - COLO1'!$B:BX,75,FALSE),"N/A")</f>
        <v>1</v>
      </c>
      <c r="CE60" s="86">
        <f>IFERROR(VLOOKUP($B60,'LOD 300 - COLO1'!$B:CA,78,FALSE),"N/A")</f>
        <v>1</v>
      </c>
      <c r="CF60" s="87">
        <f>IFERROR(VLOOKUP($B60,'LOD 300 - COLO1'!$B:CD,81,FALSE),"N/A")</f>
        <v>1</v>
      </c>
      <c r="CG60" s="86">
        <f>IFERROR(VLOOKUP($B60,'LOD 300 - COLO1'!$B:CG,84,FALSE),"N/A")</f>
        <v>1</v>
      </c>
      <c r="CH60" s="87">
        <f>IFERROR(VLOOKUP($B60,'LOD 300 - COLO1'!$B:CJ,87,FALSE),"N/A")</f>
        <v>1</v>
      </c>
      <c r="CI60" s="88">
        <f>IFERROR(VLOOKUP($B60,'LOD 300 - COLO1'!$B:CM,90,FALSE),"N/A")</f>
        <v>1</v>
      </c>
      <c r="CJ60" s="88">
        <f>IFERROR(VLOOKUP($B60,'LOD 300 - COLO1'!$B:CP,93,FALSE),"N/A")</f>
        <v>1</v>
      </c>
      <c r="CK60" s="88">
        <f>IFERROR(VLOOKUP($B60,'LOD 300 - COLO1'!$B:CS,96,FALSE),"N/A")</f>
        <v>1</v>
      </c>
      <c r="CL60" s="88">
        <f>IFERROR(VLOOKUP($B60,'LOD 300 - COLO1'!$B:CV,99,FALSE),"N/A")</f>
        <v>1</v>
      </c>
      <c r="CM60" s="88">
        <f>IFERROR(VLOOKUP($B60,'LOD 300 - COLO1'!$B:CY,102,FALSE),"N/A")</f>
        <v>1</v>
      </c>
      <c r="CN60" s="89">
        <f>IFERROR(VLOOKUP($B60,'LOD 300 - COLO1'!$B:DB,105,FALSE),"N/A")</f>
        <v>1</v>
      </c>
      <c r="CO60" s="87">
        <f>IFERROR(VLOOKUP($B60,'LOD 300 - COLO1'!$B:EE,108,FALSE),"N/A")</f>
        <v>1</v>
      </c>
      <c r="CP60" s="87">
        <f>IFERROR(VLOOKUP($B60,'LOD 300 - COLO1'!$B:EH,111,FALSE),"N/A")</f>
        <v>1</v>
      </c>
      <c r="CQ60" s="87">
        <f>IFERROR(VLOOKUP($B60,'LOD 300 - COLO1'!$B:EK,114,FALSE),"N/A")</f>
        <v>1</v>
      </c>
      <c r="CR60" s="87">
        <f>IFERROR(VLOOKUP($B60,'LOD 300 - COLO1'!$B:EN,117,FALSE),"N/A")</f>
        <v>1</v>
      </c>
      <c r="CS60" s="87">
        <f>IFERROR(VLOOKUP($B60,'LOD 300 - COLO1'!$B:EQ,120,FALSE),"N/A")</f>
        <v>1</v>
      </c>
      <c r="CT60" s="87">
        <f>IFERROR(VLOOKUP($B60,'LOD 300 - COLO1'!$B:ET,123,FALSE),"N/A")</f>
        <v>1</v>
      </c>
      <c r="CU60" s="87">
        <f>IFERROR(VLOOKUP($B60,'LOD 300 - COLO1'!$B:EW,126,FALSE),"N/A")</f>
        <v>1</v>
      </c>
      <c r="CV60" s="87">
        <f>IFERROR(VLOOKUP($B60,'LOD 300 - COLO1'!$B:EZ,129,FALSE),"N/A")</f>
        <v>1</v>
      </c>
      <c r="CW60" s="87">
        <f>IFERROR(VLOOKUP($B60,'LOD 300 - COLO1'!$B:FC,132,FALSE),"N/A")</f>
        <v>1</v>
      </c>
      <c r="CX60" s="96">
        <f>IFERROR(__xludf.DUMMYFUNCTION("IFERROR(
  MAX(FILTER(BK60:CW60, ISNUMBER(BK60:CW60))),
  CW60
)"),1.0)</f>
        <v>1</v>
      </c>
      <c r="CY60" s="104">
        <f>IFERROR(VLOOKUP($B60,'LOD 300 - COLO2'!$B:S,18,FALSE),"N/A")</f>
        <v>0.79</v>
      </c>
      <c r="CZ60" s="117" t="str">
        <f>IFERROR(VLOOKUP($B60,'LOD 300 - COLO2'!$B:V,21,FALSE),"N/A")</f>
        <v>OUTDATED MODEL</v>
      </c>
      <c r="DA60" s="117" t="str">
        <f>IFERROR(VLOOKUP($B60,'LOD 300 - COLO2'!$B:Y,24,FALSE),"N/A")</f>
        <v>OUTDATED MODEL</v>
      </c>
      <c r="DB60" s="117">
        <f>IFERROR(VLOOKUP($B60,'LOD 300 - COLO2'!$B:AB,27,FALSE),"N/A")</f>
        <v>0.95</v>
      </c>
      <c r="DC60" s="92" t="str">
        <f>IFERROR(VLOOKUP($B60,'LOD 300 - COLO2'!$B:AE,30,FALSE),"N/A")</f>
        <v>NEXT ROUND</v>
      </c>
      <c r="DD60" s="120">
        <f>IFERROR(VLOOKUP($B60,'LOD 300 - COLO2'!$B:AH,33,FALSE),"N/A")</f>
        <v>1</v>
      </c>
      <c r="DE60" s="117">
        <f>IFERROR(VLOOKUP($B60,'LOD 300 - COLO2'!$B:AK,36,FALSE),"N/A")</f>
        <v>1</v>
      </c>
      <c r="DF60" s="117">
        <f>IFERROR(VLOOKUP($B60,'LOD 300 - COLO2'!$B:AN,39,FALSE),"N/A")</f>
        <v>1</v>
      </c>
      <c r="DG60" s="119">
        <f>IFERROR(VLOOKUP($B60,'LOD 300 - COLO2'!$B:AQ,42,FALSE),"N/A")</f>
        <v>1</v>
      </c>
      <c r="DH60" s="87">
        <f>IFERROR(VLOOKUP($B60,'LOD 300 - COLO2'!$B:AT,45,FALSE),"N/A")</f>
        <v>1</v>
      </c>
      <c r="DI60" s="94">
        <f>IFERROR(VLOOKUP($B60,'LOD 300 - COLO2'!$B:AW,48,FALSE),"N/A")</f>
        <v>1</v>
      </c>
      <c r="DJ60" s="95">
        <f>IFERROR(VLOOKUP($B60,'LOD 300 - COLO2'!$B:AZ,51,FALSE),"N/A")</f>
        <v>1</v>
      </c>
      <c r="DK60" s="86">
        <f>IFERROR(VLOOKUP($B60,'LOD 300 - COLO2'!$B:BC,54,FALSE),"N/A")</f>
        <v>1</v>
      </c>
      <c r="DL60" s="86">
        <f>IFERROR(VLOOKUP($B60,'LOD 300 - COLO2'!$B:BF,57,FALSE),"N/A")</f>
        <v>1</v>
      </c>
      <c r="DM60" s="86">
        <f>IFERROR(VLOOKUP($B60,'LOD 300 - COLO2'!$B:BI,60,FALSE),"N/A")</f>
        <v>1</v>
      </c>
      <c r="DN60" s="86">
        <f>IFERROR(VLOOKUP($B60,'LOD 300 - COLO2'!$B:BL,63,FALSE),"N/A")</f>
        <v>1</v>
      </c>
      <c r="DO60" s="86">
        <f>IFERROR(VLOOKUP($B60,'LOD 300 - COLO2'!$B:BO,66,FALSE),"N/A")</f>
        <v>1</v>
      </c>
      <c r="DP60" s="87">
        <f>IFERROR(VLOOKUP($B60,'LOD 300 - COLO2'!$B:BR,69,FALSE),"N/A")</f>
        <v>1</v>
      </c>
      <c r="DQ60" s="87">
        <f>IFERROR(VLOOKUP($B60,'LOD 300 - COLO2'!$B:BU,72,FALSE),"N/A")</f>
        <v>1</v>
      </c>
      <c r="DR60" s="87">
        <f>IFERROR(VLOOKUP($B60,'LOD 300 - COLO2'!$B:BX,75,FALSE),"N/A")</f>
        <v>1</v>
      </c>
      <c r="DS60" s="98">
        <f>IFERROR(VLOOKUP($B60,'LOD 300 - COLO2'!$B:CA,78,FALSE),"N/A")</f>
        <v>1</v>
      </c>
      <c r="DT60" s="98">
        <f>IFERROR(VLOOKUP($B60,'LOD 300 - COLO2'!$B:CD,81,FALSE),"N/A")</f>
        <v>1</v>
      </c>
      <c r="DU60" s="98">
        <f>IFERROR(VLOOKUP($B60,'LOD 300 - COLO2'!$B:CG,84,FALSE),"N/A")</f>
        <v>1</v>
      </c>
      <c r="DV60" s="98">
        <f>IFERROR(VLOOKUP($B60,'LOD 300 - COLO2'!$B:CJ,87,FALSE),"N/A")</f>
        <v>1</v>
      </c>
      <c r="DW60" s="98">
        <f>IFERROR(VLOOKUP($B60,'LOD 300 - COLO2'!$B:CM,90,FALSE),"N/A")</f>
        <v>1</v>
      </c>
      <c r="DX60" s="98">
        <f>IFERROR(VLOOKUP($B60,'LOD 300 - COLO2'!$B:CP,93,FALSE),"N/A")</f>
        <v>1</v>
      </c>
      <c r="DY60" s="87">
        <f>IFERROR(VLOOKUP($B60,'LOD 300 - COLO2'!$B:CS,96,FALSE),"N/A")</f>
        <v>1</v>
      </c>
      <c r="DZ60" s="87">
        <f>IFERROR(VLOOKUP($B60,'LOD 300 - COLO2'!$B:CV,99,FALSE),"N/A")</f>
        <v>1</v>
      </c>
      <c r="EA60" s="87">
        <f>IFERROR(VLOOKUP($B60,'LOD 300 - COLO2'!$B:DB,105,FALSE),"N/A")</f>
        <v>1</v>
      </c>
      <c r="EB60" s="87">
        <f>IFERROR(VLOOKUP($B60,'LOD 300 - COLO2'!$B:DB,105,FALSE),"N/A")</f>
        <v>1</v>
      </c>
      <c r="EC60" s="87">
        <f>IFERROR(VLOOKUP($B60,'LOD 300 - COLO2'!$B:DE,108,FALSE),"N/A")</f>
        <v>1</v>
      </c>
      <c r="ED60" s="87">
        <f>IFERROR(VLOOKUP($B60,'LOD 300 - COLO2'!$B:DH,111,FALSE),"N/A")</f>
        <v>1</v>
      </c>
      <c r="EE60" s="87">
        <f>IFERROR(VLOOKUP($B60,'LOD 300 - COLO2'!$B:DK,114,FALSE),"N/A")</f>
        <v>1</v>
      </c>
      <c r="EF60" s="87">
        <f>IFERROR(VLOOKUP($B60,'LOD 300 - COLO2'!$B:DN,117,FALSE),"N/A")</f>
        <v>1</v>
      </c>
      <c r="EG60" s="87">
        <f>IFERROR(VLOOKUP($B60,'LOD 300 - COLO2'!$B:DQ,120,FALSE),"N/A")</f>
        <v>1</v>
      </c>
      <c r="EH60" s="99">
        <f>IFERROR(__xludf.DUMMYFUNCTION("IFERROR(
  MAX(FILTER(CZ60:EG60, ISNUMBER(CZ60:EG60))),
  EG60
)"),1.0)</f>
        <v>1</v>
      </c>
      <c r="EI60" s="100">
        <f>IFERROR(VLOOKUP($B60,'LOD 300 - COLO3'!$B:R,17,FALSE),"N/A")</f>
        <v>0</v>
      </c>
      <c r="EJ60" s="127" t="str">
        <f>IFERROR(VLOOKUP($B60,'LOD 300 - COLO3'!$B:U,20,FALSE),"N/A")</f>
        <v>NEXT ROUND</v>
      </c>
      <c r="EK60" s="127">
        <f>IFERROR(VLOOKUP($B60,'LOD 300 - COLO3'!$B:X,23,FALSE),"N/A")</f>
        <v>0.99</v>
      </c>
      <c r="EL60" s="127" t="str">
        <f>IFERROR(VLOOKUP($B60,'LOD 300 - COLO3'!$B:AA,26,FALSE),"N/A")</f>
        <v>OUTDATED MODEL</v>
      </c>
      <c r="EM60" s="127" t="str">
        <f>IFERROR(VLOOKUP($B60,'LOD 300 - COLO3'!$B:AD,29,FALSE),"N/A")</f>
        <v>NEXT ROUND</v>
      </c>
      <c r="EN60" s="127" t="str">
        <f>IFERROR(VLOOKUP($B60,'LOD 300 - COLO3'!$B:AG,32,FALSE),"N/A")</f>
        <v>NEXT ROUND</v>
      </c>
      <c r="EO60" s="127" t="str">
        <f>IFERROR(VLOOKUP($B60,'LOD 300 - COLO3'!$B:AJ,35,FALSE),"N/A")</f>
        <v>NEXT ROUND</v>
      </c>
      <c r="EP60" s="100" t="str">
        <f>IFERROR(VLOOKUP($B60,'LOD 300 - COLO3'!$B:AM,38,FALSE),"N/A")</f>
        <v>NEXT ROUND</v>
      </c>
      <c r="EQ60" s="100" t="str">
        <f>IFERROR(VLOOKUP($B60,'LOD 300 - COLO3'!$B:AP,41,FALSE),"N/A")</f>
        <v>NEXT ROUND</v>
      </c>
      <c r="ER60" s="100" t="str">
        <f>IFERROR(VLOOKUP($B60,'LOD 300 - COLO3'!$B:AS,44,FALSE),"N/A")</f>
        <v>NEXT ROUND</v>
      </c>
      <c r="ES60" s="100" t="str">
        <f>IFERROR(VLOOKUP($B60,'LOD 300 - COLO3'!$B:AV,47,FALSE),"N/A")</f>
        <v>IMPROPER</v>
      </c>
      <c r="ET60" s="100" t="str">
        <f>IFERROR(VLOOKUP($B60,'LOD 300 - COLO3'!$B:AY,50,FALSE),"N/A")</f>
        <v>OUTDATED MODEL</v>
      </c>
      <c r="EU60" s="100" t="str">
        <f>IFERROR(VLOOKUP($B60,'LOD 300 - COLO3'!$B:BB,53,FALSE),"N/A")</f>
        <v>OUTDATED MODEL</v>
      </c>
      <c r="EV60" s="100" t="str">
        <f>IFERROR(VLOOKUP($B60,'LOD 300 - COLO3'!$B:BE,56,FALSE),"N/A")</f>
        <v>OUTDATED MODEL</v>
      </c>
      <c r="EW60" s="100">
        <f>IFERROR(VLOOKUP($B60,'LOD 300 - COLO3'!$B:BL,59,FALSE),"N/A")</f>
        <v>1</v>
      </c>
      <c r="EX60" s="100">
        <f>IFERROR(VLOOKUP($B60,'LOD 300 - COLO3'!$B:BO,62,FALSE),"N/A")</f>
        <v>1</v>
      </c>
      <c r="EY60" s="103">
        <f>IFERROR(__xludf.DUMMYFUNCTION("IFERROR(
  MAX(FILTER(EI60:EX60, ISNUMBER(EI60:EX60))),
  EX60
)"),1.0)</f>
        <v>1</v>
      </c>
      <c r="EZ60" s="104">
        <f>IFERROR(VLOOKUP($B60,'LOD 300 - COLO4'!$B:BT,17,FALSE),"N/A")</f>
        <v>0</v>
      </c>
      <c r="FA60" s="103">
        <f>IFERROR(__xludf.DUMMYFUNCTION("IFERROR(
  MAX(FILTER(EZ60, ISNUMBER(EZ60))),
  EZ60
)"),0.0)</f>
        <v>0</v>
      </c>
      <c r="FB60" s="121" t="str">
        <f>IFERROR(VLOOKUP($B60,'LOD 300 - SITE'!$B:S,18,FALSE),"N/A")</f>
        <v>N/A</v>
      </c>
      <c r="FC60" s="122" t="str">
        <f>IFERROR(VLOOKUP($B60,'LOD 300 - SITE'!$B:V,21,FALSE),"N/A")</f>
        <v>N/A</v>
      </c>
      <c r="FD60" s="122" t="str">
        <f>IFERROR(VLOOKUP($B60,'LOD 300 - SITE'!$B:Y,24,FALSE),"N/A")</f>
        <v>N/A</v>
      </c>
      <c r="FE60" s="122" t="str">
        <f>IFERROR(VLOOKUP($B60,'LOD 300 - SITE'!$B:AB,27,FALSE),"N/A")</f>
        <v>N/A</v>
      </c>
      <c r="FF60" s="122" t="str">
        <f>IFERROR(VLOOKUP($B60,'LOD 300 - SITE'!$B:AE,30,FALSE),"N/A")</f>
        <v>N/A</v>
      </c>
      <c r="FG60" s="122" t="str">
        <f>IFERROR(VLOOKUP($B60,'LOD 300 - SITE'!$B:AH,33,FALSE),"N/A")</f>
        <v>N/A</v>
      </c>
      <c r="FH60" s="122" t="str">
        <f>IFERROR(VLOOKUP($B60,'LOD 300 - SITE'!$B:AK,36,FALSE),"N/A")</f>
        <v>N/A</v>
      </c>
      <c r="FI60" s="122" t="str">
        <f>IFERROR(VLOOKUP($B60,'LOD 300 - SITE'!$B:AN,39,FALSE),"N/A")</f>
        <v>N/A</v>
      </c>
      <c r="FJ60" s="122" t="str">
        <f>IFERROR(VLOOKUP($B60,'LOD 300 - SITE'!$B:AQ,42,FALSE),"N/A")</f>
        <v>N/A</v>
      </c>
      <c r="FK60" s="122" t="str">
        <f>IFERROR(VLOOKUP($B60,'LOD 300 - SITE'!$B:AT,45,FALSE),"N/A")</f>
        <v>N/A</v>
      </c>
      <c r="FL60" s="123" t="str">
        <f>IFERROR(VLOOKUP($B60,'LOD 300 - SITE'!$B:AW,48,FALSE),"N/A")</f>
        <v>N/A</v>
      </c>
      <c r="FM60" s="87" t="str">
        <f>IFERROR(VLOOKUP($B60,'LOD 300 - SITE'!$B:AZ,51,FALSE),"N/A")</f>
        <v>N/A</v>
      </c>
      <c r="FN60" s="94" t="str">
        <f>IFERROR(VLOOKUP($B60,'LOD 300 - SITE'!$B:BC,54,FALSE),"N/A")</f>
        <v>N/A</v>
      </c>
      <c r="FO60" s="95" t="str">
        <f>IFERROR(VLOOKUP($B60,'LOD 300 - SITE'!$B:BF,57,FALSE),"N/A")</f>
        <v>N/A</v>
      </c>
      <c r="FP60" s="86" t="str">
        <f>IFERROR(VLOOKUP($B60,'LOD 300 - SITE'!$B:BI,60,FALSE),"N/A")</f>
        <v>N/A</v>
      </c>
      <c r="FQ60" s="86" t="str">
        <f>IFERROR(VLOOKUP($B60,'LOD 300 - SITE'!$B:BL,63,FALSE),"N/A")</f>
        <v>N/A</v>
      </c>
      <c r="FR60" s="86" t="str">
        <f>IFERROR(VLOOKUP($B60,'LOD 300 - SITE'!$B:BO,66,FALSE),"N/A")</f>
        <v>N/A</v>
      </c>
      <c r="FS60" s="86" t="str">
        <f>IFERROR(VLOOKUP($B60,'LOD 300 - SITE'!$B:BR,69,FALSE),"N/A")</f>
        <v>N/A</v>
      </c>
      <c r="FT60" s="86" t="str">
        <f>IFERROR(VLOOKUP($B60,'LOD 300 - SITE'!$B:BU,72,FALSE),"N/A")</f>
        <v>N/A</v>
      </c>
      <c r="FU60" s="86" t="str">
        <f>IFERROR(VLOOKUP($B60,'LOD 300 - SITE'!$B:BX,75,FALSE),"N/A")</f>
        <v>N/A</v>
      </c>
      <c r="FV60" s="86" t="str">
        <f>IFERROR(VLOOKUP($B60,'LOD 300 - SITE'!$B:CA,78,FALSE),"N/A")</f>
        <v>N/A</v>
      </c>
      <c r="FW60" s="87" t="str">
        <f>IFERROR(VLOOKUP($B60,'LOD 300 - SITE'!$B:CD,81,FALSE),"N/A")</f>
        <v>N/A</v>
      </c>
      <c r="FX60" s="108" t="str">
        <f>IFERROR(VLOOKUP($B60,'LOD 300 - SITE'!$B:CG,84,FALSE),"N/A")</f>
        <v>N/A</v>
      </c>
      <c r="FY60" s="108" t="str">
        <f>IFERROR(VLOOKUP($B60,'LOD 300 - SITE'!$B:CJ,87,FALSE),"N/A")</f>
        <v>N/A</v>
      </c>
      <c r="FZ60" s="108" t="str">
        <f>IFERROR(VLOOKUP($B60,'LOD 300 - SITE'!$B:CM,90,FALSE),"N/A")</f>
        <v>N/A</v>
      </c>
      <c r="GA60" s="108" t="str">
        <f>IFERROR(VLOOKUP($B60,'LOD 300 - SITE'!$B:CP,93,FALSE),"N/A")</f>
        <v>N/A</v>
      </c>
      <c r="GB60" s="108" t="str">
        <f>IFERROR(VLOOKUP($B60,'LOD 300 - SITE'!$B:CS,96,FALSE),"N/A")</f>
        <v>N/A</v>
      </c>
      <c r="GC60" s="109" t="str">
        <f>IFERROR(VLOOKUP($B60,'LOD 300 - SITE'!$B:CV,99,FALSE),"N/A")</f>
        <v>N/A</v>
      </c>
      <c r="GD60" s="87" t="str">
        <f>IFERROR(VLOOKUP($B60,'LOD 300 - SITE'!$B:CY,102,FALSE),"N/A")</f>
        <v>N/A</v>
      </c>
      <c r="GE60" s="87" t="str">
        <f>IFERROR(VLOOKUP($B60,'LOD 300 - SITE'!$B:DB,105,FALSE),"N/A")</f>
        <v>N/A</v>
      </c>
      <c r="GF60" s="87" t="str">
        <f>IFERROR(VLOOKUP($B60,'LOD 300 - SITE'!$B:DE,108,FALSE),"N/A")</f>
        <v>N/A</v>
      </c>
      <c r="GG60" s="87" t="str">
        <f>IFERROR(VLOOKUP($B60,'LOD 300 - SITE'!$B:DH,111,FALSE),"N/A")</f>
        <v>N/A</v>
      </c>
      <c r="GH60" s="87" t="str">
        <f>IFERROR(VLOOKUP($B60,'LOD 300 - SITE'!$B:DK,114,FALSE),"N/A")</f>
        <v>N/A</v>
      </c>
      <c r="GI60" s="87" t="str">
        <f>IFERROR(VLOOKUP($B60,'LOD 300 - SITE'!$B:DN,117,FALSE),"N/A")</f>
        <v>N/A</v>
      </c>
      <c r="GJ60" s="87" t="str">
        <f>IFERROR(VLOOKUP($B60,'LOD 300 - SITE'!$B:DQ,120,FALSE),"N/A")</f>
        <v>N/A</v>
      </c>
      <c r="GK60" s="87" t="str">
        <f>IFERROR(VLOOKUP($B60,'LOD 300 - SITE'!$B:DT,123,FALSE),"N/A")</f>
        <v>N/A</v>
      </c>
      <c r="GL60" s="87" t="str">
        <f>IFERROR(VLOOKUP($B60,'LOD 300 - SITE'!$B:DW,126,FALSE),"N/A")</f>
        <v>N/A</v>
      </c>
      <c r="GM60" s="110" t="str">
        <f>IFERROR(__xludf.DUMMYFUNCTION("IFERROR(
  MAX(FILTER(FB60:GL60, ISNUMBER(FB60:GL60))),
  GL60
)"),"N/A")</f>
        <v>N/A</v>
      </c>
      <c r="GN60" s="111"/>
      <c r="GO60" s="111"/>
      <c r="GP60" s="111"/>
    </row>
    <row r="61" ht="15.0" hidden="1" customHeight="1" outlineLevel="1">
      <c r="A61" s="60">
        <v>64.0</v>
      </c>
      <c r="B61" s="290" t="s">
        <v>224</v>
      </c>
      <c r="C61" s="291"/>
      <c r="D61" s="292"/>
      <c r="E61" s="292"/>
      <c r="F61" s="13"/>
      <c r="G61" s="292"/>
      <c r="H61" s="293"/>
      <c r="I61" s="294"/>
      <c r="J61" s="294"/>
      <c r="K61" s="292"/>
      <c r="L61" s="292"/>
      <c r="M61" s="295"/>
      <c r="N61" s="295"/>
      <c r="O61" s="295"/>
      <c r="P61" s="296"/>
      <c r="Q61" s="295"/>
      <c r="R61" s="295"/>
      <c r="S61" s="79" t="str">
        <f>IF(OR($D61="C345",$D61="C12A",$D61="DATA"),
   VLOOKUP($B61,'LOD 300 - COLO4'!B:S,14,FALSE),"N/A")</f>
        <v>N/A</v>
      </c>
      <c r="T61" s="76" t="str">
        <f>IF(OR($D61="C345",$D61="C12A",$D61="DATA"),
   VLOOKUP($B61,'LOD 300 - COLO3'!B:T,13,FALSE),"N/A")</f>
        <v>N/A</v>
      </c>
      <c r="U61" s="295"/>
      <c r="V61" s="292"/>
      <c r="W61" s="297"/>
      <c r="X61" s="298"/>
      <c r="Y61" s="298"/>
      <c r="Z61" s="298"/>
      <c r="AA61" s="298"/>
      <c r="AB61" s="298"/>
      <c r="AC61" s="298"/>
      <c r="AD61" s="298"/>
      <c r="AE61" s="298"/>
      <c r="AF61" s="298"/>
      <c r="AG61" s="298"/>
      <c r="AH61" s="298"/>
      <c r="AI61" s="298"/>
      <c r="AJ61" s="299"/>
      <c r="AK61" s="299"/>
      <c r="AL61" s="300"/>
      <c r="AM61" s="299"/>
      <c r="AN61" s="299"/>
      <c r="AO61" s="299"/>
      <c r="AP61" s="299"/>
      <c r="AQ61" s="299"/>
      <c r="AR61" s="299"/>
      <c r="AS61" s="299"/>
      <c r="AT61" s="299"/>
      <c r="AU61" s="299"/>
      <c r="AV61" s="300"/>
      <c r="AW61" s="300"/>
      <c r="AX61" s="300"/>
      <c r="AY61" s="300"/>
      <c r="AZ61" s="300"/>
      <c r="BA61" s="299"/>
      <c r="BB61" s="300"/>
      <c r="BC61" s="301"/>
      <c r="BD61" s="301"/>
      <c r="BE61" s="301"/>
      <c r="BF61" s="301"/>
      <c r="BG61" s="301"/>
      <c r="BH61" s="301"/>
      <c r="BI61" s="301"/>
      <c r="BJ61" s="302"/>
      <c r="BK61" s="303"/>
      <c r="BL61" s="303"/>
      <c r="BM61" s="303"/>
      <c r="BN61" s="303"/>
      <c r="BO61" s="303"/>
      <c r="BP61" s="303"/>
      <c r="BQ61" s="303"/>
      <c r="BR61" s="303"/>
      <c r="BS61" s="303"/>
      <c r="BT61" s="303"/>
      <c r="BU61" s="303"/>
      <c r="BV61" s="303"/>
      <c r="BW61" s="303"/>
      <c r="BX61" s="304"/>
      <c r="BY61" s="304"/>
      <c r="BZ61" s="305"/>
      <c r="CA61" s="306"/>
      <c r="CB61" s="306"/>
      <c r="CC61" s="306"/>
      <c r="CD61" s="306"/>
      <c r="CE61" s="306"/>
      <c r="CF61" s="299"/>
      <c r="CG61" s="305"/>
      <c r="CH61" s="299"/>
      <c r="CI61" s="299"/>
      <c r="CJ61" s="305"/>
      <c r="CK61" s="305"/>
      <c r="CL61" s="305"/>
      <c r="CM61" s="305"/>
      <c r="CN61" s="305"/>
      <c r="CO61" s="299"/>
      <c r="CP61" s="307"/>
      <c r="CQ61" s="305"/>
      <c r="CR61" s="305"/>
      <c r="CS61" s="305"/>
      <c r="CT61" s="305"/>
      <c r="CU61" s="305"/>
      <c r="CV61" s="305"/>
      <c r="CW61" s="305"/>
      <c r="CX61" s="302"/>
      <c r="CY61" s="308"/>
      <c r="CZ61" s="309"/>
      <c r="DA61" s="309"/>
      <c r="DB61" s="309"/>
      <c r="DC61" s="310"/>
      <c r="DD61" s="311"/>
      <c r="DE61" s="308"/>
      <c r="DF61" s="308"/>
      <c r="DG61" s="312"/>
      <c r="DH61" s="299"/>
      <c r="DI61" s="304"/>
      <c r="DJ61" s="305"/>
      <c r="DK61" s="306"/>
      <c r="DL61" s="306"/>
      <c r="DM61" s="306"/>
      <c r="DN61" s="306"/>
      <c r="DO61" s="306"/>
      <c r="DP61" s="299"/>
      <c r="DQ61" s="299"/>
      <c r="DR61" s="299"/>
      <c r="DS61" s="313"/>
      <c r="DT61" s="314"/>
      <c r="DU61" s="314"/>
      <c r="DV61" s="314"/>
      <c r="DW61" s="314"/>
      <c r="DX61" s="314"/>
      <c r="DY61" s="299"/>
      <c r="DZ61" s="300"/>
      <c r="EA61" s="301"/>
      <c r="EB61" s="301"/>
      <c r="EC61" s="301"/>
      <c r="ED61" s="301"/>
      <c r="EE61" s="301"/>
      <c r="EF61" s="301"/>
      <c r="EG61" s="301"/>
      <c r="EH61" s="301"/>
      <c r="EI61" s="299"/>
      <c r="EJ61" s="299"/>
      <c r="EK61" s="299"/>
      <c r="EL61" s="299"/>
      <c r="EM61" s="299"/>
      <c r="EN61" s="299"/>
      <c r="EO61" s="299"/>
      <c r="EP61" s="299"/>
      <c r="EQ61" s="299"/>
      <c r="ER61" s="306"/>
      <c r="ES61" s="306"/>
      <c r="ET61" s="306"/>
      <c r="EU61" s="306"/>
      <c r="EV61" s="306"/>
      <c r="EW61" s="306"/>
      <c r="EX61" s="306"/>
      <c r="EY61" s="306"/>
      <c r="EZ61" s="315"/>
      <c r="FA61" s="315"/>
      <c r="FB61" s="298"/>
      <c r="FC61" s="298"/>
      <c r="FD61" s="298"/>
      <c r="FE61" s="298"/>
      <c r="FF61" s="298"/>
      <c r="FG61" s="298"/>
      <c r="FH61" s="298"/>
      <c r="FI61" s="298"/>
      <c r="FJ61" s="298"/>
      <c r="FK61" s="298"/>
      <c r="FL61" s="316"/>
      <c r="FM61" s="299"/>
      <c r="FN61" s="304"/>
      <c r="FO61" s="305"/>
      <c r="FP61" s="306"/>
      <c r="FQ61" s="306"/>
      <c r="FR61" s="306"/>
      <c r="FS61" s="306"/>
      <c r="FT61" s="306"/>
      <c r="FU61" s="306"/>
      <c r="FV61" s="306"/>
      <c r="FW61" s="299"/>
      <c r="FX61" s="304"/>
      <c r="FY61" s="305"/>
      <c r="FZ61" s="305"/>
      <c r="GA61" s="305"/>
      <c r="GB61" s="305"/>
      <c r="GC61" s="305"/>
      <c r="GD61" s="299"/>
      <c r="GE61" s="307"/>
      <c r="GF61" s="305"/>
      <c r="GG61" s="305"/>
      <c r="GH61" s="305"/>
      <c r="GI61" s="305"/>
      <c r="GJ61" s="305"/>
      <c r="GK61" s="305"/>
      <c r="GL61" s="305"/>
      <c r="GM61" s="317"/>
      <c r="GN61" s="186"/>
      <c r="GO61" s="186"/>
      <c r="GP61" s="186"/>
    </row>
    <row r="62" ht="15.0" customHeight="1" outlineLevel="1">
      <c r="A62" s="60">
        <v>65.0</v>
      </c>
      <c r="B62" s="140" t="s">
        <v>225</v>
      </c>
      <c r="C62" s="70" t="s">
        <v>226</v>
      </c>
      <c r="D62" s="71" t="s">
        <v>85</v>
      </c>
      <c r="E62" s="146" t="s">
        <v>169</v>
      </c>
      <c r="F62" s="13" t="s">
        <v>169</v>
      </c>
      <c r="G62" s="146" t="s">
        <v>169</v>
      </c>
      <c r="H62" s="139"/>
      <c r="I62" s="74" t="str">
        <f>IFERROR(VLOOKUP(C59:C201,'R22 RELATÓRIO ACC'!B:F,5,FALSE),"NOT PUBLISHED")</f>
        <v>V13</v>
      </c>
      <c r="J62" s="74" t="str">
        <f>IFERROR(VLOOKUP(C59:C201,'R22 RELATÓRIO ACC'!B:P,15,FALSE),"NOT PUBLISHED")</f>
        <v>12/05/2026</v>
      </c>
      <c r="K62" s="141" t="str">
        <f>IFERROR(VLOOKUP(B59:B249,'RELATÓRIO ACC'!B:F,5,FALSE),"NOT PUBLISHED")</f>
        <v>V5</v>
      </c>
      <c r="L62" s="142" t="str">
        <f>IFERROR(VLOOKUP(B59:B249,'RELATÓRIO ACC'!B:P,15,FALSE),"NOT PUBLISHED")</f>
        <v>13/07/2026</v>
      </c>
      <c r="M62" s="76" t="str">
        <f>IF(OR($D62="UTLS",$D62="GUAR",$D62="STIR",$D62="PUMP",$D62="SITE"),
   VLOOKUP($B62,'LOD 300 - SITE'!B:M,12,FALSE),
   VLOOKUP($B62,'LOD 300 - ADMN'!B:M,12,FALSE)
)</f>
        <v>V5</v>
      </c>
      <c r="N62" s="77">
        <f>IF(OR($D62="UTLS",$D62="GUAR",$D62="STIR",$D62="PUMP",$D62="SITE"),
   VLOOKUP($B62,'LOD 300 - SITE'!B:N,13,FALSE),
   VLOOKUP($B62,'LOD 300 - ADMN'!B:N,13,FALSE)
)</f>
        <v>46008</v>
      </c>
      <c r="O62" s="78" t="str">
        <f>IF(OR($D62="UTLS",$D62="GUAR",$D62="STIR",$D62="PUMP",$D62="SITE"),
   VLOOKUP($B62,'LOD 300 - SITE'!B:O,14,FALSE),
   VLOOKUP($B62,'LOD 300 - ADMN'!B:O,14,FALSE)
)</f>
        <v>R22</v>
      </c>
      <c r="P62" s="79" t="str">
        <f>IF(OR($D62="C345",$D62="C12A",$D62="DATA"),
   VLOOKUP($B62,'LOD 300 - COLO3'!B:M,12,FALSE),"N/A")</f>
        <v>V12</v>
      </c>
      <c r="Q62" s="80">
        <f>IF(OR($D62="C345",$D62="C12A",$D62="DATA"),
   VLOOKUP($B62,'LOD 300 - COLO3'!B:N,13,FALSE),"N/A")</f>
        <v>46141</v>
      </c>
      <c r="R62" s="76" t="str">
        <f>IF(OR($D62="C345",$D62="C12A",$D62="DATA"),
   VLOOKUP($B62,'LOD 300 - COLO3'!B:O,14,FALSE),"N/A")</f>
        <v>R22</v>
      </c>
      <c r="S62" s="79" t="str">
        <f>IF(OR($D62="C345",$D62="C12A",$D62="DATA"),
   VLOOKUP($B62,'LOD 300 - COLO4'!B:M,12,FALSE),"N/A")</f>
        <v>N/A</v>
      </c>
      <c r="T62" s="76" t="str">
        <f>IF(OR($D62="C345",$D62="C12A",$D62="DATA"),
   VLOOKUP($B62,'LOD 300 - COLO4'!B:T,13,FALSE),"N/A")</f>
        <v>N/A</v>
      </c>
      <c r="U62" s="81">
        <f>IF(OR($D62="C345",$D62="C12A",$D62="DATA"),
   VLOOKUP($B62,'LOD 300 - COLO4'!B:U,17,FALSE),"N/A")</f>
        <v>0</v>
      </c>
      <c r="V62" s="126"/>
      <c r="W62" s="144" t="str">
        <f>IFERROR(VLOOKUP($B62,'LOD 300 - ADMN'!$B:S,18,FALSE),"N/A")</f>
        <v>NOT PUBLISHED</v>
      </c>
      <c r="X62" s="122" t="str">
        <f>IFERROR(VLOOKUP($B62,'LOD 300 - ADMN'!$B:V,21,FALSE),"N/A")</f>
        <v>NOT PUBLISHED</v>
      </c>
      <c r="Y62" s="122" t="str">
        <f>IFERROR(VLOOKUP($B62,'LOD 300 - ADMN'!$B:Y,24,FALSE),"N/A")</f>
        <v>NOT PUBLISHED</v>
      </c>
      <c r="Z62" s="122" t="str">
        <f>IFERROR(VLOOKUP($B62,'LOD 300 - ADMN'!$B:AB,27,FALSE),"N/A")</f>
        <v>NOT PUBLISHED</v>
      </c>
      <c r="AA62" s="122" t="str">
        <f>IFERROR(VLOOKUP($B62,'LOD 300 - ADMN'!$B:AE,30,FALSE),"N/A")</f>
        <v>NOT PUBLISHED</v>
      </c>
      <c r="AB62" s="145" t="str">
        <f>IFERROR(VLOOKUP($B62,'LOD 300 - ADMN'!$B:AH,33,FALSE),"N/A")</f>
        <v>NOT PUBLISHED</v>
      </c>
      <c r="AC62" s="145" t="str">
        <f>IFERROR(VLOOKUP($B62,'LOD 300 - ADMN'!$B:AK,36,FALSE),"N/A")</f>
        <v>NOT PUBLISHED</v>
      </c>
      <c r="AD62" s="122" t="str">
        <f>IFERROR(VLOOKUP($B62,'LOD 300 - ADMN'!$B:AN,39,FALSE),"N/A")</f>
        <v>NOT PUBLISHED</v>
      </c>
      <c r="AE62" s="122">
        <f>IFERROR(VLOOKUP($B62,'LOD 300 - ADMN'!$B:AQ,42,FALSE),"N/A")</f>
        <v>0.33</v>
      </c>
      <c r="AF62" s="122">
        <f>IFERROR(VLOOKUP($B62,'LOD 300 - ADMN'!$B:AT,45,FALSE),"N/A")</f>
        <v>0.72</v>
      </c>
      <c r="AG62" s="122" t="str">
        <f>IFERROR(VLOOKUP($B62,'LOD 300 - ADMN'!$B:AW,48,FALSE),"N/A")</f>
        <v>OUTDATED MODEL</v>
      </c>
      <c r="AH62" s="122" t="str">
        <f>IFERROR(VLOOKUP($B62,'LOD 300 - ADMN'!$B:AZ,51,FALSE),"N/A")</f>
        <v>OUTDATED MODEL</v>
      </c>
      <c r="AI62" s="122">
        <f>IFERROR(VLOOKUP($B62,'LOD 300 - ADMN'!$B:BC,54,FALSE),"N/A")</f>
        <v>0.72</v>
      </c>
      <c r="AJ62" s="87">
        <f>IFERROR(VLOOKUP($B62,'LOD 300 - ADMN'!$B:BF,57,FALSE),"N/A")</f>
        <v>1</v>
      </c>
      <c r="AK62" s="87">
        <f>IFERROR(VLOOKUP($B62,'LOD 300 - ADMN'!$B:EP,60,FALSE),"N/A")</f>
        <v>1</v>
      </c>
      <c r="AL62" s="87">
        <f>IFERROR(VLOOKUP($B62,'LOD 300 - ADMN'!$B:EQ,63,FALSE),"N/A")</f>
        <v>1</v>
      </c>
      <c r="AM62" s="87">
        <f>IFERROR(VLOOKUP($B62,'LOD 300 - ADMN'!$B:BO,66,FALSE),"N/A")</f>
        <v>1</v>
      </c>
      <c r="AN62" s="87">
        <f>IFERROR(VLOOKUP($B62,'LOD 300 - ADMN'!$B:BR,69,FALSE),"N/A")</f>
        <v>1</v>
      </c>
      <c r="AO62" s="87">
        <f>IFERROR(VLOOKUP($B62,'LOD 300 - ADMN'!$B:BU,72,FALSE),"N/A")</f>
        <v>1</v>
      </c>
      <c r="AP62" s="87">
        <f>IFERROR(VLOOKUP($B62,'LOD 300 - ADMN'!$B:BX,75,FALSE),"N/A")</f>
        <v>1</v>
      </c>
      <c r="AQ62" s="87">
        <f>IFERROR(VLOOKUP($B62,'LOD 300 - ADMN'!$B:CA,78,FALSE),"N/A")</f>
        <v>1</v>
      </c>
      <c r="AR62" s="87">
        <f>IFERROR(VLOOKUP($B62,'LOD 300 - ADMN'!$B:CD,81,FALSE),"N/A")</f>
        <v>1</v>
      </c>
      <c r="AS62" s="87">
        <f>IFERROR(VLOOKUP($B62,'LOD 300 - ADMN'!$B:CG,84,FALSE),"N/A")</f>
        <v>1</v>
      </c>
      <c r="AT62" s="87">
        <f>IFERROR(VLOOKUP($B62,'LOD 300 - ADMN'!$B:CJ,87,FALSE),"N/A")</f>
        <v>1</v>
      </c>
      <c r="AU62" s="88">
        <f>IFERROR(VLOOKUP($B62,'LOD 300 - ADMN'!$B:CM,90,FALSE),"N/A")</f>
        <v>1</v>
      </c>
      <c r="AV62" s="88">
        <f>IFERROR(VLOOKUP($B62,'LOD 300 - ADMN'!$B:CP,93,FALSE),"N/A")</f>
        <v>1</v>
      </c>
      <c r="AW62" s="88">
        <f>IFERROR(VLOOKUP($B62,'LOD 300 - ADMN'!$B:CS,96,FALSE),"N/A")</f>
        <v>1</v>
      </c>
      <c r="AX62" s="88">
        <f>IFERROR(VLOOKUP($B62,'LOD 300 - ADMN'!$B:CV,99,FALSE),"N/A")</f>
        <v>1</v>
      </c>
      <c r="AY62" s="88">
        <f>IFERROR(VLOOKUP($B62,'LOD 300 - ADMN'!$B:CY,102,FALSE),"N/A")</f>
        <v>1</v>
      </c>
      <c r="AZ62" s="88">
        <f>IFERROR(VLOOKUP($B62,'LOD 300 - ADMN'!$B:DB,105,FALSE),"N/A")</f>
        <v>1</v>
      </c>
      <c r="BA62" s="87">
        <f>IFERROR(VLOOKUP($B62,'LOD 300 - ADMN'!$B:DE,108,FALSE),"N/A")</f>
        <v>1</v>
      </c>
      <c r="BB62" s="87">
        <f>IFERROR(VLOOKUP($B62,'LOD 300 - ADMN'!$B:DH,111,FALSE),"N/A")</f>
        <v>1</v>
      </c>
      <c r="BC62" s="87">
        <f>IFERROR(VLOOKUP($B62,'LOD 300 - ADMN'!$B:DK,114,FALSE),"N/A")</f>
        <v>1</v>
      </c>
      <c r="BD62" s="87">
        <f>IFERROR(VLOOKUP($B62,'LOD 300 - ADMN'!$B:DN,117,FALSE),"N/A")</f>
        <v>1</v>
      </c>
      <c r="BE62" s="87">
        <f>IFERROR(VLOOKUP($B62,'LOD 300 - ADMN'!$B:DQ,120,FALSE),"N/A")</f>
        <v>1</v>
      </c>
      <c r="BF62" s="87">
        <f>IFERROR(VLOOKUP($B62,'LOD 300 - ADMN'!$B:DT,123,FALSE),"N/A")</f>
        <v>1</v>
      </c>
      <c r="BG62" s="87">
        <f>IFERROR(VLOOKUP($B62,'LOD 300 - ADMN'!$B:DW,126,FALSE),"N/A")</f>
        <v>1</v>
      </c>
      <c r="BH62" s="87">
        <f>IFERROR(VLOOKUP($B62,'LOD 300 - ADMN'!$B:DZ,129,FALSE),"N/A")</f>
        <v>1</v>
      </c>
      <c r="BI62" s="87">
        <f>IFERROR(VLOOKUP($B62,'LOD 300 - ADMN'!$B:EC,132,FALSE),"N/A")</f>
        <v>1</v>
      </c>
      <c r="BJ62" s="90">
        <f>IFERROR(__xludf.DUMMYFUNCTION("IFERROR(
  MAX(FILTER(X62:BI62, ISNUMBER(X62:BI62))),
  BI62
)"),1.0)</f>
        <v>1</v>
      </c>
      <c r="BK62" s="91" t="str">
        <f>IFERROR(VLOOKUP($B62,'LOD 300 - COLO1'!$B:S,18,FALSE),"N/A")</f>
        <v>NOT PUBLISHED</v>
      </c>
      <c r="BL62" s="92" t="str">
        <f>IFERROR(VLOOKUP($B62,'LOD 300 - COLO1'!$B:V,21,FALSE),"N/A")</f>
        <v>NOT PUBLISHED</v>
      </c>
      <c r="BM62" s="92" t="str">
        <f>IFERROR(VLOOKUP($B62,'LOD 300 - COLO1'!$B:Y,24,FALSE),"N/A")</f>
        <v>NOT PUBLISHED</v>
      </c>
      <c r="BN62" s="92" t="str">
        <f>IFERROR(VLOOKUP($B62,'LOD 300 - COLO1'!$B:AB,27,FALSE),"N/A")</f>
        <v>NOT PUBLISHED</v>
      </c>
      <c r="BO62" s="92" t="str">
        <f>IFERROR(VLOOKUP($B62,'LOD 300 - COLO1'!$B:AE,30,FALSE),"N/A")</f>
        <v>NOT PUBLISHED</v>
      </c>
      <c r="BP62" s="92" t="str">
        <f>IFERROR(VLOOKUP($B62,'LOD 300 - COLO1'!$B:AH,33,FALSE),"N/A")</f>
        <v>NOT PUBLISHED</v>
      </c>
      <c r="BQ62" s="92" t="str">
        <f>IFERROR(VLOOKUP($B62,'LOD 300 - COLO1'!$B:AK,36,FALSE),"N/A")</f>
        <v>NOT PUBLISHED</v>
      </c>
      <c r="BR62" s="92" t="str">
        <f>IFERROR(VLOOKUP($B62,'LOD 300 - COLO1'!$B:AN,39,FALSE),"N/A")</f>
        <v>NOT PUBLISHED</v>
      </c>
      <c r="BS62" s="92">
        <f>IFERROR(VLOOKUP($B62,'LOD 300 - COLO1'!$B:AQ,42,FALSE),"N/A")</f>
        <v>0.33</v>
      </c>
      <c r="BT62" s="92">
        <f>IFERROR(VLOOKUP($B62,'LOD 300 - COLO1'!$B:AT,45,FALSE),"N/A")</f>
        <v>0.72</v>
      </c>
      <c r="BU62" s="92" t="str">
        <f>IFERROR(VLOOKUP($B62,'LOD 300 - COLO1'!$B:AW,48,FALSE),"N/A")</f>
        <v>OUTDATED MODEL</v>
      </c>
      <c r="BV62" s="92" t="str">
        <f>IFERROR(VLOOKUP($B62,'LOD 300 - COLO1'!$B:AZ,51,FALSE),"N/A")</f>
        <v>OUTDATED MODEL</v>
      </c>
      <c r="BW62" s="92">
        <f>IFERROR(VLOOKUP($B62,'LOD 300 - COLO1'!$B:BC,54,FALSE),"N/A")</f>
        <v>0.72</v>
      </c>
      <c r="BX62" s="94">
        <f>IFERROR(VLOOKUP($B62,'LOD 300 - COLO1'!$B:BF,57,FALSE),"N/A")</f>
        <v>1</v>
      </c>
      <c r="BY62" s="94">
        <f>IFERROR(VLOOKUP($B62,'LOD 300 - COLO1'!$B:BI,60,FALSE),"N/A")</f>
        <v>1</v>
      </c>
      <c r="BZ62" s="95">
        <f>IFERROR(VLOOKUP($B62,'LOD 300 - COLO1'!$B:BL,63,FALSE),"N/A")</f>
        <v>1</v>
      </c>
      <c r="CA62" s="86">
        <f>IFERROR(VLOOKUP($B62,'LOD 300 - COLO1'!$B:BO,66,FALSE),"N/A")</f>
        <v>1</v>
      </c>
      <c r="CB62" s="86">
        <f>IFERROR(VLOOKUP($B62,'LOD 300 - COLO1'!$B:BR,69,FALSE),"N/A")</f>
        <v>1</v>
      </c>
      <c r="CC62" s="86">
        <f>IFERROR(VLOOKUP($B62,'LOD 300 - COLO1'!$B:BU,72,FALSE),"N/A")</f>
        <v>1</v>
      </c>
      <c r="CD62" s="86">
        <f>IFERROR(VLOOKUP($B62,'LOD 300 - COLO1'!$B:BX,75,FALSE),"N/A")</f>
        <v>1</v>
      </c>
      <c r="CE62" s="86">
        <f>IFERROR(VLOOKUP($B62,'LOD 300 - COLO1'!$B:CA,78,FALSE),"N/A")</f>
        <v>1</v>
      </c>
      <c r="CF62" s="87">
        <f>IFERROR(VLOOKUP($B62,'LOD 300 - COLO1'!$B:CD,81,FALSE),"N/A")</f>
        <v>1</v>
      </c>
      <c r="CG62" s="86">
        <f>IFERROR(VLOOKUP($B62,'LOD 300 - COLO1'!$B:CG,84,FALSE),"N/A")</f>
        <v>1</v>
      </c>
      <c r="CH62" s="87">
        <f>IFERROR(VLOOKUP($B62,'LOD 300 - COLO1'!$B:CJ,87,FALSE),"N/A")</f>
        <v>1</v>
      </c>
      <c r="CI62" s="88">
        <f>IFERROR(VLOOKUP($B62,'LOD 300 - COLO1'!$B:CM,90,FALSE),"N/A")</f>
        <v>1</v>
      </c>
      <c r="CJ62" s="88">
        <f>IFERROR(VLOOKUP($B62,'LOD 300 - COLO1'!$B:CP,93,FALSE),"N/A")</f>
        <v>1</v>
      </c>
      <c r="CK62" s="88">
        <f>IFERROR(VLOOKUP($B62,'LOD 300 - COLO1'!$B:CS,96,FALSE),"N/A")</f>
        <v>1</v>
      </c>
      <c r="CL62" s="88">
        <f>IFERROR(VLOOKUP($B62,'LOD 300 - COLO1'!$B:CV,99,FALSE),"N/A")</f>
        <v>1</v>
      </c>
      <c r="CM62" s="88">
        <f>IFERROR(VLOOKUP($B62,'LOD 300 - COLO1'!$B:CY,102,FALSE),"N/A")</f>
        <v>1</v>
      </c>
      <c r="CN62" s="89">
        <f>IFERROR(VLOOKUP($B62,'LOD 300 - COLO1'!$B:DB,105,FALSE),"N/A")</f>
        <v>1</v>
      </c>
      <c r="CO62" s="87">
        <f>IFERROR(VLOOKUP($B62,'LOD 300 - COLO1'!$B:EE,108,FALSE),"N/A")</f>
        <v>1</v>
      </c>
      <c r="CP62" s="87">
        <f>IFERROR(VLOOKUP($B62,'LOD 300 - COLO1'!$B:EH,111,FALSE),"N/A")</f>
        <v>1</v>
      </c>
      <c r="CQ62" s="87">
        <f>IFERROR(VLOOKUP($B62,'LOD 300 - COLO1'!$B:EK,114,FALSE),"N/A")</f>
        <v>1</v>
      </c>
      <c r="CR62" s="87">
        <f>IFERROR(VLOOKUP($B62,'LOD 300 - COLO1'!$B:EN,117,FALSE),"N/A")</f>
        <v>1</v>
      </c>
      <c r="CS62" s="87">
        <f>IFERROR(VLOOKUP($B62,'LOD 300 - COLO1'!$B:EQ,120,FALSE),"N/A")</f>
        <v>1</v>
      </c>
      <c r="CT62" s="87">
        <f>IFERROR(VLOOKUP($B62,'LOD 300 - COLO1'!$B:ET,123,FALSE),"N/A")</f>
        <v>1</v>
      </c>
      <c r="CU62" s="87">
        <f>IFERROR(VLOOKUP($B62,'LOD 300 - COLO1'!$B:EW,126,FALSE),"N/A")</f>
        <v>1</v>
      </c>
      <c r="CV62" s="87">
        <f>IFERROR(VLOOKUP($B62,'LOD 300 - COLO1'!$B:EZ,129,FALSE),"N/A")</f>
        <v>1</v>
      </c>
      <c r="CW62" s="87">
        <f>IFERROR(VLOOKUP($B62,'LOD 300 - COLO1'!$B:FC,132,FALSE),"N/A")</f>
        <v>1</v>
      </c>
      <c r="CX62" s="96">
        <f>IFERROR(__xludf.DUMMYFUNCTION("IFERROR(
  MAX(FILTER(BK62:CW62, ISNUMBER(BK62:CW62))),
  CW62
)"),1.0)</f>
        <v>1</v>
      </c>
      <c r="CY62" s="104" t="str">
        <f>IFERROR(VLOOKUP($B62,'LOD 300 - COLO2'!$B:S,18,FALSE),"N/A")</f>
        <v>NOT PUBLISHED</v>
      </c>
      <c r="CZ62" s="117" t="str">
        <f>IFERROR(VLOOKUP($B62,'LOD 300 - COLO2'!$B:V,21,FALSE),"N/A")</f>
        <v>NOT PUBLISHED</v>
      </c>
      <c r="DA62" s="117" t="str">
        <f>IFERROR(VLOOKUP($B62,'LOD 300 - COLO2'!$B:Y,24,FALSE),"N/A")</f>
        <v>NOT PUBLISHED</v>
      </c>
      <c r="DB62" s="117" t="str">
        <f>IFERROR(VLOOKUP($B62,'LOD 300 - COLO2'!$B:AB,27,FALSE),"N/A")</f>
        <v>NOT PUBLISHED</v>
      </c>
      <c r="DC62" s="92" t="str">
        <f>IFERROR(VLOOKUP($B62,'LOD 300 - COLO2'!$B:AE,30,FALSE),"N/A")</f>
        <v>NOT PUBLISHED</v>
      </c>
      <c r="DD62" s="120">
        <f>IFERROR(VLOOKUP($B62,'LOD 300 - COLO2'!$B:AH,33,FALSE),"N/A")</f>
        <v>0.72</v>
      </c>
      <c r="DE62" s="117" t="str">
        <f>IFERROR(VLOOKUP($B62,'LOD 300 - COLO2'!$B:AK,36,FALSE),"N/A")</f>
        <v>OUTDATED MODEL</v>
      </c>
      <c r="DF62" s="117" t="str">
        <f>IFERROR(VLOOKUP($B62,'LOD 300 - COLO2'!$B:AN,39,FALSE),"N/A")</f>
        <v>OUTDATED MODEL</v>
      </c>
      <c r="DG62" s="119" t="str">
        <f>IFERROR(VLOOKUP($B62,'LOD 300 - COLO2'!$B:AQ,42,FALSE),"N/A")</f>
        <v>NEXT ROUND</v>
      </c>
      <c r="DH62" s="87">
        <f>IFERROR(VLOOKUP($B62,'LOD 300 - COLO2'!$B:AT,45,FALSE),"N/A")</f>
        <v>1</v>
      </c>
      <c r="DI62" s="94">
        <f>IFERROR(VLOOKUP($B62,'LOD 300 - COLO2'!$B:AW,48,FALSE),"N/A")</f>
        <v>1</v>
      </c>
      <c r="DJ62" s="95">
        <f>IFERROR(VLOOKUP($B62,'LOD 300 - COLO2'!$B:AZ,51,FALSE),"N/A")</f>
        <v>1</v>
      </c>
      <c r="DK62" s="86">
        <f>IFERROR(VLOOKUP($B62,'LOD 300 - COLO2'!$B:BC,54,FALSE),"N/A")</f>
        <v>1</v>
      </c>
      <c r="DL62" s="86">
        <f>IFERROR(VLOOKUP($B62,'LOD 300 - COLO2'!$B:BF,57,FALSE),"N/A")</f>
        <v>1</v>
      </c>
      <c r="DM62" s="86">
        <f>IFERROR(VLOOKUP($B62,'LOD 300 - COLO2'!$B:BI,60,FALSE),"N/A")</f>
        <v>1</v>
      </c>
      <c r="DN62" s="86">
        <f>IFERROR(VLOOKUP($B62,'LOD 300 - COLO2'!$B:BL,63,FALSE),"N/A")</f>
        <v>1</v>
      </c>
      <c r="DO62" s="86">
        <f>IFERROR(VLOOKUP($B62,'LOD 300 - COLO2'!$B:BO,66,FALSE),"N/A")</f>
        <v>1</v>
      </c>
      <c r="DP62" s="87">
        <f>IFERROR(VLOOKUP($B62,'LOD 300 - COLO2'!$B:BR,69,FALSE),"N/A")</f>
        <v>1</v>
      </c>
      <c r="DQ62" s="87">
        <f>IFERROR(VLOOKUP($B62,'LOD 300 - COLO2'!$B:BU,72,FALSE),"N/A")</f>
        <v>1</v>
      </c>
      <c r="DR62" s="87">
        <f>IFERROR(VLOOKUP($B62,'LOD 300 - COLO2'!$B:BX,75,FALSE),"N/A")</f>
        <v>1</v>
      </c>
      <c r="DS62" s="98">
        <f>IFERROR(VLOOKUP($B62,'LOD 300 - COLO2'!$B:CA,78,FALSE),"N/A")</f>
        <v>1</v>
      </c>
      <c r="DT62" s="98">
        <f>IFERROR(VLOOKUP($B62,'LOD 300 - COLO2'!$B:CD,81,FALSE),"N/A")</f>
        <v>1</v>
      </c>
      <c r="DU62" s="98">
        <f>IFERROR(VLOOKUP($B62,'LOD 300 - COLO2'!$B:CG,84,FALSE),"N/A")</f>
        <v>1</v>
      </c>
      <c r="DV62" s="98">
        <f>IFERROR(VLOOKUP($B62,'LOD 300 - COLO2'!$B:CJ,87,FALSE),"N/A")</f>
        <v>1</v>
      </c>
      <c r="DW62" s="98">
        <f>IFERROR(VLOOKUP($B62,'LOD 300 - COLO2'!$B:CM,90,FALSE),"N/A")</f>
        <v>1</v>
      </c>
      <c r="DX62" s="98">
        <f>IFERROR(VLOOKUP($B62,'LOD 300 - COLO2'!$B:CP,93,FALSE),"N/A")</f>
        <v>1</v>
      </c>
      <c r="DY62" s="87">
        <f>IFERROR(VLOOKUP($B62,'LOD 300 - COLO2'!$B:CS,96,FALSE),"N/A")</f>
        <v>1</v>
      </c>
      <c r="DZ62" s="87">
        <f>IFERROR(VLOOKUP($B62,'LOD 300 - COLO2'!$B:CV,99,FALSE),"N/A")</f>
        <v>1</v>
      </c>
      <c r="EA62" s="87">
        <f>IFERROR(VLOOKUP($B62,'LOD 300 - COLO2'!$B:DB,105,FALSE),"N/A")</f>
        <v>1</v>
      </c>
      <c r="EB62" s="87">
        <f>IFERROR(VLOOKUP($B62,'LOD 300 - COLO2'!$B:DB,105,FALSE),"N/A")</f>
        <v>1</v>
      </c>
      <c r="EC62" s="87">
        <f>IFERROR(VLOOKUP($B62,'LOD 300 - COLO2'!$B:DE,108,FALSE),"N/A")</f>
        <v>1</v>
      </c>
      <c r="ED62" s="87">
        <f>IFERROR(VLOOKUP($B62,'LOD 300 - COLO2'!$B:DH,111,FALSE),"N/A")</f>
        <v>1</v>
      </c>
      <c r="EE62" s="87">
        <f>IFERROR(VLOOKUP($B62,'LOD 300 - COLO2'!$B:DK,114,FALSE),"N/A")</f>
        <v>1</v>
      </c>
      <c r="EF62" s="87">
        <f>IFERROR(VLOOKUP($B62,'LOD 300 - COLO2'!$B:DN,117,FALSE),"N/A")</f>
        <v>1</v>
      </c>
      <c r="EG62" s="87">
        <f>IFERROR(VLOOKUP($B62,'LOD 300 - COLO2'!$B:DQ,120,FALSE),"N/A")</f>
        <v>1</v>
      </c>
      <c r="EH62" s="99">
        <f>IFERROR(__xludf.DUMMYFUNCTION("IFERROR(
  MAX(FILTER(CZ62:EG62, ISNUMBER(CZ62:EG62))),
  EG62
)"),1.0)</f>
        <v>1</v>
      </c>
      <c r="EI62" s="100">
        <f>IFERROR(VLOOKUP($B62,'LOD 300 - COLO3'!$B:R,17,FALSE),"N/A")</f>
        <v>0</v>
      </c>
      <c r="EJ62" s="127" t="str">
        <f>IFERROR(VLOOKUP($B62,'LOD 300 - COLO3'!$B:U,20,FALSE),"N/A")</f>
        <v>NEXT ROUND</v>
      </c>
      <c r="EK62" s="127">
        <f>IFERROR(VLOOKUP($B62,'LOD 300 - COLO3'!$B:X,23,FALSE),"N/A")</f>
        <v>0.67</v>
      </c>
      <c r="EL62" s="127">
        <f>IFERROR(VLOOKUP($B62,'LOD 300 - COLO3'!$B:AA,26,FALSE),"N/A")</f>
        <v>0.85</v>
      </c>
      <c r="EM62" s="127" t="str">
        <f>IFERROR(VLOOKUP($B62,'LOD 300 - COLO3'!$B:AD,29,FALSE),"N/A")</f>
        <v>NEXT ROUND</v>
      </c>
      <c r="EN62" s="127">
        <f>IFERROR(VLOOKUP($B62,'LOD 300 - COLO3'!$B:AG,32,FALSE),"N/A")</f>
        <v>1</v>
      </c>
      <c r="EO62" s="127">
        <f>IFERROR(VLOOKUP($B62,'LOD 300 - COLO3'!$B:AJ,35,FALSE),"N/A")</f>
        <v>1</v>
      </c>
      <c r="EP62" s="100">
        <f>IFERROR(VLOOKUP($B62,'LOD 300 - COLO3'!$B:AM,38,FALSE),"N/A")</f>
        <v>1</v>
      </c>
      <c r="EQ62" s="100">
        <f>IFERROR(VLOOKUP($B62,'LOD 300 - COLO3'!$B:AP,41,FALSE),"N/A")</f>
        <v>1</v>
      </c>
      <c r="ER62" s="100">
        <f>IFERROR(VLOOKUP($B62,'LOD 300 - COLO3'!$B:AS,44,FALSE),"N/A")</f>
        <v>1</v>
      </c>
      <c r="ES62" s="100">
        <f>IFERROR(VLOOKUP($B62,'LOD 300 - COLO3'!$B:AV,47,FALSE),"N/A")</f>
        <v>1</v>
      </c>
      <c r="ET62" s="100">
        <f>IFERROR(VLOOKUP($B62,'LOD 300 - COLO3'!$B:AY,50,FALSE),"N/A")</f>
        <v>1</v>
      </c>
      <c r="EU62" s="100">
        <f>IFERROR(VLOOKUP($B62,'LOD 300 - COLO3'!$B:BB,53,FALSE),"N/A")</f>
        <v>1</v>
      </c>
      <c r="EV62" s="100">
        <f>IFERROR(VLOOKUP($B62,'LOD 300 - COLO3'!$B:BE,56,FALSE),"N/A")</f>
        <v>1</v>
      </c>
      <c r="EW62" s="100">
        <f>IFERROR(VLOOKUP($B62,'LOD 300 - COLO3'!$B:BL,59,FALSE),"N/A")</f>
        <v>1</v>
      </c>
      <c r="EX62" s="100">
        <f>IFERROR(VLOOKUP($B62,'LOD 300 - COLO3'!$B:BO,62,FALSE),"N/A")</f>
        <v>1</v>
      </c>
      <c r="EY62" s="103">
        <f>IFERROR(__xludf.DUMMYFUNCTION("IFERROR(
  MAX(FILTER(EI62:EX62, ISNUMBER(EI62:EX62))),
  EX62
)"),1.0)</f>
        <v>1</v>
      </c>
      <c r="EZ62" s="104">
        <f>IFERROR(VLOOKUP($B62,'LOD 300 - COLO4'!$B:BT,17,FALSE),"N/A")</f>
        <v>0</v>
      </c>
      <c r="FA62" s="103">
        <f>IFERROR(__xludf.DUMMYFUNCTION("IFERROR(
  MAX(FILTER(EZ62, ISNUMBER(EZ62))),
  EZ62
)"),0.0)</f>
        <v>0</v>
      </c>
      <c r="FB62" s="121" t="str">
        <f>IFERROR(VLOOKUP($B62,'LOD 300 - SITE'!$B:S,18,FALSE),"N/A")</f>
        <v>N/A</v>
      </c>
      <c r="FC62" s="122" t="str">
        <f>IFERROR(VLOOKUP($B62,'LOD 300 - SITE'!$B:V,21,FALSE),"N/A")</f>
        <v>N/A</v>
      </c>
      <c r="FD62" s="122" t="str">
        <f>IFERROR(VLOOKUP($B62,'LOD 300 - SITE'!$B:Y,24,FALSE),"N/A")</f>
        <v>N/A</v>
      </c>
      <c r="FE62" s="122" t="str">
        <f>IFERROR(VLOOKUP($B62,'LOD 300 - SITE'!$B:AB,27,FALSE),"N/A")</f>
        <v>N/A</v>
      </c>
      <c r="FF62" s="122" t="str">
        <f>IFERROR(VLOOKUP($B62,'LOD 300 - SITE'!$B:AE,30,FALSE),"N/A")</f>
        <v>N/A</v>
      </c>
      <c r="FG62" s="122" t="str">
        <f>IFERROR(VLOOKUP($B62,'LOD 300 - SITE'!$B:AH,33,FALSE),"N/A")</f>
        <v>N/A</v>
      </c>
      <c r="FH62" s="122" t="str">
        <f>IFERROR(VLOOKUP($B62,'LOD 300 - SITE'!$B:AK,36,FALSE),"N/A")</f>
        <v>N/A</v>
      </c>
      <c r="FI62" s="122" t="str">
        <f>IFERROR(VLOOKUP($B62,'LOD 300 - SITE'!$B:AN,39,FALSE),"N/A")</f>
        <v>N/A</v>
      </c>
      <c r="FJ62" s="122" t="str">
        <f>IFERROR(VLOOKUP($B62,'LOD 300 - SITE'!$B:AQ,42,FALSE),"N/A")</f>
        <v>N/A</v>
      </c>
      <c r="FK62" s="122" t="str">
        <f>IFERROR(VLOOKUP($B62,'LOD 300 - SITE'!$B:AT,45,FALSE),"N/A")</f>
        <v>N/A</v>
      </c>
      <c r="FL62" s="123" t="str">
        <f>IFERROR(VLOOKUP($B62,'LOD 300 - SITE'!$B:AW,48,FALSE),"N/A")</f>
        <v>N/A</v>
      </c>
      <c r="FM62" s="87" t="str">
        <f>IFERROR(VLOOKUP($B62,'LOD 300 - SITE'!$B:AZ,51,FALSE),"N/A")</f>
        <v>N/A</v>
      </c>
      <c r="FN62" s="94" t="str">
        <f>IFERROR(VLOOKUP($B62,'LOD 300 - SITE'!$B:BC,54,FALSE),"N/A")</f>
        <v>N/A</v>
      </c>
      <c r="FO62" s="95" t="str">
        <f>IFERROR(VLOOKUP($B62,'LOD 300 - SITE'!$B:BF,57,FALSE),"N/A")</f>
        <v>N/A</v>
      </c>
      <c r="FP62" s="86" t="str">
        <f>IFERROR(VLOOKUP($B62,'LOD 300 - SITE'!$B:BI,60,FALSE),"N/A")</f>
        <v>N/A</v>
      </c>
      <c r="FQ62" s="86" t="str">
        <f>IFERROR(VLOOKUP($B62,'LOD 300 - SITE'!$B:BL,63,FALSE),"N/A")</f>
        <v>N/A</v>
      </c>
      <c r="FR62" s="86" t="str">
        <f>IFERROR(VLOOKUP($B62,'LOD 300 - SITE'!$B:BO,66,FALSE),"N/A")</f>
        <v>N/A</v>
      </c>
      <c r="FS62" s="86" t="str">
        <f>IFERROR(VLOOKUP($B62,'LOD 300 - SITE'!$B:BR,69,FALSE),"N/A")</f>
        <v>N/A</v>
      </c>
      <c r="FT62" s="86" t="str">
        <f>IFERROR(VLOOKUP($B62,'LOD 300 - SITE'!$B:BU,72,FALSE),"N/A")</f>
        <v>N/A</v>
      </c>
      <c r="FU62" s="86" t="str">
        <f>IFERROR(VLOOKUP($B62,'LOD 300 - SITE'!$B:BX,75,FALSE),"N/A")</f>
        <v>N/A</v>
      </c>
      <c r="FV62" s="86" t="str">
        <f>IFERROR(VLOOKUP($B62,'LOD 300 - SITE'!$B:CA,78,FALSE),"N/A")</f>
        <v>N/A</v>
      </c>
      <c r="FW62" s="87" t="str">
        <f>IFERROR(VLOOKUP($B62,'LOD 300 - SITE'!$B:CD,81,FALSE),"N/A")</f>
        <v>N/A</v>
      </c>
      <c r="FX62" s="108" t="str">
        <f>IFERROR(VLOOKUP($B62,'LOD 300 - SITE'!$B:CG,84,FALSE),"N/A")</f>
        <v>N/A</v>
      </c>
      <c r="FY62" s="108" t="str">
        <f>IFERROR(VLOOKUP($B62,'LOD 300 - SITE'!$B:CJ,87,FALSE),"N/A")</f>
        <v>N/A</v>
      </c>
      <c r="FZ62" s="108" t="str">
        <f>IFERROR(VLOOKUP($B62,'LOD 300 - SITE'!$B:CM,90,FALSE),"N/A")</f>
        <v>N/A</v>
      </c>
      <c r="GA62" s="108" t="str">
        <f>IFERROR(VLOOKUP($B62,'LOD 300 - SITE'!$B:CP,93,FALSE),"N/A")</f>
        <v>N/A</v>
      </c>
      <c r="GB62" s="108" t="str">
        <f>IFERROR(VLOOKUP($B62,'LOD 300 - SITE'!$B:CS,96,FALSE),"N/A")</f>
        <v>N/A</v>
      </c>
      <c r="GC62" s="109" t="str">
        <f>IFERROR(VLOOKUP($B62,'LOD 300 - SITE'!$B:CV,99,FALSE),"N/A")</f>
        <v>N/A</v>
      </c>
      <c r="GD62" s="87" t="str">
        <f>IFERROR(VLOOKUP($B62,'LOD 300 - SITE'!$B:CY,102,FALSE),"N/A")</f>
        <v>N/A</v>
      </c>
      <c r="GE62" s="87" t="str">
        <f>IFERROR(VLOOKUP($B62,'LOD 300 - SITE'!$B:DB,105,FALSE),"N/A")</f>
        <v>N/A</v>
      </c>
      <c r="GF62" s="87" t="str">
        <f>IFERROR(VLOOKUP($B62,'LOD 300 - SITE'!$B:DE,108,FALSE),"N/A")</f>
        <v>N/A</v>
      </c>
      <c r="GG62" s="87" t="str">
        <f>IFERROR(VLOOKUP($B62,'LOD 300 - SITE'!$B:DH,111,FALSE),"N/A")</f>
        <v>N/A</v>
      </c>
      <c r="GH62" s="87" t="str">
        <f>IFERROR(VLOOKUP($B62,'LOD 300 - SITE'!$B:DK,114,FALSE),"N/A")</f>
        <v>N/A</v>
      </c>
      <c r="GI62" s="87" t="str">
        <f>IFERROR(VLOOKUP($B62,'LOD 300 - SITE'!$B:DN,117,FALSE),"N/A")</f>
        <v>N/A</v>
      </c>
      <c r="GJ62" s="87" t="str">
        <f>IFERROR(VLOOKUP($B62,'LOD 300 - SITE'!$B:DQ,120,FALSE),"N/A")</f>
        <v>N/A</v>
      </c>
      <c r="GK62" s="87" t="str">
        <f>IFERROR(VLOOKUP($B62,'LOD 300 - SITE'!$B:DT,123,FALSE),"N/A")</f>
        <v>N/A</v>
      </c>
      <c r="GL62" s="87" t="str">
        <f>IFERROR(VLOOKUP($B62,'LOD 300 - SITE'!$B:DW,126,FALSE),"N/A")</f>
        <v>N/A</v>
      </c>
      <c r="GM62" s="110" t="str">
        <f>IFERROR(__xludf.DUMMYFUNCTION("IFERROR(
  MAX(FILTER(FB62:GL62, ISNUMBER(FB62:GL62))),
  GL62
)"),"N/A")</f>
        <v>N/A</v>
      </c>
      <c r="GN62" s="111"/>
      <c r="GO62" s="111"/>
      <c r="GP62" s="111"/>
    </row>
    <row r="63" ht="15.0" customHeight="1" outlineLevel="1">
      <c r="A63" s="60">
        <v>66.0</v>
      </c>
      <c r="B63" s="140" t="s">
        <v>227</v>
      </c>
      <c r="C63" s="70" t="s">
        <v>228</v>
      </c>
      <c r="D63" s="71" t="s">
        <v>90</v>
      </c>
      <c r="E63" s="146" t="s">
        <v>169</v>
      </c>
      <c r="F63" s="13" t="s">
        <v>169</v>
      </c>
      <c r="G63" s="146" t="s">
        <v>169</v>
      </c>
      <c r="H63" s="139"/>
      <c r="I63" s="74" t="str">
        <f>IFERROR(VLOOKUP(C60:C202,'R22 RELATÓRIO ACC'!B:F,5,FALSE),"NOT PUBLISHED")</f>
        <v>V7</v>
      </c>
      <c r="J63" s="74" t="str">
        <f>IFERROR(VLOOKUP(C60:C202,'R22 RELATÓRIO ACC'!B:P,15,FALSE),"NOT PUBLISHED")</f>
        <v>08/12/2025</v>
      </c>
      <c r="K63" s="141" t="str">
        <f>IFERROR(VLOOKUP(B60:B250,'RELATÓRIO ACC'!B:F,5,FALSE),"NOT PUBLISHED")</f>
        <v>V2</v>
      </c>
      <c r="L63" s="142" t="str">
        <f>IFERROR(VLOOKUP(B60:B250,'RELATÓRIO ACC'!B:P,15,FALSE),"NOT PUBLISHED")</f>
        <v>03/07/2026</v>
      </c>
      <c r="M63" s="76" t="str">
        <f>IF(OR($D63="UTLS",$D63="GUAR",$D63="STIR",$D63="PUMP",$D63="SITE"),
   VLOOKUP($B63,'LOD 300 - SITE'!B:M,12,FALSE),
   VLOOKUP($B63,'LOD 300 - ADMN'!B:M,12,FALSE)
)</f>
        <v>V2</v>
      </c>
      <c r="N63" s="77">
        <f>IF(OR($D63="UTLS",$D63="GUAR",$D63="STIR",$D63="PUMP",$D63="SITE"),
   VLOOKUP($B63,'LOD 300 - SITE'!B:N,13,FALSE),
   VLOOKUP($B63,'LOD 300 - ADMN'!B:N,13,FALSE)
)</f>
        <v>46206</v>
      </c>
      <c r="O63" s="78" t="str">
        <f>IF(OR($D63="UTLS",$D63="GUAR",$D63="STIR",$D63="PUMP",$D63="SITE"),
   VLOOKUP($B63,'LOD 300 - SITE'!B:O,14,FALSE),
   VLOOKUP($B63,'LOD 300 - ADMN'!B:O,14,FALSE)
)</f>
        <v>R24</v>
      </c>
      <c r="P63" s="79" t="str">
        <f>IF(OR($D63="C345",$D63="C12A",$D63="DATA"),
   VLOOKUP($B63,'LOD 300 - COLO3'!B:M,12,FALSE),"N/A")</f>
        <v>N/A</v>
      </c>
      <c r="Q63" s="76" t="str">
        <f>IF(OR($D63="C345",$D63="C12A",$D63="DATA"),
   VLOOKUP($B63,'LOD 300 - COLO3'!B:N,13,FALSE),"N/A")</f>
        <v>N/A</v>
      </c>
      <c r="R63" s="76" t="str">
        <f>IF(OR($D63="C345",$D63="C12A",$D63="DATA"),
   VLOOKUP($B63,'LOD 300 - COLO3'!B:O,14,FALSE),"N/A")</f>
        <v>N/A</v>
      </c>
      <c r="S63" s="79" t="str">
        <f>IF(OR($D63="C345",$D63="C12A",$D63="DATA"),
   VLOOKUP($B63,'LOD 300 - COLO4'!B:M,12,FALSE),"N/A")</f>
        <v>N/A</v>
      </c>
      <c r="T63" s="76" t="str">
        <f>IF(OR($D63="C345",$D63="C12A",$D63="DATA"),
   VLOOKUP($B63,'LOD 300 - COLO4'!B:T,13,FALSE),"N/A")</f>
        <v>N/A</v>
      </c>
      <c r="U63" s="76" t="str">
        <f>IF(OR($D63="C345",$D63="C12A",$D63="DATA"),
   VLOOKUP($B63,'LOD 300 - COLO4'!B:U,17,FALSE),"N/A")</f>
        <v>N/A</v>
      </c>
      <c r="V63" s="126"/>
      <c r="W63" s="144" t="str">
        <f>IFERROR(VLOOKUP($B63,'LOD 300 - ADMN'!$B:S,18,FALSE),"N/A")</f>
        <v>N/A</v>
      </c>
      <c r="X63" s="122" t="str">
        <f>IFERROR(VLOOKUP($B63,'LOD 300 - ADMN'!$B:V,21,FALSE),"N/A")</f>
        <v>N/A</v>
      </c>
      <c r="Y63" s="122" t="str">
        <f>IFERROR(VLOOKUP($B63,'LOD 300 - ADMN'!$B:Y,24,FALSE),"N/A")</f>
        <v>N/A</v>
      </c>
      <c r="Z63" s="122" t="str">
        <f>IFERROR(VLOOKUP($B63,'LOD 300 - ADMN'!$B:AB,27,FALSE),"N/A")</f>
        <v>N/A</v>
      </c>
      <c r="AA63" s="122" t="str">
        <f>IFERROR(VLOOKUP($B63,'LOD 300 - ADMN'!$B:AE,30,FALSE),"N/A")</f>
        <v>N/A</v>
      </c>
      <c r="AB63" s="145" t="str">
        <f>IFERROR(VLOOKUP($B63,'LOD 300 - ADMN'!$B:AH,33,FALSE),"N/A")</f>
        <v>N/A</v>
      </c>
      <c r="AC63" s="145" t="str">
        <f>IFERROR(VLOOKUP($B63,'LOD 300 - ADMN'!$B:AK,36,FALSE),"N/A")</f>
        <v>N/A</v>
      </c>
      <c r="AD63" s="122" t="str">
        <f>IFERROR(VLOOKUP($B63,'LOD 300 - ADMN'!$B:AN,39,FALSE),"N/A")</f>
        <v>N/A</v>
      </c>
      <c r="AE63" s="122" t="str">
        <f>IFERROR(VLOOKUP($B63,'LOD 300 - ADMN'!$B:AQ,42,FALSE),"N/A")</f>
        <v>N/A</v>
      </c>
      <c r="AF63" s="122" t="str">
        <f>IFERROR(VLOOKUP($B63,'LOD 300 - ADMN'!$B:AT,45,FALSE),"N/A")</f>
        <v>N/A</v>
      </c>
      <c r="AG63" s="122" t="str">
        <f>IFERROR(VLOOKUP($B63,'LOD 300 - ADMN'!$B:AW,48,FALSE),"N/A")</f>
        <v>N/A</v>
      </c>
      <c r="AH63" s="122" t="str">
        <f>IFERROR(VLOOKUP($B63,'LOD 300 - ADMN'!$B:AZ,51,FALSE),"N/A")</f>
        <v>N/A</v>
      </c>
      <c r="AI63" s="122" t="str">
        <f>IFERROR(VLOOKUP($B63,'LOD 300 - ADMN'!$B:BC,54,FALSE),"N/A")</f>
        <v>N/A</v>
      </c>
      <c r="AJ63" s="87" t="str">
        <f>IFERROR(VLOOKUP($B63,'LOD 300 - ADMN'!$B:BF,57,FALSE),"N/A")</f>
        <v>N/A</v>
      </c>
      <c r="AK63" s="87" t="str">
        <f>IFERROR(VLOOKUP($B63,'LOD 300 - ADMN'!$B:EP,60,FALSE),"N/A")</f>
        <v>N/A</v>
      </c>
      <c r="AL63" s="87" t="str">
        <f>IFERROR(VLOOKUP($B63,'LOD 300 - ADMN'!$B:EQ,63,FALSE),"N/A")</f>
        <v>N/A</v>
      </c>
      <c r="AM63" s="87" t="str">
        <f>IFERROR(VLOOKUP($B63,'LOD 300 - ADMN'!$B:BO,66,FALSE),"N/A")</f>
        <v>N/A</v>
      </c>
      <c r="AN63" s="87" t="str">
        <f>IFERROR(VLOOKUP($B63,'LOD 300 - ADMN'!$B:BR,69,FALSE),"N/A")</f>
        <v>N/A</v>
      </c>
      <c r="AO63" s="87" t="str">
        <f>IFERROR(VLOOKUP($B63,'LOD 300 - ADMN'!$B:BU,72,FALSE),"N/A")</f>
        <v>N/A</v>
      </c>
      <c r="AP63" s="87" t="str">
        <f>IFERROR(VLOOKUP($B63,'LOD 300 - ADMN'!$B:BX,75,FALSE),"N/A")</f>
        <v>N/A</v>
      </c>
      <c r="AQ63" s="87" t="str">
        <f>IFERROR(VLOOKUP($B63,'LOD 300 - ADMN'!$B:CA,78,FALSE),"N/A")</f>
        <v>N/A</v>
      </c>
      <c r="AR63" s="87" t="str">
        <f>IFERROR(VLOOKUP($B63,'LOD 300 - ADMN'!$B:CD,81,FALSE),"N/A")</f>
        <v>N/A</v>
      </c>
      <c r="AS63" s="87" t="str">
        <f>IFERROR(VLOOKUP($B63,'LOD 300 - ADMN'!$B:CG,84,FALSE),"N/A")</f>
        <v>N/A</v>
      </c>
      <c r="AT63" s="87" t="str">
        <f>IFERROR(VLOOKUP($B63,'LOD 300 - ADMN'!$B:CJ,87,FALSE),"N/A")</f>
        <v>N/A</v>
      </c>
      <c r="AU63" s="88" t="str">
        <f>IFERROR(VLOOKUP($B63,'LOD 300 - ADMN'!$B:CM,90,FALSE),"N/A")</f>
        <v>N/A</v>
      </c>
      <c r="AV63" s="88" t="str">
        <f>IFERROR(VLOOKUP($B63,'LOD 300 - ADMN'!$B:CP,93,FALSE),"N/A")</f>
        <v>N/A</v>
      </c>
      <c r="AW63" s="88" t="str">
        <f>IFERROR(VLOOKUP($B63,'LOD 300 - ADMN'!$B:CS,96,FALSE),"N/A")</f>
        <v>N/A</v>
      </c>
      <c r="AX63" s="88" t="str">
        <f>IFERROR(VLOOKUP($B63,'LOD 300 - ADMN'!$B:CV,99,FALSE),"N/A")</f>
        <v>N/A</v>
      </c>
      <c r="AY63" s="88" t="str">
        <f>IFERROR(VLOOKUP($B63,'LOD 300 - ADMN'!$B:CY,102,FALSE),"N/A")</f>
        <v>N/A</v>
      </c>
      <c r="AZ63" s="88" t="str">
        <f>IFERROR(VLOOKUP($B63,'LOD 300 - ADMN'!$B:DB,105,FALSE),"N/A")</f>
        <v>N/A</v>
      </c>
      <c r="BA63" s="87" t="str">
        <f>IFERROR(VLOOKUP($B63,'LOD 300 - ADMN'!$B:DE,108,FALSE),"N/A")</f>
        <v>N/A</v>
      </c>
      <c r="BB63" s="87" t="str">
        <f>IFERROR(VLOOKUP($B63,'LOD 300 - ADMN'!$B:DH,111,FALSE),"N/A")</f>
        <v>N/A</v>
      </c>
      <c r="BC63" s="87" t="str">
        <f>IFERROR(VLOOKUP($B63,'LOD 300 - ADMN'!$B:DK,114,FALSE),"N/A")</f>
        <v>N/A</v>
      </c>
      <c r="BD63" s="87" t="str">
        <f>IFERROR(VLOOKUP($B63,'LOD 300 - ADMN'!$B:DN,117,FALSE),"N/A")</f>
        <v>N/A</v>
      </c>
      <c r="BE63" s="87" t="str">
        <f>IFERROR(VLOOKUP($B63,'LOD 300 - ADMN'!$B:DQ,120,FALSE),"N/A")</f>
        <v>N/A</v>
      </c>
      <c r="BF63" s="87" t="str">
        <f>IFERROR(VLOOKUP($B63,'LOD 300 - ADMN'!$B:DT,123,FALSE),"N/A")</f>
        <v>N/A</v>
      </c>
      <c r="BG63" s="87" t="str">
        <f>IFERROR(VLOOKUP($B63,'LOD 300 - ADMN'!$B:DW,126,FALSE),"N/A")</f>
        <v>N/A</v>
      </c>
      <c r="BH63" s="87" t="str">
        <f>IFERROR(VLOOKUP($B63,'LOD 300 - ADMN'!$B:DZ,129,FALSE),"N/A")</f>
        <v>N/A</v>
      </c>
      <c r="BI63" s="87" t="str">
        <f>IFERROR(VLOOKUP($B63,'LOD 300 - ADMN'!$B:EC,132,FALSE),"N/A")</f>
        <v>N/A</v>
      </c>
      <c r="BJ63" s="90" t="str">
        <f>IFERROR(__xludf.DUMMYFUNCTION("IFERROR(
  MAX(FILTER(X63:BI63, ISNUMBER(X63:BI63))),
  BI63
)"),"N/A")</f>
        <v>N/A</v>
      </c>
      <c r="BK63" s="91" t="str">
        <f>IFERROR(VLOOKUP($B63,'LOD 300 - COLO1'!$B:S,18,FALSE),"N/A")</f>
        <v>N/A</v>
      </c>
      <c r="BL63" s="92" t="str">
        <f>IFERROR(VLOOKUP($B63,'LOD 300 - COLO1'!$B:V,21,FALSE),"N/A")</f>
        <v>N/A</v>
      </c>
      <c r="BM63" s="92" t="str">
        <f>IFERROR(VLOOKUP($B63,'LOD 300 - COLO1'!$B:Y,24,FALSE),"N/A")</f>
        <v>N/A</v>
      </c>
      <c r="BN63" s="92" t="str">
        <f>IFERROR(VLOOKUP($B63,'LOD 300 - COLO1'!$B:AB,27,FALSE),"N/A")</f>
        <v>N/A</v>
      </c>
      <c r="BO63" s="92" t="str">
        <f>IFERROR(VLOOKUP($B63,'LOD 300 - COLO1'!$B:AE,30,FALSE),"N/A")</f>
        <v>N/A</v>
      </c>
      <c r="BP63" s="92" t="str">
        <f>IFERROR(VLOOKUP($B63,'LOD 300 - COLO1'!$B:AH,33,FALSE),"N/A")</f>
        <v>N/A</v>
      </c>
      <c r="BQ63" s="92" t="str">
        <f>IFERROR(VLOOKUP($B63,'LOD 300 - COLO1'!$B:AK,36,FALSE),"N/A")</f>
        <v>N/A</v>
      </c>
      <c r="BR63" s="92" t="str">
        <f>IFERROR(VLOOKUP($B63,'LOD 300 - COLO1'!$B:AN,39,FALSE),"N/A")</f>
        <v>N/A</v>
      </c>
      <c r="BS63" s="92" t="str">
        <f>IFERROR(VLOOKUP($B63,'LOD 300 - COLO1'!$B:AQ,42,FALSE),"N/A")</f>
        <v>N/A</v>
      </c>
      <c r="BT63" s="92" t="str">
        <f>IFERROR(VLOOKUP($B63,'LOD 300 - COLO1'!$B:AT,45,FALSE),"N/A")</f>
        <v>N/A</v>
      </c>
      <c r="BU63" s="92" t="str">
        <f>IFERROR(VLOOKUP($B63,'LOD 300 - COLO1'!$B:AW,48,FALSE),"N/A")</f>
        <v>N/A</v>
      </c>
      <c r="BV63" s="92" t="str">
        <f>IFERROR(VLOOKUP($B63,'LOD 300 - COLO1'!$B:AZ,51,FALSE),"N/A")</f>
        <v>N/A</v>
      </c>
      <c r="BW63" s="92" t="str">
        <f>IFERROR(VLOOKUP($B63,'LOD 300 - COLO1'!$B:BC,54,FALSE),"N/A")</f>
        <v>N/A</v>
      </c>
      <c r="BX63" s="94" t="str">
        <f>IFERROR(VLOOKUP($B63,'LOD 300 - COLO1'!$B:BF,57,FALSE),"N/A")</f>
        <v>N/A</v>
      </c>
      <c r="BY63" s="94" t="str">
        <f>IFERROR(VLOOKUP($B63,'LOD 300 - COLO1'!$B:BI,60,FALSE),"N/A")</f>
        <v>N/A</v>
      </c>
      <c r="BZ63" s="95" t="str">
        <f>IFERROR(VLOOKUP($B63,'LOD 300 - COLO1'!$B:BL,63,FALSE),"N/A")</f>
        <v>N/A</v>
      </c>
      <c r="CA63" s="86" t="str">
        <f>IFERROR(VLOOKUP($B63,'LOD 300 - COLO1'!$B:BO,66,FALSE),"N/A")</f>
        <v>N/A</v>
      </c>
      <c r="CB63" s="86" t="str">
        <f>IFERROR(VLOOKUP($B63,'LOD 300 - COLO1'!$B:BR,69,FALSE),"N/A")</f>
        <v>N/A</v>
      </c>
      <c r="CC63" s="86" t="str">
        <f>IFERROR(VLOOKUP($B63,'LOD 300 - COLO1'!$B:BU,72,FALSE),"N/A")</f>
        <v>N/A</v>
      </c>
      <c r="CD63" s="86" t="str">
        <f>IFERROR(VLOOKUP($B63,'LOD 300 - COLO1'!$B:BX,75,FALSE),"N/A")</f>
        <v>N/A</v>
      </c>
      <c r="CE63" s="86" t="str">
        <f>IFERROR(VLOOKUP($B63,'LOD 300 - COLO1'!$B:CA,78,FALSE),"N/A")</f>
        <v>N/A</v>
      </c>
      <c r="CF63" s="87" t="str">
        <f>IFERROR(VLOOKUP($B63,'LOD 300 - COLO1'!$B:CD,81,FALSE),"N/A")</f>
        <v>N/A</v>
      </c>
      <c r="CG63" s="86" t="str">
        <f>IFERROR(VLOOKUP($B63,'LOD 300 - COLO1'!$B:CG,84,FALSE),"N/A")</f>
        <v>N/A</v>
      </c>
      <c r="CH63" s="87" t="str">
        <f>IFERROR(VLOOKUP($B63,'LOD 300 - COLO1'!$B:CJ,87,FALSE),"N/A")</f>
        <v>N/A</v>
      </c>
      <c r="CI63" s="88" t="str">
        <f>IFERROR(VLOOKUP($B63,'LOD 300 - COLO1'!$B:CM,90,FALSE),"N/A")</f>
        <v>N/A</v>
      </c>
      <c r="CJ63" s="88" t="str">
        <f>IFERROR(VLOOKUP($B63,'LOD 300 - COLO1'!$B:CP,93,FALSE),"N/A")</f>
        <v>N/A</v>
      </c>
      <c r="CK63" s="88" t="str">
        <f>IFERROR(VLOOKUP($B63,'LOD 300 - COLO1'!$B:CS,96,FALSE),"N/A")</f>
        <v>N/A</v>
      </c>
      <c r="CL63" s="88" t="str">
        <f>IFERROR(VLOOKUP($B63,'LOD 300 - COLO1'!$B:CV,99,FALSE),"N/A")</f>
        <v>N/A</v>
      </c>
      <c r="CM63" s="88" t="str">
        <f>IFERROR(VLOOKUP($B63,'LOD 300 - COLO1'!$B:CY,102,FALSE),"N/A")</f>
        <v>N/A</v>
      </c>
      <c r="CN63" s="89" t="str">
        <f>IFERROR(VLOOKUP($B63,'LOD 300 - COLO1'!$B:DB,105,FALSE),"N/A")</f>
        <v>N/A</v>
      </c>
      <c r="CO63" s="87" t="str">
        <f>IFERROR(VLOOKUP($B63,'LOD 300 - COLO1'!$B:EE,108,FALSE),"N/A")</f>
        <v>N/A</v>
      </c>
      <c r="CP63" s="87" t="str">
        <f>IFERROR(VLOOKUP($B63,'LOD 300 - COLO1'!$B:EH,111,FALSE),"N/A")</f>
        <v>N/A</v>
      </c>
      <c r="CQ63" s="87" t="str">
        <f>IFERROR(VLOOKUP($B63,'LOD 300 - COLO1'!$B:EK,114,FALSE),"N/A")</f>
        <v>N/A</v>
      </c>
      <c r="CR63" s="87" t="str">
        <f>IFERROR(VLOOKUP($B63,'LOD 300 - COLO1'!$B:EN,117,FALSE),"N/A")</f>
        <v>N/A</v>
      </c>
      <c r="CS63" s="87" t="str">
        <f>IFERROR(VLOOKUP($B63,'LOD 300 - COLO1'!$B:EQ,120,FALSE),"N/A")</f>
        <v>N/A</v>
      </c>
      <c r="CT63" s="87" t="str">
        <f>IFERROR(VLOOKUP($B63,'LOD 300 - COLO1'!$B:ET,123,FALSE),"N/A")</f>
        <v>N/A</v>
      </c>
      <c r="CU63" s="87" t="str">
        <f>IFERROR(VLOOKUP($B63,'LOD 300 - COLO1'!$B:EW,126,FALSE),"N/A")</f>
        <v>N/A</v>
      </c>
      <c r="CV63" s="87" t="str">
        <f>IFERROR(VLOOKUP($B63,'LOD 300 - COLO1'!$B:EZ,129,FALSE),"N/A")</f>
        <v>N/A</v>
      </c>
      <c r="CW63" s="87" t="str">
        <f>IFERROR(VLOOKUP($B63,'LOD 300 - COLO1'!$B:FC,132,FALSE),"N/A")</f>
        <v>N/A</v>
      </c>
      <c r="CX63" s="96" t="str">
        <f>IFERROR(__xludf.DUMMYFUNCTION("IFERROR(
  MAX(FILTER(BK63:CW63, ISNUMBER(BK63:CW63))),
  CW63
)"),"N/A")</f>
        <v>N/A</v>
      </c>
      <c r="CY63" s="104" t="str">
        <f>IFERROR(VLOOKUP($B63,'LOD 300 - COLO2'!$B:S,18,FALSE),"N/A")</f>
        <v>N/A</v>
      </c>
      <c r="CZ63" s="117" t="str">
        <f>IFERROR(VLOOKUP($B63,'LOD 300 - COLO2'!$B:V,21,FALSE),"N/A")</f>
        <v>N/A</v>
      </c>
      <c r="DA63" s="117" t="str">
        <f>IFERROR(VLOOKUP($B63,'LOD 300 - COLO2'!$B:Y,24,FALSE),"N/A")</f>
        <v>N/A</v>
      </c>
      <c r="DB63" s="117" t="str">
        <f>IFERROR(VLOOKUP($B63,'LOD 300 - COLO2'!$B:AB,27,FALSE),"N/A")</f>
        <v>N/A</v>
      </c>
      <c r="DC63" s="92" t="str">
        <f>IFERROR(VLOOKUP($B63,'LOD 300 - COLO2'!$B:AE,30,FALSE),"N/A")</f>
        <v>N/A</v>
      </c>
      <c r="DD63" s="120" t="str">
        <f>IFERROR(VLOOKUP($B63,'LOD 300 - COLO2'!$B:AH,33,FALSE),"N/A")</f>
        <v>N/A</v>
      </c>
      <c r="DE63" s="117" t="str">
        <f>IFERROR(VLOOKUP($B63,'LOD 300 - COLO2'!$B:AK,36,FALSE),"N/A")</f>
        <v>N/A</v>
      </c>
      <c r="DF63" s="117" t="str">
        <f>IFERROR(VLOOKUP($B63,'LOD 300 - COLO2'!$B:AN,39,FALSE),"N/A")</f>
        <v>N/A</v>
      </c>
      <c r="DG63" s="119" t="str">
        <f>IFERROR(VLOOKUP($B63,'LOD 300 - COLO2'!$B:AQ,42,FALSE),"N/A")</f>
        <v>N/A</v>
      </c>
      <c r="DH63" s="87" t="str">
        <f>IFERROR(VLOOKUP($B63,'LOD 300 - COLO2'!$B:AT,45,FALSE),"N/A")</f>
        <v>N/A</v>
      </c>
      <c r="DI63" s="94" t="str">
        <f>IFERROR(VLOOKUP($B63,'LOD 300 - COLO2'!$B:AW,48,FALSE),"N/A")</f>
        <v>N/A</v>
      </c>
      <c r="DJ63" s="95" t="str">
        <f>IFERROR(VLOOKUP($B63,'LOD 300 - COLO2'!$B:AZ,51,FALSE),"N/A")</f>
        <v>N/A</v>
      </c>
      <c r="DK63" s="86" t="str">
        <f>IFERROR(VLOOKUP($B63,'LOD 300 - COLO2'!$B:BC,54,FALSE),"N/A")</f>
        <v>N/A</v>
      </c>
      <c r="DL63" s="86" t="str">
        <f>IFERROR(VLOOKUP($B63,'LOD 300 - COLO2'!$B:BF,57,FALSE),"N/A")</f>
        <v>N/A</v>
      </c>
      <c r="DM63" s="86" t="str">
        <f>IFERROR(VLOOKUP($B63,'LOD 300 - COLO2'!$B:BI,60,FALSE),"N/A")</f>
        <v>N/A</v>
      </c>
      <c r="DN63" s="86" t="str">
        <f>IFERROR(VLOOKUP($B63,'LOD 300 - COLO2'!$B:BL,63,FALSE),"N/A")</f>
        <v>N/A</v>
      </c>
      <c r="DO63" s="86" t="str">
        <f>IFERROR(VLOOKUP($B63,'LOD 300 - COLO2'!$B:BO,66,FALSE),"N/A")</f>
        <v>N/A</v>
      </c>
      <c r="DP63" s="87" t="str">
        <f>IFERROR(VLOOKUP($B63,'LOD 300 - COLO2'!$B:BR,69,FALSE),"N/A")</f>
        <v>N/A</v>
      </c>
      <c r="DQ63" s="87" t="str">
        <f>IFERROR(VLOOKUP($B63,'LOD 300 - COLO2'!$B:BU,72,FALSE),"N/A")</f>
        <v>N/A</v>
      </c>
      <c r="DR63" s="87" t="str">
        <f>IFERROR(VLOOKUP($B63,'LOD 300 - COLO2'!$B:BX,75,FALSE),"N/A")</f>
        <v>N/A</v>
      </c>
      <c r="DS63" s="98" t="str">
        <f>IFERROR(VLOOKUP($B63,'LOD 300 - COLO2'!$B:CA,78,FALSE),"N/A")</f>
        <v>N/A</v>
      </c>
      <c r="DT63" s="98" t="str">
        <f>IFERROR(VLOOKUP($B63,'LOD 300 - COLO2'!$B:CD,81,FALSE),"N/A")</f>
        <v>N/A</v>
      </c>
      <c r="DU63" s="98" t="str">
        <f>IFERROR(VLOOKUP($B63,'LOD 300 - COLO2'!$B:CG,84,FALSE),"N/A")</f>
        <v>N/A</v>
      </c>
      <c r="DV63" s="98" t="str">
        <f>IFERROR(VLOOKUP($B63,'LOD 300 - COLO2'!$B:CJ,87,FALSE),"N/A")</f>
        <v>N/A</v>
      </c>
      <c r="DW63" s="98" t="str">
        <f>IFERROR(VLOOKUP($B63,'LOD 300 - COLO2'!$B:CM,90,FALSE),"N/A")</f>
        <v>N/A</v>
      </c>
      <c r="DX63" s="98" t="str">
        <f>IFERROR(VLOOKUP($B63,'LOD 300 - COLO2'!$B:CP,93,FALSE),"N/A")</f>
        <v>N/A</v>
      </c>
      <c r="DY63" s="87" t="str">
        <f>IFERROR(VLOOKUP($B63,'LOD 300 - COLO2'!$B:CS,96,FALSE),"N/A")</f>
        <v>N/A</v>
      </c>
      <c r="DZ63" s="87" t="str">
        <f>IFERROR(VLOOKUP($B63,'LOD 300 - COLO2'!$B:CV,99,FALSE),"N/A")</f>
        <v>N/A</v>
      </c>
      <c r="EA63" s="87" t="str">
        <f>IFERROR(VLOOKUP($B63,'LOD 300 - COLO2'!$B:DB,105,FALSE),"N/A")</f>
        <v>N/A</v>
      </c>
      <c r="EB63" s="87" t="str">
        <f>IFERROR(VLOOKUP($B63,'LOD 300 - COLO2'!$B:DB,105,FALSE),"N/A")</f>
        <v>N/A</v>
      </c>
      <c r="EC63" s="87" t="str">
        <f>IFERROR(VLOOKUP($B63,'LOD 300 - COLO2'!$B:DE,108,FALSE),"N/A")</f>
        <v>N/A</v>
      </c>
      <c r="ED63" s="87" t="str">
        <f>IFERROR(VLOOKUP($B63,'LOD 300 - COLO2'!$B:DH,111,FALSE),"N/A")</f>
        <v>N/A</v>
      </c>
      <c r="EE63" s="87" t="str">
        <f>IFERROR(VLOOKUP($B63,'LOD 300 - COLO2'!$B:DK,114,FALSE),"N/A")</f>
        <v>N/A</v>
      </c>
      <c r="EF63" s="87" t="str">
        <f>IFERROR(VLOOKUP($B63,'LOD 300 - COLO2'!$B:DN,117,FALSE),"N/A")</f>
        <v>N/A</v>
      </c>
      <c r="EG63" s="87" t="str">
        <f>IFERROR(VLOOKUP($B63,'LOD 300 - COLO2'!$B:DQ,120,FALSE),"N/A")</f>
        <v>N/A</v>
      </c>
      <c r="EH63" s="99" t="str">
        <f>IFERROR(__xludf.DUMMYFUNCTION("IFERROR(
  MAX(FILTER(CZ63:EG63, ISNUMBER(CZ63:EG63))),
  EG63
)"),"N/A")</f>
        <v>N/A</v>
      </c>
      <c r="EI63" s="100" t="str">
        <f>IFERROR(VLOOKUP($B63,'LOD 300 - COLO3'!$B:R,17,FALSE),"N/A")</f>
        <v>N/A</v>
      </c>
      <c r="EJ63" s="127" t="str">
        <f>IFERROR(VLOOKUP($B63,'LOD 300 - COLO3'!$B:U,20,FALSE),"N/A")</f>
        <v>N/A</v>
      </c>
      <c r="EK63" s="127" t="str">
        <f>IFERROR(VLOOKUP($B63,'LOD 300 - COLO3'!$B:X,23,FALSE),"N/A")</f>
        <v>N/A</v>
      </c>
      <c r="EL63" s="127" t="str">
        <f>IFERROR(VLOOKUP($B63,'LOD 300 - COLO3'!$B:AA,26,FALSE),"N/A")</f>
        <v>N/A</v>
      </c>
      <c r="EM63" s="127" t="str">
        <f>IFERROR(VLOOKUP($B63,'LOD 300 - COLO3'!$B:AD,29,FALSE),"N/A")</f>
        <v>N/A</v>
      </c>
      <c r="EN63" s="127" t="str">
        <f>IFERROR(VLOOKUP($B63,'LOD 300 - COLO3'!$B:AG,32,FALSE),"N/A")</f>
        <v>N/A</v>
      </c>
      <c r="EO63" s="127" t="str">
        <f>IFERROR(VLOOKUP($B63,'LOD 300 - COLO3'!$B:AJ,35,FALSE),"N/A")</f>
        <v>N/A</v>
      </c>
      <c r="EP63" s="100" t="str">
        <f>IFERROR(VLOOKUP($B63,'LOD 300 - COLO3'!$B:AM,38,FALSE),"N/A")</f>
        <v>N/A</v>
      </c>
      <c r="EQ63" s="100" t="str">
        <f>IFERROR(VLOOKUP($B63,'LOD 300 - COLO3'!$B:AP,41,FALSE),"N/A")</f>
        <v>N/A</v>
      </c>
      <c r="ER63" s="100" t="str">
        <f>IFERROR(VLOOKUP($B63,'LOD 300 - COLO3'!$B:AS,44,FALSE),"N/A")</f>
        <v>N/A</v>
      </c>
      <c r="ES63" s="100" t="str">
        <f>IFERROR(VLOOKUP($B63,'LOD 300 - COLO3'!$B:AV,47,FALSE),"N/A")</f>
        <v>N/A</v>
      </c>
      <c r="ET63" s="100" t="str">
        <f>IFERROR(VLOOKUP($B63,'LOD 300 - COLO3'!$B:AY,50,FALSE),"N/A")</f>
        <v>N/A</v>
      </c>
      <c r="EU63" s="100" t="str">
        <f>IFERROR(VLOOKUP($B63,'LOD 300 - COLO3'!$B:BB,53,FALSE),"N/A")</f>
        <v>N/A</v>
      </c>
      <c r="EV63" s="100" t="str">
        <f>IFERROR(VLOOKUP($B63,'LOD 300 - COLO3'!$B:BE,56,FALSE),"N/A")</f>
        <v>N/A</v>
      </c>
      <c r="EW63" s="100" t="str">
        <f>IFERROR(VLOOKUP($B63,'LOD 300 - COLO3'!$B:BL,59,FALSE),"N/A")</f>
        <v>N/A</v>
      </c>
      <c r="EX63" s="100" t="str">
        <f>IFERROR(VLOOKUP($B63,'LOD 300 - COLO3'!$B:BO,62,FALSE),"N/A")</f>
        <v>N/A</v>
      </c>
      <c r="EY63" s="103" t="str">
        <f>IFERROR(__xludf.DUMMYFUNCTION("IFERROR(
  MAX(FILTER(EI63:EX63, ISNUMBER(EI63:EX63))),
  EX63
)"),"N/A")</f>
        <v>N/A</v>
      </c>
      <c r="EZ63" s="104" t="str">
        <f>IFERROR(VLOOKUP($B63,'LOD 300 - COLO4'!$B:BT,17,FALSE),"N/A")</f>
        <v>N/A</v>
      </c>
      <c r="FA63" s="103" t="str">
        <f>IFERROR(__xludf.DUMMYFUNCTION("IFERROR(
  MAX(FILTER(EZ63, ISNUMBER(EZ63))),
  EZ63
)"),"N/A")</f>
        <v>N/A</v>
      </c>
      <c r="FB63" s="121" t="str">
        <f>IFERROR(VLOOKUP($B63,'LOD 300 - SITE'!$B:S,18,FALSE),"N/A")</f>
        <v>NOT PUBLISHED</v>
      </c>
      <c r="FC63" s="122" t="str">
        <f>IFERROR(VLOOKUP($B63,'LOD 300 - SITE'!$B:V,21,FALSE),"N/A")</f>
        <v>NOT PUBLISHED</v>
      </c>
      <c r="FD63" s="122" t="str">
        <f>IFERROR(VLOOKUP($B63,'LOD 300 - SITE'!$B:Y,24,FALSE),"N/A")</f>
        <v>NOT PUBLISHED</v>
      </c>
      <c r="FE63" s="122" t="str">
        <f>IFERROR(VLOOKUP($B63,'LOD 300 - SITE'!$B:AB,27,FALSE),"N/A")</f>
        <v>NOT PUBLISHED</v>
      </c>
      <c r="FF63" s="122" t="str">
        <f>IFERROR(VLOOKUP($B63,'LOD 300 - SITE'!$B:AE,30,FALSE),"N/A")</f>
        <v>NOT PUBLISHED</v>
      </c>
      <c r="FG63" s="122" t="str">
        <f>IFERROR(VLOOKUP($B63,'LOD 300 - SITE'!$B:AH,33,FALSE),"N/A")</f>
        <v>NOT PUBLISHED</v>
      </c>
      <c r="FH63" s="122">
        <f>IFERROR(VLOOKUP($B63,'LOD 300 - SITE'!$B:AK,36,FALSE),"N/A")</f>
        <v>0.37</v>
      </c>
      <c r="FI63" s="122">
        <f>IFERROR(VLOOKUP($B63,'LOD 300 - SITE'!$B:AN,39,FALSE),"N/A")</f>
        <v>0.72</v>
      </c>
      <c r="FJ63" s="122">
        <f>IFERROR(VLOOKUP($B63,'LOD 300 - SITE'!$B:AQ,42,FALSE),"N/A")</f>
        <v>0.89</v>
      </c>
      <c r="FK63" s="122">
        <f>IFERROR(VLOOKUP($B63,'LOD 300 - SITE'!$B:AT,45,FALSE),"N/A")</f>
        <v>0.95</v>
      </c>
      <c r="FL63" s="123" t="str">
        <f>IFERROR(VLOOKUP($B63,'LOD 300 - SITE'!$B:AW,48,FALSE),"N/A")</f>
        <v>NEXT ROUND</v>
      </c>
      <c r="FM63" s="87">
        <f>IFERROR(VLOOKUP($B63,'LOD 300 - SITE'!$B:AZ,51,FALSE),"N/A")</f>
        <v>1</v>
      </c>
      <c r="FN63" s="94">
        <f>IFERROR(VLOOKUP($B63,'LOD 300 - SITE'!$B:BC,54,FALSE),"N/A")</f>
        <v>1</v>
      </c>
      <c r="FO63" s="95">
        <f>IFERROR(VLOOKUP($B63,'LOD 300 - SITE'!$B:BF,57,FALSE),"N/A")</f>
        <v>1</v>
      </c>
      <c r="FP63" s="86">
        <f>IFERROR(VLOOKUP($B63,'LOD 300 - SITE'!$B:BI,60,FALSE),"N/A")</f>
        <v>1</v>
      </c>
      <c r="FQ63" s="86">
        <f>IFERROR(VLOOKUP($B63,'LOD 300 - SITE'!$B:BL,63,FALSE),"N/A")</f>
        <v>1</v>
      </c>
      <c r="FR63" s="86">
        <f>IFERROR(VLOOKUP($B63,'LOD 300 - SITE'!$B:BO,66,FALSE),"N/A")</f>
        <v>1</v>
      </c>
      <c r="FS63" s="86">
        <f>IFERROR(VLOOKUP($B63,'LOD 300 - SITE'!$B:BR,69,FALSE),"N/A")</f>
        <v>1</v>
      </c>
      <c r="FT63" s="86">
        <f>IFERROR(VLOOKUP($B63,'LOD 300 - SITE'!$B:BU,72,FALSE),"N/A")</f>
        <v>1</v>
      </c>
      <c r="FU63" s="86">
        <f>IFERROR(VLOOKUP($B63,'LOD 300 - SITE'!$B:BX,75,FALSE),"N/A")</f>
        <v>1</v>
      </c>
      <c r="FV63" s="86">
        <f>IFERROR(VLOOKUP($B63,'LOD 300 - SITE'!$B:CA,78,FALSE),"N/A")</f>
        <v>1</v>
      </c>
      <c r="FW63" s="87">
        <f>IFERROR(VLOOKUP($B63,'LOD 300 - SITE'!$B:CD,81,FALSE),"N/A")</f>
        <v>1</v>
      </c>
      <c r="FX63" s="108">
        <f>IFERROR(VLOOKUP($B63,'LOD 300 - SITE'!$B:CG,84,FALSE),"N/A")</f>
        <v>1</v>
      </c>
      <c r="FY63" s="108">
        <f>IFERROR(VLOOKUP($B63,'LOD 300 - SITE'!$B:CJ,87,FALSE),"N/A")</f>
        <v>1</v>
      </c>
      <c r="FZ63" s="108">
        <f>IFERROR(VLOOKUP($B63,'LOD 300 - SITE'!$B:CM,90,FALSE),"N/A")</f>
        <v>1</v>
      </c>
      <c r="GA63" s="108">
        <f>IFERROR(VLOOKUP($B63,'LOD 300 - SITE'!$B:CP,93,FALSE),"N/A")</f>
        <v>1</v>
      </c>
      <c r="GB63" s="108">
        <f>IFERROR(VLOOKUP($B63,'LOD 300 - SITE'!$B:CS,96,FALSE),"N/A")</f>
        <v>1</v>
      </c>
      <c r="GC63" s="109">
        <f>IFERROR(VLOOKUP($B63,'LOD 300 - SITE'!$B:CV,99,FALSE),"N/A")</f>
        <v>1</v>
      </c>
      <c r="GD63" s="87">
        <f>IFERROR(VLOOKUP($B63,'LOD 300 - SITE'!$B:CY,102,FALSE),"N/A")</f>
        <v>1</v>
      </c>
      <c r="GE63" s="87">
        <f>IFERROR(VLOOKUP($B63,'LOD 300 - SITE'!$B:DB,105,FALSE),"N/A")</f>
        <v>1</v>
      </c>
      <c r="GF63" s="87">
        <f>IFERROR(VLOOKUP($B63,'LOD 300 - SITE'!$B:DE,108,FALSE),"N/A")</f>
        <v>1</v>
      </c>
      <c r="GG63" s="87">
        <f>IFERROR(VLOOKUP($B63,'LOD 300 - SITE'!$B:DH,111,FALSE),"N/A")</f>
        <v>1</v>
      </c>
      <c r="GH63" s="87">
        <f>IFERROR(VLOOKUP($B63,'LOD 300 - SITE'!$B:DK,114,FALSE),"N/A")</f>
        <v>1</v>
      </c>
      <c r="GI63" s="87">
        <f>IFERROR(VLOOKUP($B63,'LOD 300 - SITE'!$B:DN,117,FALSE),"N/A")</f>
        <v>0.97</v>
      </c>
      <c r="GJ63" s="87" t="str">
        <f>IFERROR(VLOOKUP($B63,'LOD 300 - SITE'!$B:DQ,120,FALSE),"N/A")</f>
        <v>NEXT ROUND</v>
      </c>
      <c r="GK63" s="87">
        <f>IFERROR(VLOOKUP($B63,'LOD 300 - SITE'!$B:DT,123,FALSE),"N/A")</f>
        <v>1</v>
      </c>
      <c r="GL63" s="87">
        <f>IFERROR(VLOOKUP($B63,'LOD 300 - SITE'!$B:DW,126,FALSE),"N/A")</f>
        <v>1</v>
      </c>
      <c r="GM63" s="110">
        <f>IFERROR(__xludf.DUMMYFUNCTION("IFERROR(
  MAX(FILTER(FB63:GL63, ISNUMBER(FB63:GL63))),
  GL63
)"),1.0)</f>
        <v>1</v>
      </c>
      <c r="GN63" s="68"/>
      <c r="GO63" s="68"/>
      <c r="GP63" s="68"/>
    </row>
    <row r="64" ht="15.0" hidden="1" customHeight="1">
      <c r="A64" s="60">
        <v>67.0</v>
      </c>
      <c r="B64" s="290" t="s">
        <v>229</v>
      </c>
      <c r="C64" s="291"/>
      <c r="D64" s="292"/>
      <c r="E64" s="292"/>
      <c r="F64" s="13"/>
      <c r="G64" s="292"/>
      <c r="H64" s="293"/>
      <c r="I64" s="294"/>
      <c r="J64" s="294"/>
      <c r="K64" s="292"/>
      <c r="L64" s="292"/>
      <c r="M64" s="295"/>
      <c r="N64" s="295"/>
      <c r="O64" s="295"/>
      <c r="P64" s="296"/>
      <c r="Q64" s="295"/>
      <c r="R64" s="295"/>
      <c r="S64" s="79" t="str">
        <f>IF(OR($D64="C345",$D64="C12A",$D64="DATA"),
   VLOOKUP($B64,'LOD 300 - COLO4'!B:S,14,FALSE),"N/A")</f>
        <v>N/A</v>
      </c>
      <c r="T64" s="76" t="str">
        <f>IF(OR($D64="C345",$D64="C12A",$D64="DATA"),
   VLOOKUP($B64,'LOD 300 - COLO3'!B:T,13,FALSE),"N/A")</f>
        <v>N/A</v>
      </c>
      <c r="U64" s="295"/>
      <c r="V64" s="292"/>
      <c r="W64" s="297"/>
      <c r="X64" s="298"/>
      <c r="Y64" s="298"/>
      <c r="Z64" s="298"/>
      <c r="AA64" s="298"/>
      <c r="AB64" s="298"/>
      <c r="AC64" s="298"/>
      <c r="AD64" s="298"/>
      <c r="AE64" s="298"/>
      <c r="AF64" s="298"/>
      <c r="AG64" s="298"/>
      <c r="AH64" s="298"/>
      <c r="AI64" s="298"/>
      <c r="AJ64" s="299"/>
      <c r="AK64" s="299"/>
      <c r="AL64" s="300"/>
      <c r="AM64" s="299"/>
      <c r="AN64" s="299"/>
      <c r="AO64" s="299"/>
      <c r="AP64" s="299"/>
      <c r="AQ64" s="299"/>
      <c r="AR64" s="299"/>
      <c r="AS64" s="299"/>
      <c r="AT64" s="299"/>
      <c r="AU64" s="299"/>
      <c r="AV64" s="300"/>
      <c r="AW64" s="300"/>
      <c r="AX64" s="300"/>
      <c r="AY64" s="300"/>
      <c r="AZ64" s="300"/>
      <c r="BA64" s="299"/>
      <c r="BB64" s="300"/>
      <c r="BC64" s="301"/>
      <c r="BD64" s="301"/>
      <c r="BE64" s="301"/>
      <c r="BF64" s="301"/>
      <c r="BG64" s="301"/>
      <c r="BH64" s="301"/>
      <c r="BI64" s="301"/>
      <c r="BJ64" s="302"/>
      <c r="BK64" s="303"/>
      <c r="BL64" s="303"/>
      <c r="BM64" s="303"/>
      <c r="BN64" s="303"/>
      <c r="BO64" s="303"/>
      <c r="BP64" s="303"/>
      <c r="BQ64" s="303"/>
      <c r="BR64" s="303"/>
      <c r="BS64" s="303"/>
      <c r="BT64" s="303"/>
      <c r="BU64" s="303"/>
      <c r="BV64" s="303"/>
      <c r="BW64" s="303"/>
      <c r="BX64" s="304"/>
      <c r="BY64" s="304"/>
      <c r="BZ64" s="305"/>
      <c r="CA64" s="306"/>
      <c r="CB64" s="306"/>
      <c r="CC64" s="306"/>
      <c r="CD64" s="306"/>
      <c r="CE64" s="306"/>
      <c r="CF64" s="299"/>
      <c r="CG64" s="305"/>
      <c r="CH64" s="299"/>
      <c r="CI64" s="299"/>
      <c r="CJ64" s="305"/>
      <c r="CK64" s="305"/>
      <c r="CL64" s="305"/>
      <c r="CM64" s="305"/>
      <c r="CN64" s="305"/>
      <c r="CO64" s="299"/>
      <c r="CP64" s="307"/>
      <c r="CQ64" s="305"/>
      <c r="CR64" s="305"/>
      <c r="CS64" s="305"/>
      <c r="CT64" s="305"/>
      <c r="CU64" s="305"/>
      <c r="CV64" s="305"/>
      <c r="CW64" s="305"/>
      <c r="CX64" s="302"/>
      <c r="CY64" s="308"/>
      <c r="CZ64" s="309"/>
      <c r="DA64" s="309"/>
      <c r="DB64" s="309"/>
      <c r="DC64" s="310"/>
      <c r="DD64" s="311"/>
      <c r="DE64" s="308"/>
      <c r="DF64" s="308"/>
      <c r="DG64" s="312"/>
      <c r="DH64" s="299"/>
      <c r="DI64" s="304"/>
      <c r="DJ64" s="305"/>
      <c r="DK64" s="306"/>
      <c r="DL64" s="306"/>
      <c r="DM64" s="306"/>
      <c r="DN64" s="306"/>
      <c r="DO64" s="306"/>
      <c r="DP64" s="299"/>
      <c r="DQ64" s="299"/>
      <c r="DR64" s="299"/>
      <c r="DS64" s="313"/>
      <c r="DT64" s="314"/>
      <c r="DU64" s="314"/>
      <c r="DV64" s="314"/>
      <c r="DW64" s="314"/>
      <c r="DX64" s="314"/>
      <c r="DY64" s="299"/>
      <c r="DZ64" s="300"/>
      <c r="EA64" s="301"/>
      <c r="EB64" s="301"/>
      <c r="EC64" s="301"/>
      <c r="ED64" s="301"/>
      <c r="EE64" s="301"/>
      <c r="EF64" s="301"/>
      <c r="EG64" s="301"/>
      <c r="EH64" s="301"/>
      <c r="EI64" s="299"/>
      <c r="EJ64" s="299"/>
      <c r="EK64" s="299"/>
      <c r="EL64" s="299"/>
      <c r="EM64" s="299"/>
      <c r="EN64" s="299"/>
      <c r="EO64" s="299"/>
      <c r="EP64" s="299"/>
      <c r="EQ64" s="299"/>
      <c r="ER64" s="306"/>
      <c r="ES64" s="306"/>
      <c r="ET64" s="306"/>
      <c r="EU64" s="306"/>
      <c r="EV64" s="306"/>
      <c r="EW64" s="306"/>
      <c r="EX64" s="306"/>
      <c r="EY64" s="306"/>
      <c r="EZ64" s="315"/>
      <c r="FA64" s="315"/>
      <c r="FB64" s="298"/>
      <c r="FC64" s="298"/>
      <c r="FD64" s="298"/>
      <c r="FE64" s="298"/>
      <c r="FF64" s="298"/>
      <c r="FG64" s="298"/>
      <c r="FH64" s="298"/>
      <c r="FI64" s="298"/>
      <c r="FJ64" s="298"/>
      <c r="FK64" s="298"/>
      <c r="FL64" s="316"/>
      <c r="FM64" s="299"/>
      <c r="FN64" s="304"/>
      <c r="FO64" s="305"/>
      <c r="FP64" s="306"/>
      <c r="FQ64" s="306"/>
      <c r="FR64" s="306"/>
      <c r="FS64" s="306"/>
      <c r="FT64" s="306"/>
      <c r="FU64" s="306"/>
      <c r="FV64" s="306"/>
      <c r="FW64" s="299"/>
      <c r="FX64" s="304"/>
      <c r="FY64" s="305"/>
      <c r="FZ64" s="305"/>
      <c r="GA64" s="305"/>
      <c r="GB64" s="305"/>
      <c r="GC64" s="305"/>
      <c r="GD64" s="299"/>
      <c r="GE64" s="307"/>
      <c r="GF64" s="305"/>
      <c r="GG64" s="305"/>
      <c r="GH64" s="305"/>
      <c r="GI64" s="305"/>
      <c r="GJ64" s="305"/>
      <c r="GK64" s="305"/>
      <c r="GL64" s="305"/>
      <c r="GM64" s="317"/>
      <c r="GN64" s="186"/>
      <c r="GO64" s="186"/>
      <c r="GP64" s="186"/>
    </row>
    <row r="65" ht="15.0" customHeight="1" outlineLevel="1">
      <c r="A65" s="60">
        <v>68.0</v>
      </c>
      <c r="B65" s="140" t="s">
        <v>230</v>
      </c>
      <c r="C65" s="70" t="s">
        <v>231</v>
      </c>
      <c r="D65" s="71" t="s">
        <v>85</v>
      </c>
      <c r="E65" s="146" t="s">
        <v>232</v>
      </c>
      <c r="F65" s="13">
        <v>1116.0</v>
      </c>
      <c r="G65" s="139" t="s">
        <v>232</v>
      </c>
      <c r="H65" s="139">
        <v>1116.0</v>
      </c>
      <c r="I65" s="74" t="str">
        <f>IFERROR(VLOOKUP(C62:C204,'R22 RELATÓRIO ACC'!B:F,5,FALSE),"NOT PUBLISHED")</f>
        <v>V15</v>
      </c>
      <c r="J65" s="74" t="str">
        <f>IFERROR(VLOOKUP(C62:C204,'R22 RELATÓRIO ACC'!B:P,15,FALSE),"NOT PUBLISHED")</f>
        <v>15/04/2026</v>
      </c>
      <c r="K65" s="141" t="str">
        <f>IFERROR(VLOOKUP(B62:B252,'RELATÓRIO ACC'!B:F,5,FALSE),"NOT PUBLISHED")</f>
        <v>V2</v>
      </c>
      <c r="L65" s="142" t="str">
        <f>IFERROR(VLOOKUP(B62:B252,'RELATÓRIO ACC'!B:P,15,FALSE),"NOT PUBLISHED")</f>
        <v>02/06/2026</v>
      </c>
      <c r="M65" s="76" t="str">
        <f>IF(OR($D65="UTLS",$D65="GUAR",$D65="STIR",$D65="PUMP",$D65="SITE"),
   VLOOKUP($B65,'LOD 300 - SITE'!B:M,12,FALSE),
   VLOOKUP($B65,'LOD 300 - ADMN'!B:M,12,FALSE)
)</f>
        <v>V9</v>
      </c>
      <c r="N65" s="77" t="str">
        <f>IF(OR($D65="UTLS",$D65="GUAR",$D65="STIR",$D65="PUMP",$D65="SITE"),
   VLOOKUP($B65,'LOD 300 - SITE'!B:N,13,FALSE),
   VLOOKUP($B65,'LOD 300 - ADMN'!B:N,13,FALSE)
)</f>
        <v>15/10/2025</v>
      </c>
      <c r="O65" s="78" t="str">
        <f>IF(OR($D65="UTLS",$D65="GUAR",$D65="STIR",$D65="PUMP",$D65="SITE"),
   VLOOKUP($B65,'LOD 300 - SITE'!B:O,14,FALSE),
   VLOOKUP($B65,'LOD 300 - ADMN'!B:O,14,FALSE)
)</f>
        <v>R22</v>
      </c>
      <c r="P65" s="79" t="str">
        <f>IF(OR($D65="C345",$D65="C12A",$D65="DATA"),
   VLOOKUP($B65,'LOD 300 - COLO3'!B:M,12,FALSE),"N/A")</f>
        <v>V14</v>
      </c>
      <c r="Q65" s="77" t="str">
        <f>IF(OR($D65="C345",$D65="C12A",$D65="DATA"),
   VLOOKUP($B65,'LOD 300 - COLO3'!B:N,13,FALSE),"N/A")</f>
        <v>26/03/2026</v>
      </c>
      <c r="R65" s="76" t="str">
        <f>IF(OR($D65="C345",$D65="C12A",$D65="DATA"),
   VLOOKUP($B65,'LOD 300 - COLO3'!B:O,14,FALSE),"N/A")</f>
        <v>R22</v>
      </c>
      <c r="S65" s="79" t="str">
        <f>IF(OR($D65="C345",$D65="C12A",$D65="DATA"),
   VLOOKUP($B65,'LOD 300 - COLO4'!B:M,12,FALSE),"N/A")</f>
        <v>N/A</v>
      </c>
      <c r="T65" s="76" t="str">
        <f>IF(OR($D65="C345",$D65="C12A",$D65="DATA"),
   VLOOKUP($B65,'LOD 300 - COLO4'!B:T,13,FALSE),"N/A")</f>
        <v>N/A</v>
      </c>
      <c r="U65" s="81">
        <f>IF(OR($D65="C345",$D65="C12A",$D65="DATA"),
   VLOOKUP($B65,'LOD 300 - COLO4'!B:U,17,FALSE),"N/A")</f>
        <v>0</v>
      </c>
      <c r="V65" s="126" t="s">
        <v>91</v>
      </c>
      <c r="W65" s="144" t="str">
        <f>IFERROR(VLOOKUP($B65,'LOD 300 - ADMN'!$B:S,18,FALSE),"N/A")</f>
        <v>NOT PUBLISHED</v>
      </c>
      <c r="X65" s="122" t="str">
        <f>IFERROR(VLOOKUP($B65,'LOD 300 - ADMN'!$B:V,21,FALSE),"N/A")</f>
        <v>NOT PUBLISHED</v>
      </c>
      <c r="Y65" s="122">
        <f>IFERROR(VLOOKUP($B65,'LOD 300 - ADMN'!$B:Y,24,FALSE),"N/A")</f>
        <v>0.52</v>
      </c>
      <c r="Z65" s="122">
        <f>IFERROR(VLOOKUP($B65,'LOD 300 - ADMN'!$B:AB,27,FALSE),"N/A")</f>
        <v>0.97</v>
      </c>
      <c r="AA65" s="122">
        <f>IFERROR(VLOOKUP($B65,'LOD 300 - ADMN'!$B:AE,30,FALSE),"N/A")</f>
        <v>1</v>
      </c>
      <c r="AB65" s="145">
        <f>IFERROR(VLOOKUP($B65,'LOD 300 - ADMN'!$B:AH,33,FALSE),"N/A")</f>
        <v>1</v>
      </c>
      <c r="AC65" s="145">
        <f>IFERROR(VLOOKUP($B65,'LOD 300 - ADMN'!$B:AK,36,FALSE),"N/A")</f>
        <v>1</v>
      </c>
      <c r="AD65" s="122">
        <f>IFERROR(VLOOKUP($B65,'LOD 300 - ADMN'!$B:AN,39,FALSE),"N/A")</f>
        <v>1</v>
      </c>
      <c r="AE65" s="122">
        <f>IFERROR(VLOOKUP($B65,'LOD 300 - ADMN'!$B:AQ,42,FALSE),"N/A")</f>
        <v>1</v>
      </c>
      <c r="AF65" s="122">
        <f>IFERROR(VLOOKUP($B65,'LOD 300 - ADMN'!$B:AT,45,FALSE),"N/A")</f>
        <v>1</v>
      </c>
      <c r="AG65" s="122">
        <f>IFERROR(VLOOKUP($B65,'LOD 300 - ADMN'!$B:AW,48,FALSE),"N/A")</f>
        <v>1</v>
      </c>
      <c r="AH65" s="122">
        <f>IFERROR(VLOOKUP($B65,'LOD 300 - ADMN'!$B:AZ,51,FALSE),"N/A")</f>
        <v>1</v>
      </c>
      <c r="AI65" s="122">
        <f>IFERROR(VLOOKUP($B65,'LOD 300 - ADMN'!$B:BC,54,FALSE),"N/A")</f>
        <v>1</v>
      </c>
      <c r="AJ65" s="87">
        <f>IFERROR(VLOOKUP($B65,'LOD 300 - ADMN'!$B:BF,57,FALSE),"N/A")</f>
        <v>1</v>
      </c>
      <c r="AK65" s="87">
        <f>IFERROR(VLOOKUP($B65,'LOD 300 - ADMN'!$B:EP,60,FALSE),"N/A")</f>
        <v>1</v>
      </c>
      <c r="AL65" s="87">
        <f>IFERROR(VLOOKUP($B65,'LOD 300 - ADMN'!$B:EQ,63,FALSE),"N/A")</f>
        <v>1</v>
      </c>
      <c r="AM65" s="87">
        <f>IFERROR(VLOOKUP($B65,'LOD 300 - ADMN'!$B:BO,66,FALSE),"N/A")</f>
        <v>1</v>
      </c>
      <c r="AN65" s="87">
        <f>IFERROR(VLOOKUP($B65,'LOD 300 - ADMN'!$B:BR,69,FALSE),"N/A")</f>
        <v>1</v>
      </c>
      <c r="AO65" s="87">
        <f>IFERROR(VLOOKUP($B65,'LOD 300 - ADMN'!$B:BU,72,FALSE),"N/A")</f>
        <v>1</v>
      </c>
      <c r="AP65" s="87">
        <f>IFERROR(VLOOKUP($B65,'LOD 300 - ADMN'!$B:BX,75,FALSE),"N/A")</f>
        <v>1</v>
      </c>
      <c r="AQ65" s="87">
        <f>IFERROR(VLOOKUP($B65,'LOD 300 - ADMN'!$B:CA,78,FALSE),"N/A")</f>
        <v>1</v>
      </c>
      <c r="AR65" s="87">
        <f>IFERROR(VLOOKUP($B65,'LOD 300 - ADMN'!$B:CD,81,FALSE),"N/A")</f>
        <v>1</v>
      </c>
      <c r="AS65" s="87">
        <f>IFERROR(VLOOKUP($B65,'LOD 300 - ADMN'!$B:CG,84,FALSE),"N/A")</f>
        <v>1</v>
      </c>
      <c r="AT65" s="87">
        <f>IFERROR(VLOOKUP($B65,'LOD 300 - ADMN'!$B:CJ,87,FALSE),"N/A")</f>
        <v>1</v>
      </c>
      <c r="AU65" s="88">
        <f>IFERROR(VLOOKUP($B65,'LOD 300 - ADMN'!$B:CM,90,FALSE),"N/A")</f>
        <v>1</v>
      </c>
      <c r="AV65" s="88">
        <f>IFERROR(VLOOKUP($B65,'LOD 300 - ADMN'!$B:CP,93,FALSE),"N/A")</f>
        <v>1</v>
      </c>
      <c r="AW65" s="88">
        <f>IFERROR(VLOOKUP($B65,'LOD 300 - ADMN'!$B:CS,96,FALSE),"N/A")</f>
        <v>1</v>
      </c>
      <c r="AX65" s="88">
        <f>IFERROR(VLOOKUP($B65,'LOD 300 - ADMN'!$B:CV,99,FALSE),"N/A")</f>
        <v>1</v>
      </c>
      <c r="AY65" s="88">
        <f>IFERROR(VLOOKUP($B65,'LOD 300 - ADMN'!$B:CY,102,FALSE),"N/A")</f>
        <v>1</v>
      </c>
      <c r="AZ65" s="88">
        <f>IFERROR(VLOOKUP($B65,'LOD 300 - ADMN'!$B:DB,105,FALSE),"N/A")</f>
        <v>1</v>
      </c>
      <c r="BA65" s="87">
        <f>IFERROR(VLOOKUP($B65,'LOD 300 - ADMN'!$B:DE,108,FALSE),"N/A")</f>
        <v>1</v>
      </c>
      <c r="BB65" s="87">
        <f>IFERROR(VLOOKUP($B65,'LOD 300 - ADMN'!$B:DH,111,FALSE),"N/A")</f>
        <v>1</v>
      </c>
      <c r="BC65" s="87">
        <f>IFERROR(VLOOKUP($B65,'LOD 300 - ADMN'!$B:DK,114,FALSE),"N/A")</f>
        <v>1</v>
      </c>
      <c r="BD65" s="87">
        <f>IFERROR(VLOOKUP($B65,'LOD 300 - ADMN'!$B:DN,117,FALSE),"N/A")</f>
        <v>1</v>
      </c>
      <c r="BE65" s="87">
        <f>IFERROR(VLOOKUP($B65,'LOD 300 - ADMN'!$B:DQ,120,FALSE),"N/A")</f>
        <v>1</v>
      </c>
      <c r="BF65" s="87">
        <f>IFERROR(VLOOKUP($B65,'LOD 300 - ADMN'!$B:DT,123,FALSE),"N/A")</f>
        <v>1</v>
      </c>
      <c r="BG65" s="87">
        <f>IFERROR(VLOOKUP($B65,'LOD 300 - ADMN'!$B:DW,126,FALSE),"N/A")</f>
        <v>1</v>
      </c>
      <c r="BH65" s="87">
        <f>IFERROR(VLOOKUP($B65,'LOD 300 - ADMN'!$B:DZ,129,FALSE),"N/A")</f>
        <v>1</v>
      </c>
      <c r="BI65" s="87">
        <f>IFERROR(VLOOKUP($B65,'LOD 300 - ADMN'!$B:EC,132,FALSE),"N/A")</f>
        <v>1</v>
      </c>
      <c r="BJ65" s="90">
        <f>IFERROR(__xludf.DUMMYFUNCTION("IFERROR(
  MAX(FILTER(X65:BI65, ISNUMBER(X65:BI65))),
  BI65
)"),1.0)</f>
        <v>1</v>
      </c>
      <c r="BK65" s="91" t="str">
        <f>IFERROR(VLOOKUP($B65,'LOD 300 - COLO1'!$B:S,18,FALSE),"N/A")</f>
        <v>NOT PUBLISHED</v>
      </c>
      <c r="BL65" s="92" t="str">
        <f>IFERROR(VLOOKUP($B65,'LOD 300 - COLO1'!$B:V,21,FALSE),"N/A")</f>
        <v>NOT PUBLISHED</v>
      </c>
      <c r="BM65" s="92">
        <f>IFERROR(VLOOKUP($B65,'LOD 300 - COLO1'!$B:Y,24,FALSE),"N/A")</f>
        <v>0.36</v>
      </c>
      <c r="BN65" s="92">
        <f>IFERROR(VLOOKUP($B65,'LOD 300 - COLO1'!$B:AB,27,FALSE),"N/A")</f>
        <v>0.94</v>
      </c>
      <c r="BO65" s="92">
        <f>IFERROR(VLOOKUP($B65,'LOD 300 - COLO1'!$B:AE,30,FALSE),"N/A")</f>
        <v>1</v>
      </c>
      <c r="BP65" s="92">
        <f>IFERROR(VLOOKUP($B65,'LOD 300 - COLO1'!$B:AH,33,FALSE),"N/A")</f>
        <v>1</v>
      </c>
      <c r="BQ65" s="92">
        <f>IFERROR(VLOOKUP($B65,'LOD 300 - COLO1'!$B:AK,36,FALSE),"N/A")</f>
        <v>1</v>
      </c>
      <c r="BR65" s="92">
        <f>IFERROR(VLOOKUP($B65,'LOD 300 - COLO1'!$B:AN,39,FALSE),"N/A")</f>
        <v>1</v>
      </c>
      <c r="BS65" s="92">
        <f>IFERROR(VLOOKUP($B65,'LOD 300 - COLO1'!$B:AQ,42,FALSE),"N/A")</f>
        <v>1</v>
      </c>
      <c r="BT65" s="92">
        <f>IFERROR(VLOOKUP($B65,'LOD 300 - COLO1'!$B:AT,45,FALSE),"N/A")</f>
        <v>1</v>
      </c>
      <c r="BU65" s="92">
        <f>IFERROR(VLOOKUP($B65,'LOD 300 - COLO1'!$B:AW,48,FALSE),"N/A")</f>
        <v>1</v>
      </c>
      <c r="BV65" s="92">
        <f>IFERROR(VLOOKUP($B65,'LOD 300 - COLO1'!$B:AZ,51,FALSE),"N/A")</f>
        <v>1</v>
      </c>
      <c r="BW65" s="92">
        <f>IFERROR(VLOOKUP($B65,'LOD 300 - COLO1'!$B:BC,54,FALSE),"N/A")</f>
        <v>1</v>
      </c>
      <c r="BX65" s="94">
        <f>IFERROR(VLOOKUP($B65,'LOD 300 - COLO1'!$B:BF,57,FALSE),"N/A")</f>
        <v>1</v>
      </c>
      <c r="BY65" s="94">
        <f>IFERROR(VLOOKUP($B65,'LOD 300 - COLO1'!$B:BI,60,FALSE),"N/A")</f>
        <v>1</v>
      </c>
      <c r="BZ65" s="95">
        <f>IFERROR(VLOOKUP($B65,'LOD 300 - COLO1'!$B:BL,63,FALSE),"N/A")</f>
        <v>1</v>
      </c>
      <c r="CA65" s="86">
        <f>IFERROR(VLOOKUP($B65,'LOD 300 - COLO1'!$B:BO,66,FALSE),"N/A")</f>
        <v>1</v>
      </c>
      <c r="CB65" s="86">
        <f>IFERROR(VLOOKUP($B65,'LOD 300 - COLO1'!$B:BR,69,FALSE),"N/A")</f>
        <v>1</v>
      </c>
      <c r="CC65" s="86">
        <f>IFERROR(VLOOKUP($B65,'LOD 300 - COLO1'!$B:BU,72,FALSE),"N/A")</f>
        <v>1</v>
      </c>
      <c r="CD65" s="86">
        <f>IFERROR(VLOOKUP($B65,'LOD 300 - COLO1'!$B:BX,75,FALSE),"N/A")</f>
        <v>1</v>
      </c>
      <c r="CE65" s="86">
        <f>IFERROR(VLOOKUP($B65,'LOD 300 - COLO1'!$B:CA,78,FALSE),"N/A")</f>
        <v>1</v>
      </c>
      <c r="CF65" s="87">
        <f>IFERROR(VLOOKUP($B65,'LOD 300 - COLO1'!$B:CD,81,FALSE),"N/A")</f>
        <v>1</v>
      </c>
      <c r="CG65" s="86">
        <f>IFERROR(VLOOKUP($B65,'LOD 300 - COLO1'!$B:CG,84,FALSE),"N/A")</f>
        <v>1</v>
      </c>
      <c r="CH65" s="87">
        <f>IFERROR(VLOOKUP($B65,'LOD 300 - COLO1'!$B:CJ,87,FALSE),"N/A")</f>
        <v>1</v>
      </c>
      <c r="CI65" s="88">
        <f>IFERROR(VLOOKUP($B65,'LOD 300 - COLO1'!$B:CM,90,FALSE),"N/A")</f>
        <v>1</v>
      </c>
      <c r="CJ65" s="88">
        <f>IFERROR(VLOOKUP($B65,'LOD 300 - COLO1'!$B:CP,93,FALSE),"N/A")</f>
        <v>1</v>
      </c>
      <c r="CK65" s="88">
        <f>IFERROR(VLOOKUP($B65,'LOD 300 - COLO1'!$B:CS,96,FALSE),"N/A")</f>
        <v>1</v>
      </c>
      <c r="CL65" s="88">
        <f>IFERROR(VLOOKUP($B65,'LOD 300 - COLO1'!$B:CV,99,FALSE),"N/A")</f>
        <v>1</v>
      </c>
      <c r="CM65" s="88">
        <f>IFERROR(VLOOKUP($B65,'LOD 300 - COLO1'!$B:CY,102,FALSE),"N/A")</f>
        <v>1</v>
      </c>
      <c r="CN65" s="89">
        <f>IFERROR(VLOOKUP($B65,'LOD 300 - COLO1'!$B:DB,105,FALSE),"N/A")</f>
        <v>1</v>
      </c>
      <c r="CO65" s="87">
        <f>IFERROR(VLOOKUP($B65,'LOD 300 - COLO1'!$B:EE,108,FALSE),"N/A")</f>
        <v>1</v>
      </c>
      <c r="CP65" s="87">
        <f>IFERROR(VLOOKUP($B65,'LOD 300 - COLO1'!$B:EH,111,FALSE),"N/A")</f>
        <v>1</v>
      </c>
      <c r="CQ65" s="87">
        <f>IFERROR(VLOOKUP($B65,'LOD 300 - COLO1'!$B:EK,114,FALSE),"N/A")</f>
        <v>1</v>
      </c>
      <c r="CR65" s="87">
        <f>IFERROR(VLOOKUP($B65,'LOD 300 - COLO1'!$B:EN,117,FALSE),"N/A")</f>
        <v>1</v>
      </c>
      <c r="CS65" s="87">
        <f>IFERROR(VLOOKUP($B65,'LOD 300 - COLO1'!$B:EQ,120,FALSE),"N/A")</f>
        <v>1</v>
      </c>
      <c r="CT65" s="87">
        <f>IFERROR(VLOOKUP($B65,'LOD 300 - COLO1'!$B:ET,123,FALSE),"N/A")</f>
        <v>1</v>
      </c>
      <c r="CU65" s="87">
        <f>IFERROR(VLOOKUP($B65,'LOD 300 - COLO1'!$B:EW,126,FALSE),"N/A")</f>
        <v>1</v>
      </c>
      <c r="CV65" s="87">
        <f>IFERROR(VLOOKUP($B65,'LOD 300 - COLO1'!$B:EZ,129,FALSE),"N/A")</f>
        <v>1</v>
      </c>
      <c r="CW65" s="87">
        <f>IFERROR(VLOOKUP($B65,'LOD 300 - COLO1'!$B:FC,132,FALSE),"N/A")</f>
        <v>1</v>
      </c>
      <c r="CX65" s="96">
        <f>IFERROR(__xludf.DUMMYFUNCTION("IFERROR(
  MAX(FILTER(BK65:CW65, ISNUMBER(BK65:CW65))),
  CW65
)"),1.0)</f>
        <v>1</v>
      </c>
      <c r="CY65" s="104">
        <f>IFERROR(VLOOKUP($B65,'LOD 300 - COLO2'!$B:S,18,FALSE),"N/A")</f>
        <v>0.81</v>
      </c>
      <c r="CZ65" s="117">
        <f>IFERROR(VLOOKUP($B65,'LOD 300 - COLO2'!$B:V,21,FALSE),"N/A")</f>
        <v>0.86</v>
      </c>
      <c r="DA65" s="117" t="str">
        <f>IFERROR(VLOOKUP($B65,'LOD 300 - COLO2'!$B:Y,24,FALSE),"N/A")</f>
        <v>OUTDATED MODEL</v>
      </c>
      <c r="DB65" s="117" t="str">
        <f>IFERROR(VLOOKUP($B65,'LOD 300 - COLO2'!$B:AB,27,FALSE),"N/A")</f>
        <v>OUTDATED MODEL</v>
      </c>
      <c r="DC65" s="92">
        <f>IFERROR(VLOOKUP($B65,'LOD 300 - COLO2'!$B:AE,30,FALSE),"N/A")</f>
        <v>1</v>
      </c>
      <c r="DD65" s="120">
        <f>IFERROR(VLOOKUP($B65,'LOD 300 - COLO2'!$B:AH,33,FALSE),"N/A")</f>
        <v>1</v>
      </c>
      <c r="DE65" s="117">
        <f>IFERROR(VLOOKUP($B65,'LOD 300 - COLO2'!$B:AK,36,FALSE),"N/A")</f>
        <v>1</v>
      </c>
      <c r="DF65" s="117">
        <f>IFERROR(VLOOKUP($B65,'LOD 300 - COLO2'!$B:AN,39,FALSE),"N/A")</f>
        <v>1</v>
      </c>
      <c r="DG65" s="119">
        <f>IFERROR(VLOOKUP($B65,'LOD 300 - COLO2'!$B:AQ,42,FALSE),"N/A")</f>
        <v>1</v>
      </c>
      <c r="DH65" s="87">
        <f>IFERROR(VLOOKUP($B65,'LOD 300 - COLO2'!$B:AT,45,FALSE),"N/A")</f>
        <v>1</v>
      </c>
      <c r="DI65" s="94">
        <f>IFERROR(VLOOKUP($B65,'LOD 300 - COLO2'!$B:AW,48,FALSE),"N/A")</f>
        <v>1</v>
      </c>
      <c r="DJ65" s="95">
        <f>IFERROR(VLOOKUP($B65,'LOD 300 - COLO2'!$B:AZ,51,FALSE),"N/A")</f>
        <v>1</v>
      </c>
      <c r="DK65" s="86">
        <f>IFERROR(VLOOKUP($B65,'LOD 300 - COLO2'!$B:BC,54,FALSE),"N/A")</f>
        <v>1</v>
      </c>
      <c r="DL65" s="86">
        <f>IFERROR(VLOOKUP($B65,'LOD 300 - COLO2'!$B:BF,57,FALSE),"N/A")</f>
        <v>1</v>
      </c>
      <c r="DM65" s="86">
        <f>IFERROR(VLOOKUP($B65,'LOD 300 - COLO2'!$B:BI,60,FALSE),"N/A")</f>
        <v>1</v>
      </c>
      <c r="DN65" s="86">
        <f>IFERROR(VLOOKUP($B65,'LOD 300 - COLO2'!$B:BL,63,FALSE),"N/A")</f>
        <v>1</v>
      </c>
      <c r="DO65" s="86">
        <f>IFERROR(VLOOKUP($B65,'LOD 300 - COLO2'!$B:BO,66,FALSE),"N/A")</f>
        <v>1</v>
      </c>
      <c r="DP65" s="87">
        <f>IFERROR(VLOOKUP($B65,'LOD 300 - COLO2'!$B:BR,69,FALSE),"N/A")</f>
        <v>1</v>
      </c>
      <c r="DQ65" s="87">
        <f>IFERROR(VLOOKUP($B65,'LOD 300 - COLO2'!$B:BU,72,FALSE),"N/A")</f>
        <v>1</v>
      </c>
      <c r="DR65" s="87">
        <f>IFERROR(VLOOKUP($B65,'LOD 300 - COLO2'!$B:BX,75,FALSE),"N/A")</f>
        <v>1</v>
      </c>
      <c r="DS65" s="98">
        <f>IFERROR(VLOOKUP($B65,'LOD 300 - COLO2'!$B:CA,78,FALSE),"N/A")</f>
        <v>1</v>
      </c>
      <c r="DT65" s="98">
        <f>IFERROR(VLOOKUP($B65,'LOD 300 - COLO2'!$B:CD,81,FALSE),"N/A")</f>
        <v>1</v>
      </c>
      <c r="DU65" s="98">
        <f>IFERROR(VLOOKUP($B65,'LOD 300 - COLO2'!$B:CG,84,FALSE),"N/A")</f>
        <v>1</v>
      </c>
      <c r="DV65" s="98">
        <f>IFERROR(VLOOKUP($B65,'LOD 300 - COLO2'!$B:CJ,87,FALSE),"N/A")</f>
        <v>1</v>
      </c>
      <c r="DW65" s="98">
        <f>IFERROR(VLOOKUP($B65,'LOD 300 - COLO2'!$B:CM,90,FALSE),"N/A")</f>
        <v>1</v>
      </c>
      <c r="DX65" s="98">
        <f>IFERROR(VLOOKUP($B65,'LOD 300 - COLO2'!$B:CP,93,FALSE),"N/A")</f>
        <v>1</v>
      </c>
      <c r="DY65" s="87">
        <f>IFERROR(VLOOKUP($B65,'LOD 300 - COLO2'!$B:CS,96,FALSE),"N/A")</f>
        <v>1</v>
      </c>
      <c r="DZ65" s="87">
        <f>IFERROR(VLOOKUP($B65,'LOD 300 - COLO2'!$B:CV,99,FALSE),"N/A")</f>
        <v>1</v>
      </c>
      <c r="EA65" s="87">
        <f>IFERROR(VLOOKUP($B65,'LOD 300 - COLO2'!$B:DB,105,FALSE),"N/A")</f>
        <v>1</v>
      </c>
      <c r="EB65" s="87">
        <f>IFERROR(VLOOKUP($B65,'LOD 300 - COLO2'!$B:DB,105,FALSE),"N/A")</f>
        <v>1</v>
      </c>
      <c r="EC65" s="87">
        <f>IFERROR(VLOOKUP($B65,'LOD 300 - COLO2'!$B:DE,108,FALSE),"N/A")</f>
        <v>1</v>
      </c>
      <c r="ED65" s="87">
        <f>IFERROR(VLOOKUP($B65,'LOD 300 - COLO2'!$B:DH,111,FALSE),"N/A")</f>
        <v>1</v>
      </c>
      <c r="EE65" s="87">
        <f>IFERROR(VLOOKUP($B65,'LOD 300 - COLO2'!$B:DK,114,FALSE),"N/A")</f>
        <v>1</v>
      </c>
      <c r="EF65" s="87">
        <f>IFERROR(VLOOKUP($B65,'LOD 300 - COLO2'!$B:DN,117,FALSE),"N/A")</f>
        <v>1</v>
      </c>
      <c r="EG65" s="87">
        <f>IFERROR(VLOOKUP($B65,'LOD 300 - COLO2'!$B:DQ,120,FALSE),"N/A")</f>
        <v>1</v>
      </c>
      <c r="EH65" s="99">
        <f>IFERROR(__xludf.DUMMYFUNCTION("IFERROR(
  MAX(FILTER(CZ65:EG65, ISNUMBER(CZ65:EG65))),
  EG65
)"),1.0)</f>
        <v>1</v>
      </c>
      <c r="EI65" s="100">
        <f>IFERROR(VLOOKUP($B65,'LOD 300 - COLO3'!$B:R,17,FALSE),"N/A")</f>
        <v>0</v>
      </c>
      <c r="EJ65" s="127" t="str">
        <f>IFERROR(VLOOKUP($B65,'LOD 300 - COLO3'!$B:U,20,FALSE),"N/A")</f>
        <v>NEXT ROUND</v>
      </c>
      <c r="EK65" s="127">
        <f>IFERROR(VLOOKUP($B65,'LOD 300 - COLO3'!$B:X,23,FALSE),"N/A")</f>
        <v>1</v>
      </c>
      <c r="EL65" s="127">
        <f>IFERROR(VLOOKUP($B65,'LOD 300 - COLO3'!$B:AA,26,FALSE),"N/A")</f>
        <v>1</v>
      </c>
      <c r="EM65" s="127">
        <f>IFERROR(VLOOKUP($B65,'LOD 300 - COLO3'!$B:AD,29,FALSE),"N/A")</f>
        <v>1</v>
      </c>
      <c r="EN65" s="127">
        <f>IFERROR(VLOOKUP($B65,'LOD 300 - COLO3'!$B:AG,32,FALSE),"N/A")</f>
        <v>1</v>
      </c>
      <c r="EO65" s="127">
        <f>IFERROR(VLOOKUP($B65,'LOD 300 - COLO3'!$B:AJ,35,FALSE),"N/A")</f>
        <v>1</v>
      </c>
      <c r="EP65" s="100">
        <f>IFERROR(VLOOKUP($B65,'LOD 300 - COLO3'!$B:AM,38,FALSE),"N/A")</f>
        <v>1</v>
      </c>
      <c r="EQ65" s="100">
        <f>IFERROR(VLOOKUP($B65,'LOD 300 - COLO3'!$B:AP,41,FALSE),"N/A")</f>
        <v>1</v>
      </c>
      <c r="ER65" s="100">
        <f>IFERROR(VLOOKUP($B65,'LOD 300 - COLO3'!$B:AS,44,FALSE),"N/A")</f>
        <v>1</v>
      </c>
      <c r="ES65" s="100">
        <f>IFERROR(VLOOKUP($B65,'LOD 300 - COLO3'!$B:AV,47,FALSE),"N/A")</f>
        <v>1</v>
      </c>
      <c r="ET65" s="100">
        <f>IFERROR(VLOOKUP($B65,'LOD 300 - COLO3'!$B:AY,50,FALSE),"N/A")</f>
        <v>1</v>
      </c>
      <c r="EU65" s="100">
        <f>IFERROR(VLOOKUP($B65,'LOD 300 - COLO3'!$B:BB,53,FALSE),"N/A")</f>
        <v>1</v>
      </c>
      <c r="EV65" s="100">
        <f>IFERROR(VLOOKUP($B65,'LOD 300 - COLO3'!$B:BE,56,FALSE),"N/A")</f>
        <v>1</v>
      </c>
      <c r="EW65" s="100">
        <f>IFERROR(VLOOKUP($B65,'LOD 300 - COLO3'!$B:BL,59,FALSE),"N/A")</f>
        <v>1</v>
      </c>
      <c r="EX65" s="100">
        <f>IFERROR(VLOOKUP($B65,'LOD 300 - COLO3'!$B:BO,62,FALSE),"N/A")</f>
        <v>1</v>
      </c>
      <c r="EY65" s="103">
        <f>IFERROR(__xludf.DUMMYFUNCTION("IFERROR(
  MAX(FILTER(EI65:EX65, ISNUMBER(EI65:EX65))),
  EX65
)"),1.0)</f>
        <v>1</v>
      </c>
      <c r="EZ65" s="104">
        <f>IFERROR(VLOOKUP($B65,'LOD 300 - COLO4'!$B:BT,17,FALSE),"N/A")</f>
        <v>0</v>
      </c>
      <c r="FA65" s="103">
        <f>IFERROR(__xludf.DUMMYFUNCTION("IFERROR(
  MAX(FILTER(EZ65, ISNUMBER(EZ65))),
  EZ65
)"),0.0)</f>
        <v>0</v>
      </c>
      <c r="FB65" s="121" t="str">
        <f>IFERROR(VLOOKUP($B65,'LOD 300 - SITE'!$B:S,18,FALSE),"N/A")</f>
        <v>N/A</v>
      </c>
      <c r="FC65" s="122" t="str">
        <f>IFERROR(VLOOKUP($B65,'LOD 300 - SITE'!$B:V,21,FALSE),"N/A")</f>
        <v>N/A</v>
      </c>
      <c r="FD65" s="122" t="str">
        <f>IFERROR(VLOOKUP($B65,'LOD 300 - SITE'!$B:Y,24,FALSE),"N/A")</f>
        <v>N/A</v>
      </c>
      <c r="FE65" s="122" t="str">
        <f>IFERROR(VLOOKUP($B65,'LOD 300 - SITE'!$B:AB,27,FALSE),"N/A")</f>
        <v>N/A</v>
      </c>
      <c r="FF65" s="122" t="str">
        <f>IFERROR(VLOOKUP($B65,'LOD 300 - SITE'!$B:AE,30,FALSE),"N/A")</f>
        <v>N/A</v>
      </c>
      <c r="FG65" s="122" t="str">
        <f>IFERROR(VLOOKUP($B65,'LOD 300 - SITE'!$B:AH,33,FALSE),"N/A")</f>
        <v>N/A</v>
      </c>
      <c r="FH65" s="122" t="str">
        <f>IFERROR(VLOOKUP($B65,'LOD 300 - SITE'!$B:AK,36,FALSE),"N/A")</f>
        <v>N/A</v>
      </c>
      <c r="FI65" s="122" t="str">
        <f>IFERROR(VLOOKUP($B65,'LOD 300 - SITE'!$B:AN,39,FALSE),"N/A")</f>
        <v>N/A</v>
      </c>
      <c r="FJ65" s="122" t="str">
        <f>IFERROR(VLOOKUP($B65,'LOD 300 - SITE'!$B:AQ,42,FALSE),"N/A")</f>
        <v>N/A</v>
      </c>
      <c r="FK65" s="122" t="str">
        <f>IFERROR(VLOOKUP($B65,'LOD 300 - SITE'!$B:AT,45,FALSE),"N/A")</f>
        <v>N/A</v>
      </c>
      <c r="FL65" s="123" t="str">
        <f>IFERROR(VLOOKUP($B65,'LOD 300 - SITE'!$B:AW,48,FALSE),"N/A")</f>
        <v>N/A</v>
      </c>
      <c r="FM65" s="87" t="str">
        <f>IFERROR(VLOOKUP($B65,'LOD 300 - SITE'!$B:AZ,51,FALSE),"N/A")</f>
        <v>N/A</v>
      </c>
      <c r="FN65" s="94" t="str">
        <f>IFERROR(VLOOKUP($B65,'LOD 300 - SITE'!$B:BC,54,FALSE),"N/A")</f>
        <v>N/A</v>
      </c>
      <c r="FO65" s="95" t="str">
        <f>IFERROR(VLOOKUP($B65,'LOD 300 - SITE'!$B:BF,57,FALSE),"N/A")</f>
        <v>N/A</v>
      </c>
      <c r="FP65" s="86" t="str">
        <f>IFERROR(VLOOKUP($B65,'LOD 300 - SITE'!$B:BI,60,FALSE),"N/A")</f>
        <v>N/A</v>
      </c>
      <c r="FQ65" s="86" t="str">
        <f>IFERROR(VLOOKUP($B65,'LOD 300 - SITE'!$B:BL,63,FALSE),"N/A")</f>
        <v>N/A</v>
      </c>
      <c r="FR65" s="86" t="str">
        <f>IFERROR(VLOOKUP($B65,'LOD 300 - SITE'!$B:BO,66,FALSE),"N/A")</f>
        <v>N/A</v>
      </c>
      <c r="FS65" s="86" t="str">
        <f>IFERROR(VLOOKUP($B65,'LOD 300 - SITE'!$B:BR,69,FALSE),"N/A")</f>
        <v>N/A</v>
      </c>
      <c r="FT65" s="86" t="str">
        <f>IFERROR(VLOOKUP($B65,'LOD 300 - SITE'!$B:BU,72,FALSE),"N/A")</f>
        <v>N/A</v>
      </c>
      <c r="FU65" s="86" t="str">
        <f>IFERROR(VLOOKUP($B65,'LOD 300 - SITE'!$B:BX,75,FALSE),"N/A")</f>
        <v>N/A</v>
      </c>
      <c r="FV65" s="86" t="str">
        <f>IFERROR(VLOOKUP($B65,'LOD 300 - SITE'!$B:CA,78,FALSE),"N/A")</f>
        <v>N/A</v>
      </c>
      <c r="FW65" s="87" t="str">
        <f>IFERROR(VLOOKUP($B65,'LOD 300 - SITE'!$B:CD,81,FALSE),"N/A")</f>
        <v>N/A</v>
      </c>
      <c r="FX65" s="108" t="str">
        <f>IFERROR(VLOOKUP($B65,'LOD 300 - SITE'!$B:CG,84,FALSE),"N/A")</f>
        <v>N/A</v>
      </c>
      <c r="FY65" s="108" t="str">
        <f>IFERROR(VLOOKUP($B65,'LOD 300 - SITE'!$B:CJ,87,FALSE),"N/A")</f>
        <v>N/A</v>
      </c>
      <c r="FZ65" s="108" t="str">
        <f>IFERROR(VLOOKUP($B65,'LOD 300 - SITE'!$B:CM,90,FALSE),"N/A")</f>
        <v>N/A</v>
      </c>
      <c r="GA65" s="108" t="str">
        <f>IFERROR(VLOOKUP($B65,'LOD 300 - SITE'!$B:CP,93,FALSE),"N/A")</f>
        <v>N/A</v>
      </c>
      <c r="GB65" s="108" t="str">
        <f>IFERROR(VLOOKUP($B65,'LOD 300 - SITE'!$B:CS,96,FALSE),"N/A")</f>
        <v>N/A</v>
      </c>
      <c r="GC65" s="109" t="str">
        <f>IFERROR(VLOOKUP($B65,'LOD 300 - SITE'!$B:CV,99,FALSE),"N/A")</f>
        <v>N/A</v>
      </c>
      <c r="GD65" s="87" t="str">
        <f>IFERROR(VLOOKUP($B65,'LOD 300 - SITE'!$B:CY,102,FALSE),"N/A")</f>
        <v>N/A</v>
      </c>
      <c r="GE65" s="87" t="str">
        <f>IFERROR(VLOOKUP($B65,'LOD 300 - SITE'!$B:DB,105,FALSE),"N/A")</f>
        <v>N/A</v>
      </c>
      <c r="GF65" s="87" t="str">
        <f>IFERROR(VLOOKUP($B65,'LOD 300 - SITE'!$B:DE,108,FALSE),"N/A")</f>
        <v>N/A</v>
      </c>
      <c r="GG65" s="87" t="str">
        <f>IFERROR(VLOOKUP($B65,'LOD 300 - SITE'!$B:DH,111,FALSE),"N/A")</f>
        <v>N/A</v>
      </c>
      <c r="GH65" s="87" t="str">
        <f>IFERROR(VLOOKUP($B65,'LOD 300 - SITE'!$B:DK,114,FALSE),"N/A")</f>
        <v>N/A</v>
      </c>
      <c r="GI65" s="87" t="str">
        <f>IFERROR(VLOOKUP($B65,'LOD 300 - SITE'!$B:DN,117,FALSE),"N/A")</f>
        <v>N/A</v>
      </c>
      <c r="GJ65" s="87" t="str">
        <f>IFERROR(VLOOKUP($B65,'LOD 300 - SITE'!$B:DQ,120,FALSE),"N/A")</f>
        <v>N/A</v>
      </c>
      <c r="GK65" s="87" t="str">
        <f>IFERROR(VLOOKUP($B65,'LOD 300 - SITE'!$B:DT,123,FALSE),"N/A")</f>
        <v>N/A</v>
      </c>
      <c r="GL65" s="87" t="str">
        <f>IFERROR(VLOOKUP($B65,'LOD 300 - SITE'!$B:DW,126,FALSE),"N/A")</f>
        <v>N/A</v>
      </c>
      <c r="GM65" s="110" t="str">
        <f>IFERROR(__xludf.DUMMYFUNCTION("IFERROR(
  MAX(FILTER(FB65:GL65, ISNUMBER(FB65:GL65))),
  GL65
)"),"N/A")</f>
        <v>N/A</v>
      </c>
      <c r="GN65" s="111"/>
      <c r="GO65" s="111"/>
      <c r="GP65" s="111"/>
    </row>
    <row r="66" ht="15.0" hidden="1" customHeight="1">
      <c r="A66" s="60">
        <v>69.0</v>
      </c>
      <c r="B66" s="318" t="s">
        <v>233</v>
      </c>
      <c r="C66" s="319"/>
      <c r="D66" s="320"/>
      <c r="E66" s="320"/>
      <c r="F66" s="13"/>
      <c r="G66" s="320"/>
      <c r="H66" s="321"/>
      <c r="I66" s="322"/>
      <c r="J66" s="322"/>
      <c r="K66" s="320"/>
      <c r="L66" s="320"/>
      <c r="M66" s="323"/>
      <c r="N66" s="323"/>
      <c r="O66" s="323"/>
      <c r="P66" s="324"/>
      <c r="Q66" s="323"/>
      <c r="R66" s="323"/>
      <c r="S66" s="79" t="str">
        <f>IF(OR($D66="C345",$D66="C12A",$D66="DATA"),
   VLOOKUP($B66,'LOD 300 - COLO4'!B:S,14,FALSE),"N/A")</f>
        <v>N/A</v>
      </c>
      <c r="T66" s="76" t="str">
        <f>IF(OR($D66="C345",$D66="C12A",$D66="DATA"),
   VLOOKUP($B66,'LOD 300 - COLO3'!B:T,13,FALSE),"N/A")</f>
        <v>N/A</v>
      </c>
      <c r="U66" s="323"/>
      <c r="V66" s="320"/>
      <c r="W66" s="325"/>
      <c r="X66" s="326"/>
      <c r="Y66" s="326"/>
      <c r="Z66" s="326"/>
      <c r="AA66" s="326"/>
      <c r="AB66" s="326"/>
      <c r="AC66" s="326"/>
      <c r="AD66" s="326"/>
      <c r="AE66" s="326"/>
      <c r="AF66" s="326"/>
      <c r="AG66" s="326"/>
      <c r="AH66" s="326"/>
      <c r="AI66" s="326"/>
      <c r="AJ66" s="327"/>
      <c r="AK66" s="327"/>
      <c r="AL66" s="328"/>
      <c r="AM66" s="327"/>
      <c r="AN66" s="327"/>
      <c r="AO66" s="327"/>
      <c r="AP66" s="327"/>
      <c r="AQ66" s="327"/>
      <c r="AR66" s="327"/>
      <c r="AS66" s="327"/>
      <c r="AT66" s="327"/>
      <c r="AU66" s="327"/>
      <c r="AV66" s="328"/>
      <c r="AW66" s="328"/>
      <c r="AX66" s="328"/>
      <c r="AY66" s="328"/>
      <c r="AZ66" s="328"/>
      <c r="BA66" s="327"/>
      <c r="BB66" s="328"/>
      <c r="BC66" s="329"/>
      <c r="BD66" s="329"/>
      <c r="BE66" s="329"/>
      <c r="BF66" s="329"/>
      <c r="BG66" s="329"/>
      <c r="BH66" s="329"/>
      <c r="BI66" s="329"/>
      <c r="BJ66" s="330"/>
      <c r="BK66" s="331"/>
      <c r="BL66" s="331"/>
      <c r="BM66" s="331"/>
      <c r="BN66" s="331"/>
      <c r="BO66" s="331"/>
      <c r="BP66" s="331"/>
      <c r="BQ66" s="331"/>
      <c r="BR66" s="331"/>
      <c r="BS66" s="331"/>
      <c r="BT66" s="331"/>
      <c r="BU66" s="331"/>
      <c r="BV66" s="331"/>
      <c r="BW66" s="331"/>
      <c r="BX66" s="332"/>
      <c r="BY66" s="332"/>
      <c r="BZ66" s="333"/>
      <c r="CA66" s="334"/>
      <c r="CB66" s="334"/>
      <c r="CC66" s="334"/>
      <c r="CD66" s="334"/>
      <c r="CE66" s="334"/>
      <c r="CF66" s="327"/>
      <c r="CG66" s="333"/>
      <c r="CH66" s="327"/>
      <c r="CI66" s="327"/>
      <c r="CJ66" s="333"/>
      <c r="CK66" s="333"/>
      <c r="CL66" s="333"/>
      <c r="CM66" s="333"/>
      <c r="CN66" s="333"/>
      <c r="CO66" s="327"/>
      <c r="CP66" s="335"/>
      <c r="CQ66" s="333"/>
      <c r="CR66" s="333"/>
      <c r="CS66" s="333"/>
      <c r="CT66" s="333"/>
      <c r="CU66" s="333"/>
      <c r="CV66" s="333"/>
      <c r="CW66" s="333"/>
      <c r="CX66" s="330"/>
      <c r="CY66" s="336"/>
      <c r="CZ66" s="337"/>
      <c r="DA66" s="337"/>
      <c r="DB66" s="337"/>
      <c r="DC66" s="338"/>
      <c r="DD66" s="339"/>
      <c r="DE66" s="336"/>
      <c r="DF66" s="336"/>
      <c r="DG66" s="320"/>
      <c r="DH66" s="327"/>
      <c r="DI66" s="332"/>
      <c r="DJ66" s="333"/>
      <c r="DK66" s="334"/>
      <c r="DL66" s="334"/>
      <c r="DM66" s="334"/>
      <c r="DN66" s="334"/>
      <c r="DO66" s="334"/>
      <c r="DP66" s="327"/>
      <c r="DQ66" s="327"/>
      <c r="DR66" s="327"/>
      <c r="DS66" s="340"/>
      <c r="DT66" s="341"/>
      <c r="DU66" s="341"/>
      <c r="DV66" s="341"/>
      <c r="DW66" s="341"/>
      <c r="DX66" s="341"/>
      <c r="DY66" s="327"/>
      <c r="DZ66" s="328"/>
      <c r="EA66" s="329"/>
      <c r="EB66" s="329"/>
      <c r="EC66" s="329"/>
      <c r="ED66" s="329"/>
      <c r="EE66" s="329"/>
      <c r="EF66" s="329"/>
      <c r="EG66" s="329"/>
      <c r="EH66" s="329"/>
      <c r="EI66" s="327"/>
      <c r="EJ66" s="327"/>
      <c r="EK66" s="327"/>
      <c r="EL66" s="327"/>
      <c r="EM66" s="327"/>
      <c r="EN66" s="327"/>
      <c r="EO66" s="327"/>
      <c r="EP66" s="327"/>
      <c r="EQ66" s="327"/>
      <c r="ER66" s="334"/>
      <c r="ES66" s="334"/>
      <c r="ET66" s="334"/>
      <c r="EU66" s="334"/>
      <c r="EV66" s="334"/>
      <c r="EW66" s="334"/>
      <c r="EX66" s="334"/>
      <c r="EY66" s="334"/>
      <c r="EZ66" s="342"/>
      <c r="FA66" s="342"/>
      <c r="FB66" s="326"/>
      <c r="FC66" s="326"/>
      <c r="FD66" s="326"/>
      <c r="FE66" s="326"/>
      <c r="FF66" s="326"/>
      <c r="FG66" s="326"/>
      <c r="FH66" s="326"/>
      <c r="FI66" s="326"/>
      <c r="FJ66" s="326"/>
      <c r="FK66" s="326"/>
      <c r="FL66" s="343"/>
      <c r="FM66" s="327"/>
      <c r="FN66" s="332"/>
      <c r="FO66" s="333"/>
      <c r="FP66" s="334"/>
      <c r="FQ66" s="334"/>
      <c r="FR66" s="334"/>
      <c r="FS66" s="334"/>
      <c r="FT66" s="334"/>
      <c r="FU66" s="334"/>
      <c r="FV66" s="334"/>
      <c r="FW66" s="327"/>
      <c r="FX66" s="332"/>
      <c r="FY66" s="333"/>
      <c r="FZ66" s="333"/>
      <c r="GA66" s="333"/>
      <c r="GB66" s="333"/>
      <c r="GC66" s="333"/>
      <c r="GD66" s="327"/>
      <c r="GE66" s="335"/>
      <c r="GF66" s="333"/>
      <c r="GG66" s="333"/>
      <c r="GH66" s="333"/>
      <c r="GI66" s="333"/>
      <c r="GJ66" s="333"/>
      <c r="GK66" s="333"/>
      <c r="GL66" s="333"/>
      <c r="GM66" s="344"/>
      <c r="GN66" s="68"/>
      <c r="GO66" s="68"/>
      <c r="GP66" s="68"/>
    </row>
    <row r="67" ht="15.0" customHeight="1" outlineLevel="1">
      <c r="A67" s="60">
        <v>70.0</v>
      </c>
      <c r="B67" s="140" t="s">
        <v>234</v>
      </c>
      <c r="C67" s="70" t="s">
        <v>235</v>
      </c>
      <c r="D67" s="71" t="s">
        <v>90</v>
      </c>
      <c r="E67" s="146" t="s">
        <v>169</v>
      </c>
      <c r="F67" s="13">
        <v>1112.0</v>
      </c>
      <c r="G67" s="139" t="s">
        <v>169</v>
      </c>
      <c r="H67" s="139">
        <v>1112.0</v>
      </c>
      <c r="I67" s="74" t="str">
        <f>IFERROR(VLOOKUP(C64:C206,'R22 RELATÓRIO ACC'!B:F,5,FALSE),"NOT PUBLISHED")</f>
        <v>V11</v>
      </c>
      <c r="J67" s="74" t="str">
        <f>IFERROR(VLOOKUP(C64:C206,'R22 RELATÓRIO ACC'!B:P,15,FALSE),"NOT PUBLISHED")</f>
        <v>08/05/2026</v>
      </c>
      <c r="K67" s="141" t="str">
        <f>IFERROR(VLOOKUP(B64:B254,'RELATÓRIO ACC'!B:F,5,FALSE),"NOT PUBLISHED")</f>
        <v>V3</v>
      </c>
      <c r="L67" s="142" t="str">
        <f>IFERROR(VLOOKUP(B64:B254,'RELATÓRIO ACC'!B:P,15,FALSE),"NOT PUBLISHED")</f>
        <v>10/07/2026</v>
      </c>
      <c r="M67" s="76" t="str">
        <f>IF(OR($D67="UTLS",$D67="GUAR",$D67="STIR",$D67="PUMP",$D67="SITE"),
   VLOOKUP($B67,'LOD 300 - SITE'!B:M,12,FALSE),
   VLOOKUP($B67,'LOD 300 - ADMN'!B:M,12,FALSE)
)</f>
        <v>V1</v>
      </c>
      <c r="N67" s="77">
        <f>IF(OR($D67="UTLS",$D67="GUAR",$D67="STIR",$D67="PUMP",$D67="SITE"),
   VLOOKUP($B67,'LOD 300 - SITE'!B:N,13,FALSE),
   VLOOKUP($B67,'LOD 300 - ADMN'!B:N,13,FALSE)
)</f>
        <v>46161</v>
      </c>
      <c r="O67" s="114" t="str">
        <f>IF(OR($D67="UTLS",$D67="GUAR",$D67="STIR",$D67="PUMP",$D67="SITE"),
   VLOOKUP($B67,'LOD 300 - SITE'!B:O,14,FALSE),
   VLOOKUP($B67,'LOD 300 - ADMN'!B:O,14,FALSE)
)</f>
        <v>R22</v>
      </c>
      <c r="P67" s="79" t="str">
        <f>IF(OR($D67="C345",$D67="C12A",$D67="DATA"),
   VLOOKUP($B67,'LOD 300 - COLO3'!B:M,12,FALSE),"N/A")</f>
        <v>N/A</v>
      </c>
      <c r="Q67" s="76" t="str">
        <f>IF(OR($D67="C345",$D67="C12A",$D67="DATA"),
   VLOOKUP($B67,'LOD 300 - COLO3'!B:N,13,FALSE),"N/A")</f>
        <v>N/A</v>
      </c>
      <c r="R67" s="76" t="str">
        <f>IF(OR($D67="C345",$D67="C12A",$D67="DATA"),
   VLOOKUP($B67,'LOD 300 - COLO3'!B:O,14,FALSE),"N/A")</f>
        <v>N/A</v>
      </c>
      <c r="S67" s="79" t="str">
        <f>IF(OR($D67="C345",$D67="C12A",$D67="DATA"),
   VLOOKUP($B67,'LOD 300 - COLO4'!B:M,12,FALSE),"N/A")</f>
        <v>N/A</v>
      </c>
      <c r="T67" s="76" t="str">
        <f>IF(OR($D67="C345",$D67="C12A",$D67="DATA"),
   VLOOKUP($B67,'LOD 300 - COLO4'!B:T,13,FALSE),"N/A")</f>
        <v>N/A</v>
      </c>
      <c r="U67" s="76" t="str">
        <f>IF(OR($D67="C345",$D67="C12A",$D67="DATA"),
   VLOOKUP($B67,'LOD 300 - COLO4'!B:U,17,FALSE),"N/A")</f>
        <v>N/A</v>
      </c>
      <c r="V67" s="126" t="s">
        <v>87</v>
      </c>
      <c r="W67" s="144" t="str">
        <f>IFERROR(VLOOKUP($B67,'LOD 300 - ADMN'!$B:S,18,FALSE),"N/A")</f>
        <v>N/A</v>
      </c>
      <c r="X67" s="122" t="str">
        <f>IFERROR(VLOOKUP($B67,'LOD 300 - ADMN'!$B:V,21,FALSE),"N/A")</f>
        <v>N/A</v>
      </c>
      <c r="Y67" s="122" t="str">
        <f>IFERROR(VLOOKUP($B67,'LOD 300 - ADMN'!$B:Y,24,FALSE),"N/A")</f>
        <v>N/A</v>
      </c>
      <c r="Z67" s="122" t="str">
        <f>IFERROR(VLOOKUP($B67,'LOD 300 - ADMN'!$B:AB,27,FALSE),"N/A")</f>
        <v>N/A</v>
      </c>
      <c r="AA67" s="122" t="str">
        <f>IFERROR(VLOOKUP($B67,'LOD 300 - ADMN'!$B:AE,30,FALSE),"N/A")</f>
        <v>N/A</v>
      </c>
      <c r="AB67" s="145" t="str">
        <f>IFERROR(VLOOKUP($B67,'LOD 300 - ADMN'!$B:AH,33,FALSE),"N/A")</f>
        <v>N/A</v>
      </c>
      <c r="AC67" s="145" t="str">
        <f>IFERROR(VLOOKUP($B67,'LOD 300 - ADMN'!$B:AK,36,FALSE),"N/A")</f>
        <v>N/A</v>
      </c>
      <c r="AD67" s="122" t="str">
        <f>IFERROR(VLOOKUP($B67,'LOD 300 - ADMN'!$B:AN,39,FALSE),"N/A")</f>
        <v>N/A</v>
      </c>
      <c r="AE67" s="122" t="str">
        <f>IFERROR(VLOOKUP($B67,'LOD 300 - ADMN'!$B:AQ,42,FALSE),"N/A")</f>
        <v>N/A</v>
      </c>
      <c r="AF67" s="122" t="str">
        <f>IFERROR(VLOOKUP($B67,'LOD 300 - ADMN'!$B:AT,45,FALSE),"N/A")</f>
        <v>N/A</v>
      </c>
      <c r="AG67" s="122" t="str">
        <f>IFERROR(VLOOKUP($B67,'LOD 300 - ADMN'!$B:AW,48,FALSE),"N/A")</f>
        <v>N/A</v>
      </c>
      <c r="AH67" s="122" t="str">
        <f>IFERROR(VLOOKUP($B67,'LOD 300 - ADMN'!$B:AZ,51,FALSE),"N/A")</f>
        <v>N/A</v>
      </c>
      <c r="AI67" s="122" t="str">
        <f>IFERROR(VLOOKUP($B67,'LOD 300 - ADMN'!$B:BC,54,FALSE),"N/A")</f>
        <v>N/A</v>
      </c>
      <c r="AJ67" s="87" t="str">
        <f>IFERROR(VLOOKUP($B67,'LOD 300 - ADMN'!$B:BF,57,FALSE),"N/A")</f>
        <v>N/A</v>
      </c>
      <c r="AK67" s="87" t="str">
        <f>IFERROR(VLOOKUP($B67,'LOD 300 - ADMN'!$B:EP,60,FALSE),"N/A")</f>
        <v>N/A</v>
      </c>
      <c r="AL67" s="87" t="str">
        <f>IFERROR(VLOOKUP($B67,'LOD 300 - ADMN'!$B:EQ,63,FALSE),"N/A")</f>
        <v>N/A</v>
      </c>
      <c r="AM67" s="87" t="str">
        <f>IFERROR(VLOOKUP($B67,'LOD 300 - ADMN'!$B:BO,66,FALSE),"N/A")</f>
        <v>N/A</v>
      </c>
      <c r="AN67" s="87" t="str">
        <f>IFERROR(VLOOKUP($B67,'LOD 300 - ADMN'!$B:BR,69,FALSE),"N/A")</f>
        <v>N/A</v>
      </c>
      <c r="AO67" s="87" t="str">
        <f>IFERROR(VLOOKUP($B67,'LOD 300 - ADMN'!$B:BU,72,FALSE),"N/A")</f>
        <v>N/A</v>
      </c>
      <c r="AP67" s="87" t="str">
        <f>IFERROR(VLOOKUP($B67,'LOD 300 - ADMN'!$B:BX,75,FALSE),"N/A")</f>
        <v>N/A</v>
      </c>
      <c r="AQ67" s="87" t="str">
        <f>IFERROR(VLOOKUP($B67,'LOD 300 - ADMN'!$B:CA,78,FALSE),"N/A")</f>
        <v>N/A</v>
      </c>
      <c r="AR67" s="87" t="str">
        <f>IFERROR(VLOOKUP($B67,'LOD 300 - ADMN'!$B:CD,81,FALSE),"N/A")</f>
        <v>N/A</v>
      </c>
      <c r="AS67" s="87" t="str">
        <f>IFERROR(VLOOKUP($B67,'LOD 300 - ADMN'!$B:CG,84,FALSE),"N/A")</f>
        <v>N/A</v>
      </c>
      <c r="AT67" s="87" t="str">
        <f>IFERROR(VLOOKUP($B67,'LOD 300 - ADMN'!$B:CJ,87,FALSE),"N/A")</f>
        <v>N/A</v>
      </c>
      <c r="AU67" s="88" t="str">
        <f>IFERROR(VLOOKUP($B67,'LOD 300 - ADMN'!$B:CM,90,FALSE),"N/A")</f>
        <v>N/A</v>
      </c>
      <c r="AV67" s="88" t="str">
        <f>IFERROR(VLOOKUP($B67,'LOD 300 - ADMN'!$B:CP,93,FALSE),"N/A")</f>
        <v>N/A</v>
      </c>
      <c r="AW67" s="88" t="str">
        <f>IFERROR(VLOOKUP($B67,'LOD 300 - ADMN'!$B:CS,96,FALSE),"N/A")</f>
        <v>N/A</v>
      </c>
      <c r="AX67" s="88" t="str">
        <f>IFERROR(VLOOKUP($B67,'LOD 300 - ADMN'!$B:CV,99,FALSE),"N/A")</f>
        <v>N/A</v>
      </c>
      <c r="AY67" s="88" t="str">
        <f>IFERROR(VLOOKUP($B67,'LOD 300 - ADMN'!$B:CY,102,FALSE),"N/A")</f>
        <v>N/A</v>
      </c>
      <c r="AZ67" s="88" t="str">
        <f>IFERROR(VLOOKUP($B67,'LOD 300 - ADMN'!$B:DB,105,FALSE),"N/A")</f>
        <v>N/A</v>
      </c>
      <c r="BA67" s="87" t="str">
        <f>IFERROR(VLOOKUP($B67,'LOD 300 - ADMN'!$B:DE,108,FALSE),"N/A")</f>
        <v>N/A</v>
      </c>
      <c r="BB67" s="87" t="str">
        <f>IFERROR(VLOOKUP($B67,'LOD 300 - ADMN'!$B:DH,111,FALSE),"N/A")</f>
        <v>N/A</v>
      </c>
      <c r="BC67" s="87" t="str">
        <f>IFERROR(VLOOKUP($B67,'LOD 300 - ADMN'!$B:DK,114,FALSE),"N/A")</f>
        <v>N/A</v>
      </c>
      <c r="BD67" s="87" t="str">
        <f>IFERROR(VLOOKUP($B67,'LOD 300 - ADMN'!$B:DN,117,FALSE),"N/A")</f>
        <v>N/A</v>
      </c>
      <c r="BE67" s="87" t="str">
        <f>IFERROR(VLOOKUP($B67,'LOD 300 - ADMN'!$B:DQ,120,FALSE),"N/A")</f>
        <v>N/A</v>
      </c>
      <c r="BF67" s="87" t="str">
        <f>IFERROR(VLOOKUP($B67,'LOD 300 - ADMN'!$B:DT,123,FALSE),"N/A")</f>
        <v>N/A</v>
      </c>
      <c r="BG67" s="87" t="str">
        <f>IFERROR(VLOOKUP($B67,'LOD 300 - ADMN'!$B:DW,126,FALSE),"N/A")</f>
        <v>N/A</v>
      </c>
      <c r="BH67" s="87" t="str">
        <f>IFERROR(VLOOKUP($B67,'LOD 300 - ADMN'!$B:DZ,129,FALSE),"N/A")</f>
        <v>N/A</v>
      </c>
      <c r="BI67" s="87" t="str">
        <f>IFERROR(VLOOKUP($B67,'LOD 300 - ADMN'!$B:EC,132,FALSE),"N/A")</f>
        <v>N/A</v>
      </c>
      <c r="BJ67" s="90" t="str">
        <f>IFERROR(__xludf.DUMMYFUNCTION("IFERROR(
  MAX(FILTER(X67:BI67, ISNUMBER(X67:BI67))),
  BI67
)"),"N/A")</f>
        <v>N/A</v>
      </c>
      <c r="BK67" s="91" t="str">
        <f>IFERROR(VLOOKUP($B67,'LOD 300 - COLO1'!$B:S,18,FALSE),"N/A")</f>
        <v>N/A</v>
      </c>
      <c r="BL67" s="92" t="str">
        <f>IFERROR(VLOOKUP($B67,'LOD 300 - COLO1'!$B:V,21,FALSE),"N/A")</f>
        <v>N/A</v>
      </c>
      <c r="BM67" s="92" t="str">
        <f>IFERROR(VLOOKUP($B67,'LOD 300 - COLO1'!$B:Y,24,FALSE),"N/A")</f>
        <v>N/A</v>
      </c>
      <c r="BN67" s="92" t="str">
        <f>IFERROR(VLOOKUP($B67,'LOD 300 - COLO1'!$B:AB,27,FALSE),"N/A")</f>
        <v>N/A</v>
      </c>
      <c r="BO67" s="92" t="str">
        <f>IFERROR(VLOOKUP($B67,'LOD 300 - COLO1'!$B:AE,30,FALSE),"N/A")</f>
        <v>N/A</v>
      </c>
      <c r="BP67" s="92" t="str">
        <f>IFERROR(VLOOKUP($B67,'LOD 300 - COLO1'!$B:AH,33,FALSE),"N/A")</f>
        <v>N/A</v>
      </c>
      <c r="BQ67" s="92" t="str">
        <f>IFERROR(VLOOKUP($B67,'LOD 300 - COLO1'!$B:AK,36,FALSE),"N/A")</f>
        <v>N/A</v>
      </c>
      <c r="BR67" s="92" t="str">
        <f>IFERROR(VLOOKUP($B67,'LOD 300 - COLO1'!$B:AN,39,FALSE),"N/A")</f>
        <v>N/A</v>
      </c>
      <c r="BS67" s="92" t="str">
        <f>IFERROR(VLOOKUP($B67,'LOD 300 - COLO1'!$B:AQ,42,FALSE),"N/A")</f>
        <v>N/A</v>
      </c>
      <c r="BT67" s="92" t="str">
        <f>IFERROR(VLOOKUP($B67,'LOD 300 - COLO1'!$B:AT,45,FALSE),"N/A")</f>
        <v>N/A</v>
      </c>
      <c r="BU67" s="92" t="str">
        <f>IFERROR(VLOOKUP($B67,'LOD 300 - COLO1'!$B:AW,48,FALSE),"N/A")</f>
        <v>N/A</v>
      </c>
      <c r="BV67" s="92" t="str">
        <f>IFERROR(VLOOKUP($B67,'LOD 300 - COLO1'!$B:AZ,51,FALSE),"N/A")</f>
        <v>N/A</v>
      </c>
      <c r="BW67" s="92" t="str">
        <f>IFERROR(VLOOKUP($B67,'LOD 300 - COLO1'!$B:BC,54,FALSE),"N/A")</f>
        <v>N/A</v>
      </c>
      <c r="BX67" s="94" t="str">
        <f>IFERROR(VLOOKUP($B67,'LOD 300 - COLO1'!$B:BF,57,FALSE),"N/A")</f>
        <v>N/A</v>
      </c>
      <c r="BY67" s="94" t="str">
        <f>IFERROR(VLOOKUP($B67,'LOD 300 - COLO1'!$B:BI,60,FALSE),"N/A")</f>
        <v>N/A</v>
      </c>
      <c r="BZ67" s="95" t="str">
        <f>IFERROR(VLOOKUP($B67,'LOD 300 - COLO1'!$B:BL,63,FALSE),"N/A")</f>
        <v>N/A</v>
      </c>
      <c r="CA67" s="86" t="str">
        <f>IFERROR(VLOOKUP($B67,'LOD 300 - COLO1'!$B:BO,66,FALSE),"N/A")</f>
        <v>N/A</v>
      </c>
      <c r="CB67" s="86" t="str">
        <f>IFERROR(VLOOKUP($B67,'LOD 300 - COLO1'!$B:BR,69,FALSE),"N/A")</f>
        <v>N/A</v>
      </c>
      <c r="CC67" s="86" t="str">
        <f>IFERROR(VLOOKUP($B67,'LOD 300 - COLO1'!$B:BU,72,FALSE),"N/A")</f>
        <v>N/A</v>
      </c>
      <c r="CD67" s="86" t="str">
        <f>IFERROR(VLOOKUP($B67,'LOD 300 - COLO1'!$B:BX,75,FALSE),"N/A")</f>
        <v>N/A</v>
      </c>
      <c r="CE67" s="86" t="str">
        <f>IFERROR(VLOOKUP($B67,'LOD 300 - COLO1'!$B:CA,78,FALSE),"N/A")</f>
        <v>N/A</v>
      </c>
      <c r="CF67" s="87" t="str">
        <f>IFERROR(VLOOKUP($B67,'LOD 300 - COLO1'!$B:CD,81,FALSE),"N/A")</f>
        <v>N/A</v>
      </c>
      <c r="CG67" s="86" t="str">
        <f>IFERROR(VLOOKUP($B67,'LOD 300 - COLO1'!$B:CG,84,FALSE),"N/A")</f>
        <v>N/A</v>
      </c>
      <c r="CH67" s="87" t="str">
        <f>IFERROR(VLOOKUP($B67,'LOD 300 - COLO1'!$B:CJ,87,FALSE),"N/A")</f>
        <v>N/A</v>
      </c>
      <c r="CI67" s="88" t="str">
        <f>IFERROR(VLOOKUP($B67,'LOD 300 - COLO1'!$B:CM,90,FALSE),"N/A")</f>
        <v>N/A</v>
      </c>
      <c r="CJ67" s="88" t="str">
        <f>IFERROR(VLOOKUP($B67,'LOD 300 - COLO1'!$B:CP,93,FALSE),"N/A")</f>
        <v>N/A</v>
      </c>
      <c r="CK67" s="88" t="str">
        <f>IFERROR(VLOOKUP($B67,'LOD 300 - COLO1'!$B:CS,96,FALSE),"N/A")</f>
        <v>N/A</v>
      </c>
      <c r="CL67" s="88" t="str">
        <f>IFERROR(VLOOKUP($B67,'LOD 300 - COLO1'!$B:CV,99,FALSE),"N/A")</f>
        <v>N/A</v>
      </c>
      <c r="CM67" s="88" t="str">
        <f>IFERROR(VLOOKUP($B67,'LOD 300 - COLO1'!$B:CY,102,FALSE),"N/A")</f>
        <v>N/A</v>
      </c>
      <c r="CN67" s="89" t="str">
        <f>IFERROR(VLOOKUP($B67,'LOD 300 - COLO1'!$B:DB,105,FALSE),"N/A")</f>
        <v>N/A</v>
      </c>
      <c r="CO67" s="87" t="str">
        <f>IFERROR(VLOOKUP($B67,'LOD 300 - COLO1'!$B:EE,108,FALSE),"N/A")</f>
        <v>N/A</v>
      </c>
      <c r="CP67" s="87" t="str">
        <f>IFERROR(VLOOKUP($B67,'LOD 300 - COLO1'!$B:EH,111,FALSE),"N/A")</f>
        <v>N/A</v>
      </c>
      <c r="CQ67" s="87" t="str">
        <f>IFERROR(VLOOKUP($B67,'LOD 300 - COLO1'!$B:EK,114,FALSE),"N/A")</f>
        <v>N/A</v>
      </c>
      <c r="CR67" s="87" t="str">
        <f>IFERROR(VLOOKUP($B67,'LOD 300 - COLO1'!$B:EN,117,FALSE),"N/A")</f>
        <v>N/A</v>
      </c>
      <c r="CS67" s="87" t="str">
        <f>IFERROR(VLOOKUP($B67,'LOD 300 - COLO1'!$B:EQ,120,FALSE),"N/A")</f>
        <v>N/A</v>
      </c>
      <c r="CT67" s="87" t="str">
        <f>IFERROR(VLOOKUP($B67,'LOD 300 - COLO1'!$B:ET,123,FALSE),"N/A")</f>
        <v>N/A</v>
      </c>
      <c r="CU67" s="87" t="str">
        <f>IFERROR(VLOOKUP($B67,'LOD 300 - COLO1'!$B:EW,126,FALSE),"N/A")</f>
        <v>N/A</v>
      </c>
      <c r="CV67" s="87" t="str">
        <f>IFERROR(VLOOKUP($B67,'LOD 300 - COLO1'!$B:EZ,129,FALSE),"N/A")</f>
        <v>N/A</v>
      </c>
      <c r="CW67" s="87" t="str">
        <f>IFERROR(VLOOKUP($B67,'LOD 300 - COLO1'!$B:FC,132,FALSE),"N/A")</f>
        <v>N/A</v>
      </c>
      <c r="CX67" s="96" t="str">
        <f>IFERROR(__xludf.DUMMYFUNCTION("IFERROR(
  MAX(FILTER(BK67:CW67, ISNUMBER(BK67:CW67))),
  CW67
)"),"N/A")</f>
        <v>N/A</v>
      </c>
      <c r="CY67" s="104" t="str">
        <f>IFERROR(VLOOKUP($B67,'LOD 300 - COLO2'!$B:S,18,FALSE),"N/A")</f>
        <v>N/A</v>
      </c>
      <c r="CZ67" s="117" t="str">
        <f>IFERROR(VLOOKUP($B67,'LOD 300 - COLO2'!$B:V,21,FALSE),"N/A")</f>
        <v>N/A</v>
      </c>
      <c r="DA67" s="117" t="str">
        <f>IFERROR(VLOOKUP($B67,'LOD 300 - COLO2'!$B:Y,24,FALSE),"N/A")</f>
        <v>N/A</v>
      </c>
      <c r="DB67" s="117" t="str">
        <f>IFERROR(VLOOKUP($B67,'LOD 300 - COLO2'!$B:AB,27,FALSE),"N/A")</f>
        <v>N/A</v>
      </c>
      <c r="DC67" s="92" t="str">
        <f>IFERROR(VLOOKUP($B67,'LOD 300 - COLO2'!$B:AE,30,FALSE),"N/A")</f>
        <v>N/A</v>
      </c>
      <c r="DD67" s="120" t="str">
        <f>IFERROR(VLOOKUP($B67,'LOD 300 - COLO2'!$B:AH,33,FALSE),"N/A")</f>
        <v>N/A</v>
      </c>
      <c r="DE67" s="117" t="str">
        <f>IFERROR(VLOOKUP($B67,'LOD 300 - COLO2'!$B:AK,36,FALSE),"N/A")</f>
        <v>N/A</v>
      </c>
      <c r="DF67" s="117" t="str">
        <f>IFERROR(VLOOKUP($B67,'LOD 300 - COLO2'!$B:AN,39,FALSE),"N/A")</f>
        <v>N/A</v>
      </c>
      <c r="DG67" s="119" t="str">
        <f>IFERROR(VLOOKUP($B67,'LOD 300 - COLO2'!$B:AQ,42,FALSE),"N/A")</f>
        <v>N/A</v>
      </c>
      <c r="DH67" s="87" t="str">
        <f>IFERROR(VLOOKUP($B67,'LOD 300 - COLO2'!$B:AT,45,FALSE),"N/A")</f>
        <v>N/A</v>
      </c>
      <c r="DI67" s="94" t="str">
        <f>IFERROR(VLOOKUP($B67,'LOD 300 - COLO2'!$B:AW,48,FALSE),"N/A")</f>
        <v>N/A</v>
      </c>
      <c r="DJ67" s="95" t="str">
        <f>IFERROR(VLOOKUP($B67,'LOD 300 - COLO2'!$B:AZ,51,FALSE),"N/A")</f>
        <v>N/A</v>
      </c>
      <c r="DK67" s="86" t="str">
        <f>IFERROR(VLOOKUP($B67,'LOD 300 - COLO2'!$B:BC,54,FALSE),"N/A")</f>
        <v>N/A</v>
      </c>
      <c r="DL67" s="86" t="str">
        <f>IFERROR(VLOOKUP($B67,'LOD 300 - COLO2'!$B:BF,57,FALSE),"N/A")</f>
        <v>N/A</v>
      </c>
      <c r="DM67" s="86" t="str">
        <f>IFERROR(VLOOKUP($B67,'LOD 300 - COLO2'!$B:BI,60,FALSE),"N/A")</f>
        <v>N/A</v>
      </c>
      <c r="DN67" s="86" t="str">
        <f>IFERROR(VLOOKUP($B67,'LOD 300 - COLO2'!$B:BL,63,FALSE),"N/A")</f>
        <v>N/A</v>
      </c>
      <c r="DO67" s="86" t="str">
        <f>IFERROR(VLOOKUP($B67,'LOD 300 - COLO2'!$B:BO,66,FALSE),"N/A")</f>
        <v>N/A</v>
      </c>
      <c r="DP67" s="87" t="str">
        <f>IFERROR(VLOOKUP($B67,'LOD 300 - COLO2'!$B:BR,69,FALSE),"N/A")</f>
        <v>N/A</v>
      </c>
      <c r="DQ67" s="87" t="str">
        <f>IFERROR(VLOOKUP($B67,'LOD 300 - COLO2'!$B:BU,72,FALSE),"N/A")</f>
        <v>N/A</v>
      </c>
      <c r="DR67" s="87" t="str">
        <f>IFERROR(VLOOKUP($B67,'LOD 300 - COLO2'!$B:BX,75,FALSE),"N/A")</f>
        <v>N/A</v>
      </c>
      <c r="DS67" s="98" t="str">
        <f>IFERROR(VLOOKUP($B67,'LOD 300 - COLO2'!$B:CA,78,FALSE),"N/A")</f>
        <v>N/A</v>
      </c>
      <c r="DT67" s="98" t="str">
        <f>IFERROR(VLOOKUP($B67,'LOD 300 - COLO2'!$B:CD,81,FALSE),"N/A")</f>
        <v>N/A</v>
      </c>
      <c r="DU67" s="98" t="str">
        <f>IFERROR(VLOOKUP($B67,'LOD 300 - COLO2'!$B:CG,84,FALSE),"N/A")</f>
        <v>N/A</v>
      </c>
      <c r="DV67" s="98" t="str">
        <f>IFERROR(VLOOKUP($B67,'LOD 300 - COLO2'!$B:CJ,87,FALSE),"N/A")</f>
        <v>N/A</v>
      </c>
      <c r="DW67" s="98" t="str">
        <f>IFERROR(VLOOKUP($B67,'LOD 300 - COLO2'!$B:CM,90,FALSE),"N/A")</f>
        <v>N/A</v>
      </c>
      <c r="DX67" s="98" t="str">
        <f>IFERROR(VLOOKUP($B67,'LOD 300 - COLO2'!$B:CP,93,FALSE),"N/A")</f>
        <v>N/A</v>
      </c>
      <c r="DY67" s="87" t="str">
        <f>IFERROR(VLOOKUP($B67,'LOD 300 - COLO2'!$B:CS,96,FALSE),"N/A")</f>
        <v>N/A</v>
      </c>
      <c r="DZ67" s="87" t="str">
        <f>IFERROR(VLOOKUP($B67,'LOD 300 - COLO2'!$B:CV,99,FALSE),"N/A")</f>
        <v>N/A</v>
      </c>
      <c r="EA67" s="87" t="str">
        <f>IFERROR(VLOOKUP($B67,'LOD 300 - COLO2'!$B:DB,105,FALSE),"N/A")</f>
        <v>N/A</v>
      </c>
      <c r="EB67" s="87" t="str">
        <f>IFERROR(VLOOKUP($B67,'LOD 300 - COLO2'!$B:DB,105,FALSE),"N/A")</f>
        <v>N/A</v>
      </c>
      <c r="EC67" s="87" t="str">
        <f>IFERROR(VLOOKUP($B67,'LOD 300 - COLO2'!$B:DE,108,FALSE),"N/A")</f>
        <v>N/A</v>
      </c>
      <c r="ED67" s="87" t="str">
        <f>IFERROR(VLOOKUP($B67,'LOD 300 - COLO2'!$B:DH,111,FALSE),"N/A")</f>
        <v>N/A</v>
      </c>
      <c r="EE67" s="87" t="str">
        <f>IFERROR(VLOOKUP($B67,'LOD 300 - COLO2'!$B:DK,114,FALSE),"N/A")</f>
        <v>N/A</v>
      </c>
      <c r="EF67" s="87" t="str">
        <f>IFERROR(VLOOKUP($B67,'LOD 300 - COLO2'!$B:DN,117,FALSE),"N/A")</f>
        <v>N/A</v>
      </c>
      <c r="EG67" s="87" t="str">
        <f>IFERROR(VLOOKUP($B67,'LOD 300 - COLO2'!$B:DQ,120,FALSE),"N/A")</f>
        <v>N/A</v>
      </c>
      <c r="EH67" s="99" t="str">
        <f>IFERROR(__xludf.DUMMYFUNCTION("IFERROR(
  MAX(FILTER(CZ67:EG67, ISNUMBER(CZ67:EG67))),
  EG67
)"),"N/A")</f>
        <v>N/A</v>
      </c>
      <c r="EI67" s="100" t="str">
        <f>IFERROR(VLOOKUP($B67,'LOD 300 - COLO3'!$B:R,17,FALSE),"N/A")</f>
        <v>N/A</v>
      </c>
      <c r="EJ67" s="127" t="str">
        <f>IFERROR(VLOOKUP($B67,'LOD 300 - COLO3'!$B:U,20,FALSE),"N/A")</f>
        <v>N/A</v>
      </c>
      <c r="EK67" s="127" t="str">
        <f>IFERROR(VLOOKUP($B67,'LOD 300 - COLO3'!$B:X,23,FALSE),"N/A")</f>
        <v>N/A</v>
      </c>
      <c r="EL67" s="127" t="str">
        <f>IFERROR(VLOOKUP($B67,'LOD 300 - COLO3'!$B:AA,26,FALSE),"N/A")</f>
        <v>N/A</v>
      </c>
      <c r="EM67" s="127" t="str">
        <f>IFERROR(VLOOKUP($B67,'LOD 300 - COLO3'!$B:AD,29,FALSE),"N/A")</f>
        <v>N/A</v>
      </c>
      <c r="EN67" s="127" t="str">
        <f>IFERROR(VLOOKUP($B67,'LOD 300 - COLO3'!$B:AG,32,FALSE),"N/A")</f>
        <v>N/A</v>
      </c>
      <c r="EO67" s="127" t="str">
        <f>IFERROR(VLOOKUP($B67,'LOD 300 - COLO3'!$B:AJ,35,FALSE),"N/A")</f>
        <v>N/A</v>
      </c>
      <c r="EP67" s="100" t="str">
        <f>IFERROR(VLOOKUP($B67,'LOD 300 - COLO3'!$B:AM,38,FALSE),"N/A")</f>
        <v>N/A</v>
      </c>
      <c r="EQ67" s="100" t="str">
        <f>IFERROR(VLOOKUP($B67,'LOD 300 - COLO3'!$B:AP,41,FALSE),"N/A")</f>
        <v>N/A</v>
      </c>
      <c r="ER67" s="100" t="str">
        <f>IFERROR(VLOOKUP($B67,'LOD 300 - COLO3'!$B:AS,44,FALSE),"N/A")</f>
        <v>N/A</v>
      </c>
      <c r="ES67" s="100" t="str">
        <f>IFERROR(VLOOKUP($B67,'LOD 300 - COLO3'!$B:AV,47,FALSE),"N/A")</f>
        <v>N/A</v>
      </c>
      <c r="ET67" s="100" t="str">
        <f>IFERROR(VLOOKUP($B67,'LOD 300 - COLO3'!$B:AY,50,FALSE),"N/A")</f>
        <v>N/A</v>
      </c>
      <c r="EU67" s="100" t="str">
        <f>IFERROR(VLOOKUP($B67,'LOD 300 - COLO3'!$B:BB,53,FALSE),"N/A")</f>
        <v>N/A</v>
      </c>
      <c r="EV67" s="100" t="str">
        <f>IFERROR(VLOOKUP($B67,'LOD 300 - COLO3'!$B:BE,56,FALSE),"N/A")</f>
        <v>N/A</v>
      </c>
      <c r="EW67" s="100" t="str">
        <f>IFERROR(VLOOKUP($B67,'LOD 300 - COLO3'!$B:BL,59,FALSE),"N/A")</f>
        <v>N/A</v>
      </c>
      <c r="EX67" s="100" t="str">
        <f>IFERROR(VLOOKUP($B67,'LOD 300 - COLO3'!$B:BO,62,FALSE),"N/A")</f>
        <v>N/A</v>
      </c>
      <c r="EY67" s="103" t="str">
        <f>IFERROR(__xludf.DUMMYFUNCTION("IFERROR(
  MAX(FILTER(EI67:EX67, ISNUMBER(EI67:EX67))),
  EX67
)"),"N/A")</f>
        <v>N/A</v>
      </c>
      <c r="EZ67" s="104" t="str">
        <f>IFERROR(VLOOKUP($B67,'LOD 300 - COLO4'!$B:BT,17,FALSE),"N/A")</f>
        <v>N/A</v>
      </c>
      <c r="FA67" s="103" t="str">
        <f>IFERROR(__xludf.DUMMYFUNCTION("IFERROR(
  MAX(FILTER(EZ67, ISNUMBER(EZ67))),
  EZ67
)"),"N/A")</f>
        <v>N/A</v>
      </c>
      <c r="FB67" s="121">
        <f>IFERROR(VLOOKUP($B67,'LOD 300 - SITE'!$B:S,18,FALSE),"N/A")</f>
        <v>0.73</v>
      </c>
      <c r="FC67" s="122">
        <f>IFERROR(VLOOKUP($B67,'LOD 300 - SITE'!$B:V,21,FALSE),"N/A")</f>
        <v>0.92</v>
      </c>
      <c r="FD67" s="122" t="str">
        <f>IFERROR(VLOOKUP($B67,'LOD 300 - SITE'!$B:Y,24,FALSE),"N/A")</f>
        <v>OUTDATED MODEL</v>
      </c>
      <c r="FE67" s="122" t="str">
        <f>IFERROR(VLOOKUP($B67,'LOD 300 - SITE'!$B:AB,27,FALSE),"N/A")</f>
        <v>OUTDATED MODEL</v>
      </c>
      <c r="FF67" s="122" t="str">
        <f>IFERROR(VLOOKUP($B67,'LOD 300 - SITE'!$B:AE,30,FALSE),"N/A")</f>
        <v>OUTDATED MODEL</v>
      </c>
      <c r="FG67" s="122" t="str">
        <f>IFERROR(VLOOKUP($B67,'LOD 300 - SITE'!$B:AH,33,FALSE),"N/A")</f>
        <v>OUTDATED MODEL</v>
      </c>
      <c r="FH67" s="122" t="str">
        <f>IFERROR(VLOOKUP($B67,'LOD 300 - SITE'!$B:AK,36,FALSE),"N/A")</f>
        <v>OUTDATED MODEL</v>
      </c>
      <c r="FI67" s="122" t="str">
        <f>IFERROR(VLOOKUP($B67,'LOD 300 - SITE'!$B:AN,39,FALSE),"N/A")</f>
        <v>OUTDATED MODEL</v>
      </c>
      <c r="FJ67" s="122" t="str">
        <f>IFERROR(VLOOKUP($B67,'LOD 300 - SITE'!$B:AQ,42,FALSE),"N/A")</f>
        <v>OUTDATED MODEL</v>
      </c>
      <c r="FK67" s="122" t="str">
        <f>IFERROR(VLOOKUP($B67,'LOD 300 - SITE'!$B:AT,45,FALSE),"N/A")</f>
        <v>OUTDATED MODEL</v>
      </c>
      <c r="FL67" s="123" t="str">
        <f>IFERROR(VLOOKUP($B67,'LOD 300 - SITE'!$B:AW,48,FALSE),"N/A")</f>
        <v>NEXT ROUND</v>
      </c>
      <c r="FM67" s="87" t="str">
        <f>IFERROR(VLOOKUP($B67,'LOD 300 - SITE'!$B:AZ,51,FALSE),"N/A")</f>
        <v>IMPROPER</v>
      </c>
      <c r="FN67" s="94">
        <f>IFERROR(VLOOKUP($B67,'LOD 300 - SITE'!$B:BC,54,FALSE),"N/A")</f>
        <v>0.78</v>
      </c>
      <c r="FO67" s="95" t="str">
        <f>IFERROR(VLOOKUP($B67,'LOD 300 - SITE'!$B:BF,57,FALSE),"N/A")</f>
        <v>OUTDATED MODEL</v>
      </c>
      <c r="FP67" s="86" t="str">
        <f>IFERROR(VLOOKUP($B67,'LOD 300 - SITE'!$B:BI,60,FALSE),"N/A")</f>
        <v>IMPROPER</v>
      </c>
      <c r="FQ67" s="86" t="str">
        <f>IFERROR(VLOOKUP($B67,'LOD 300 - SITE'!$B:BL,63,FALSE),"N/A")</f>
        <v>NEXT ROUND</v>
      </c>
      <c r="FR67" s="86" t="str">
        <f>IFERROR(VLOOKUP($B67,'LOD 300 - SITE'!$B:BO,66,FALSE),"N/A")</f>
        <v>NEXT ROUND</v>
      </c>
      <c r="FS67" s="86" t="str">
        <f>IFERROR(VLOOKUP($B67,'LOD 300 - SITE'!$B:BR,69,FALSE),"N/A")</f>
        <v>NEXT ROUND</v>
      </c>
      <c r="FT67" s="86" t="str">
        <f>IFERROR(VLOOKUP($B67,'LOD 300 - SITE'!$B:BU,72,FALSE),"N/A")</f>
        <v>NEXT ROUND</v>
      </c>
      <c r="FU67" s="86">
        <f>IFERROR(VLOOKUP($B67,'LOD 300 - SITE'!$B:BX,75,FALSE),"N/A")</f>
        <v>0.69</v>
      </c>
      <c r="FV67" s="86">
        <f>IFERROR(VLOOKUP($B67,'LOD 300 - SITE'!$B:CA,78,FALSE),"N/A")</f>
        <v>0.7</v>
      </c>
      <c r="FW67" s="87" t="str">
        <f>IFERROR(VLOOKUP($B67,'LOD 300 - SITE'!$B:CD,81,FALSE),"N/A")</f>
        <v>NEXT ROUND</v>
      </c>
      <c r="FX67" s="108">
        <f>IFERROR(VLOOKUP($B67,'LOD 300 - SITE'!$B:CG,84,FALSE),"N/A")</f>
        <v>1</v>
      </c>
      <c r="FY67" s="108">
        <f>IFERROR(VLOOKUP($B67,'LOD 300 - SITE'!$B:CJ,87,FALSE),"N/A")</f>
        <v>1</v>
      </c>
      <c r="FZ67" s="108">
        <f>IFERROR(VLOOKUP($B67,'LOD 300 - SITE'!$B:CM,90,FALSE),"N/A")</f>
        <v>1</v>
      </c>
      <c r="GA67" s="108">
        <f>IFERROR(VLOOKUP($B67,'LOD 300 - SITE'!$B:CP,93,FALSE),"N/A")</f>
        <v>1</v>
      </c>
      <c r="GB67" s="108">
        <f>IFERROR(VLOOKUP($B67,'LOD 300 - SITE'!$B:CS,96,FALSE),"N/A")</f>
        <v>1</v>
      </c>
      <c r="GC67" s="109">
        <f>IFERROR(VLOOKUP($B67,'LOD 300 - SITE'!$B:CV,99,FALSE),"N/A")</f>
        <v>1</v>
      </c>
      <c r="GD67" s="87">
        <f>IFERROR(VLOOKUP($B67,'LOD 300 - SITE'!$B:CY,102,FALSE),"N/A")</f>
        <v>1</v>
      </c>
      <c r="GE67" s="87">
        <f>IFERROR(VLOOKUP($B67,'LOD 300 - SITE'!$B:DB,105,FALSE),"N/A")</f>
        <v>1</v>
      </c>
      <c r="GF67" s="87">
        <f>IFERROR(VLOOKUP($B67,'LOD 300 - SITE'!$B:DE,108,FALSE),"N/A")</f>
        <v>1</v>
      </c>
      <c r="GG67" s="87">
        <f>IFERROR(VLOOKUP($B67,'LOD 300 - SITE'!$B:DH,111,FALSE),"N/A")</f>
        <v>1</v>
      </c>
      <c r="GH67" s="87">
        <f>IFERROR(VLOOKUP($B67,'LOD 300 - SITE'!$B:DK,114,FALSE),"N/A")</f>
        <v>1</v>
      </c>
      <c r="GI67" s="87">
        <f>IFERROR(VLOOKUP($B67,'LOD 300 - SITE'!$B:DN,117,FALSE),"N/A")</f>
        <v>1</v>
      </c>
      <c r="GJ67" s="87">
        <f>IFERROR(VLOOKUP($B67,'LOD 300 - SITE'!$B:DQ,120,FALSE),"N/A")</f>
        <v>1</v>
      </c>
      <c r="GK67" s="87">
        <f>IFERROR(VLOOKUP($B67,'LOD 300 - SITE'!$B:DT,123,FALSE),"N/A")</f>
        <v>1</v>
      </c>
      <c r="GL67" s="87">
        <f>IFERROR(VLOOKUP($B67,'LOD 300 - SITE'!$B:DW,126,FALSE),"N/A")</f>
        <v>1</v>
      </c>
      <c r="GM67" s="110">
        <f>IFERROR(__xludf.DUMMYFUNCTION("IFERROR(
  MAX(FILTER(FB67:GL67, ISNUMBER(FB67:GL67))),
  GL67
)"),1.0)</f>
        <v>1</v>
      </c>
      <c r="GN67" s="68"/>
      <c r="GO67" s="68"/>
      <c r="GP67" s="68"/>
    </row>
    <row r="68" ht="15.0" customHeight="1" outlineLevel="1">
      <c r="A68" s="60">
        <v>71.0</v>
      </c>
      <c r="B68" s="140" t="s">
        <v>236</v>
      </c>
      <c r="C68" s="70" t="s">
        <v>237</v>
      </c>
      <c r="D68" s="71" t="s">
        <v>85</v>
      </c>
      <c r="E68" s="146" t="s">
        <v>169</v>
      </c>
      <c r="F68" s="13">
        <v>1112.0</v>
      </c>
      <c r="G68" s="139" t="s">
        <v>169</v>
      </c>
      <c r="H68" s="139">
        <v>1112.0</v>
      </c>
      <c r="I68" s="74" t="str">
        <f>IFERROR(VLOOKUP(C65:C207,'R22 RELATÓRIO ACC'!B:F,5,FALSE),"NOT PUBLISHED")</f>
        <v>V24</v>
      </c>
      <c r="J68" s="74" t="str">
        <f>IFERROR(VLOOKUP(C65:C207,'R22 RELATÓRIO ACC'!B:P,15,FALSE),"NOT PUBLISHED")</f>
        <v>15/05/2026</v>
      </c>
      <c r="K68" s="141" t="str">
        <f>IFERROR(VLOOKUP(B65:B255,'RELATÓRIO ACC'!B:F,5,FALSE),"NOT PUBLISHED")</f>
        <v>V2</v>
      </c>
      <c r="L68" s="142" t="str">
        <f>IFERROR(VLOOKUP(B65:B255,'RELATÓRIO ACC'!B:P,15,FALSE),"NOT PUBLISHED")</f>
        <v>06/07/2026</v>
      </c>
      <c r="M68" s="76" t="str">
        <f>IF(OR($D68="UTLS",$D68="GUAR",$D68="STIR",$D68="PUMP",$D68="SITE"),
   VLOOKUP($B68,'LOD 300 - SITE'!B:M,12,FALSE),
   VLOOKUP($B68,'LOD 300 - ADMN'!B:M,12,FALSE)
)</f>
        <v>V20</v>
      </c>
      <c r="N68" s="77" t="str">
        <f>IF(OR($D68="UTLS",$D68="GUAR",$D68="STIR",$D68="PUMP",$D68="SITE"),
   VLOOKUP($B68,'LOD 300 - SITE'!B:N,13,FALSE),
   VLOOKUP($B68,'LOD 300 - ADMN'!B:N,13,FALSE)
)</f>
        <v>10/04/2026</v>
      </c>
      <c r="O68" s="114" t="str">
        <f>IF(OR($D68="UTLS",$D68="GUAR",$D68="STIR",$D68="PUMP",$D68="SITE"),
   VLOOKUP($B68,'LOD 300 - SITE'!B:O,14,FALSE),
   VLOOKUP($B68,'LOD 300 - ADMN'!B:O,14,FALSE)
)</f>
        <v>R22</v>
      </c>
      <c r="P68" s="79" t="str">
        <f>IF(OR($D68="C345",$D68="C12A",$D68="DATA"),
   VLOOKUP($B68,'LOD 300 - COLO3'!B:M,12,FALSE),"N/A")</f>
        <v>V2</v>
      </c>
      <c r="Q68" s="77">
        <f>IF(OR($D68="C345",$D68="C12A",$D68="DATA"),
   VLOOKUP($B68,'LOD 300 - COLO3'!B:N,13,FALSE),"N/A")</f>
        <v>46209</v>
      </c>
      <c r="R68" s="76" t="str">
        <f>IF(OR($D68="C345",$D68="C12A",$D68="DATA"),
   VLOOKUP($B68,'LOD 300 - COLO3'!B:O,14,FALSE),"N/A")</f>
        <v>R24</v>
      </c>
      <c r="S68" s="79" t="str">
        <f>IF(OR($D68="C345",$D68="C12A",$D68="DATA"),
   VLOOKUP($B68,'LOD 300 - COLO4'!B:M,12,FALSE),"N/A")</f>
        <v>N/A</v>
      </c>
      <c r="T68" s="76" t="str">
        <f>IF(OR($D68="C345",$D68="C12A",$D68="DATA"),
   VLOOKUP($B68,'LOD 300 - COLO4'!B:T,13,FALSE),"N/A")</f>
        <v>N/A</v>
      </c>
      <c r="U68" s="81">
        <f>IF(OR($D68="C345",$D68="C12A",$D68="DATA"),
   VLOOKUP($B68,'LOD 300 - COLO4'!B:U,17,FALSE),"N/A")</f>
        <v>0</v>
      </c>
      <c r="V68" s="126" t="s">
        <v>87</v>
      </c>
      <c r="W68" s="144">
        <f>IFERROR(VLOOKUP($B68,'LOD 300 - ADMN'!$B:S,18,FALSE),"N/A")</f>
        <v>0.75</v>
      </c>
      <c r="X68" s="122" t="str">
        <f>IFERROR(VLOOKUP($B68,'LOD 300 - ADMN'!$B:V,21,FALSE),"N/A")</f>
        <v>OUTDATED MODEL</v>
      </c>
      <c r="Y68" s="122">
        <f>IFERROR(VLOOKUP($B68,'LOD 300 - ADMN'!$B:Y,24,FALSE),"N/A")</f>
        <v>0.56</v>
      </c>
      <c r="Z68" s="122">
        <f>IFERROR(VLOOKUP($B68,'LOD 300 - ADMN'!$B:AB,27,FALSE),"N/A")</f>
        <v>0.63</v>
      </c>
      <c r="AA68" s="122" t="str">
        <f>IFERROR(VLOOKUP($B68,'LOD 300 - ADMN'!$B:AE,30,FALSE),"N/A")</f>
        <v>OUTDATED MODEL</v>
      </c>
      <c r="AB68" s="145" t="str">
        <f>IFERROR(VLOOKUP($B68,'LOD 300 - ADMN'!$B:AH,33,FALSE),"N/A")</f>
        <v>OUTDATED MODEL</v>
      </c>
      <c r="AC68" s="145" t="str">
        <f>IFERROR(VLOOKUP($B68,'LOD 300 - ADMN'!$B:AK,36,FALSE),"N/A")</f>
        <v>OUTDATED MODEL</v>
      </c>
      <c r="AD68" s="122" t="str">
        <f>IFERROR(VLOOKUP($B68,'LOD 300 - ADMN'!$B:AN,39,FALSE),"N/A")</f>
        <v>OUTDATED MODEL</v>
      </c>
      <c r="AE68" s="122" t="str">
        <f>IFERROR(VLOOKUP($B68,'LOD 300 - ADMN'!$B:AQ,42,FALSE),"N/A")</f>
        <v>OUTDATED MODEL</v>
      </c>
      <c r="AF68" s="122" t="str">
        <f>IFERROR(VLOOKUP($B68,'LOD 300 - ADMN'!$B:AT,45,FALSE),"N/A")</f>
        <v>OUTDATED MODEL</v>
      </c>
      <c r="AG68" s="122" t="str">
        <f>IFERROR(VLOOKUP($B68,'LOD 300 - ADMN'!$B:AW,48,FALSE),"N/A")</f>
        <v>NEXT ROUND</v>
      </c>
      <c r="AH68" s="122" t="str">
        <f>IFERROR(VLOOKUP($B68,'LOD 300 - ADMN'!$B:AZ,51,FALSE),"N/A")</f>
        <v>IMPROPER</v>
      </c>
      <c r="AI68" s="122" t="str">
        <f>IFERROR(VLOOKUP($B68,'LOD 300 - ADMN'!$B:BC,54,FALSE),"N/A")</f>
        <v>NEXT ROUND</v>
      </c>
      <c r="AJ68" s="87" t="str">
        <f>IFERROR(VLOOKUP($B68,'LOD 300 - ADMN'!$B:BF,57,FALSE),"N/A")</f>
        <v>IMPROPER</v>
      </c>
      <c r="AK68" s="87">
        <f>IFERROR(VLOOKUP($B68,'LOD 300 - ADMN'!$B:EP,60,FALSE),"N/A")</f>
        <v>0.75</v>
      </c>
      <c r="AL68" s="87" t="str">
        <f>IFERROR(VLOOKUP($B68,'LOD 300 - ADMN'!$B:EQ,63,FALSE),"N/A")</f>
        <v>OUTDATED MODEL</v>
      </c>
      <c r="AM68" s="87" t="str">
        <f>IFERROR(VLOOKUP($B68,'LOD 300 - ADMN'!$B:BO,66,FALSE),"N/A")</f>
        <v>IMPROPER</v>
      </c>
      <c r="AN68" s="87" t="str">
        <f>IFERROR(VLOOKUP($B68,'LOD 300 - ADMN'!$B:BR,69,FALSE),"N/A")</f>
        <v>NEXT ROUND</v>
      </c>
      <c r="AO68" s="87" t="str">
        <f>IFERROR(VLOOKUP($B68,'LOD 300 - ADMN'!$B:BU,72,FALSE),"N/A")</f>
        <v>NEXT ROUND</v>
      </c>
      <c r="AP68" s="87">
        <f>IFERROR(VLOOKUP($B68,'LOD 300 - ADMN'!$B:BX,75,FALSE),"N/A")</f>
        <v>0.84</v>
      </c>
      <c r="AQ68" s="87" t="str">
        <f>IFERROR(VLOOKUP($B68,'LOD 300 - ADMN'!$B:CA,78,FALSE),"N/A")</f>
        <v>OUTDATED MODEL</v>
      </c>
      <c r="AR68" s="87" t="str">
        <f>IFERROR(VLOOKUP($B68,'LOD 300 - ADMN'!$B:CD,81,FALSE),"N/A")</f>
        <v>OUTDATED MODEL</v>
      </c>
      <c r="AS68" s="87">
        <f>IFERROR(VLOOKUP($B68,'LOD 300 - ADMN'!$B:CG,84,FALSE),"N/A")</f>
        <v>0.91</v>
      </c>
      <c r="AT68" s="87">
        <f>IFERROR(VLOOKUP($B68,'LOD 300 - ADMN'!$B:CJ,87,FALSE),"N/A")</f>
        <v>0.98</v>
      </c>
      <c r="AU68" s="88" t="str">
        <f>IFERROR(VLOOKUP($B68,'LOD 300 - ADMN'!$B:CM,90,FALSE),"N/A")</f>
        <v>NEXT ROUND</v>
      </c>
      <c r="AV68" s="88">
        <f>IFERROR(VLOOKUP($B68,'LOD 300 - ADMN'!$B:CP,93,FALSE),"N/A")</f>
        <v>1</v>
      </c>
      <c r="AW68" s="88">
        <f>IFERROR(VLOOKUP($B68,'LOD 300 - ADMN'!$B:CS,96,FALSE),"N/A")</f>
        <v>1</v>
      </c>
      <c r="AX68" s="88">
        <f>IFERROR(VLOOKUP($B68,'LOD 300 - ADMN'!$B:CV,99,FALSE),"N/A")</f>
        <v>1</v>
      </c>
      <c r="AY68" s="88">
        <f>IFERROR(VLOOKUP($B68,'LOD 300 - ADMN'!$B:CY,102,FALSE),"N/A")</f>
        <v>1</v>
      </c>
      <c r="AZ68" s="88">
        <f>IFERROR(VLOOKUP($B68,'LOD 300 - ADMN'!$B:DB,105,FALSE),"N/A")</f>
        <v>1</v>
      </c>
      <c r="BA68" s="87">
        <f>IFERROR(VLOOKUP($B68,'LOD 300 - ADMN'!$B:DE,108,FALSE),"N/A")</f>
        <v>1</v>
      </c>
      <c r="BB68" s="87">
        <f>IFERROR(VLOOKUP($B68,'LOD 300 - ADMN'!$B:DH,111,FALSE),"N/A")</f>
        <v>1</v>
      </c>
      <c r="BC68" s="87">
        <f>IFERROR(VLOOKUP($B68,'LOD 300 - ADMN'!$B:DK,114,FALSE),"N/A")</f>
        <v>1</v>
      </c>
      <c r="BD68" s="87">
        <f>IFERROR(VLOOKUP($B68,'LOD 300 - ADMN'!$B:DN,117,FALSE),"N/A")</f>
        <v>1</v>
      </c>
      <c r="BE68" s="87">
        <f>IFERROR(VLOOKUP($B68,'LOD 300 - ADMN'!$B:DQ,120,FALSE),"N/A")</f>
        <v>1</v>
      </c>
      <c r="BF68" s="87">
        <f>IFERROR(VLOOKUP($B68,'LOD 300 - ADMN'!$B:DT,123,FALSE),"N/A")</f>
        <v>1</v>
      </c>
      <c r="BG68" s="87">
        <f>IFERROR(VLOOKUP($B68,'LOD 300 - ADMN'!$B:DW,126,FALSE),"N/A")</f>
        <v>1</v>
      </c>
      <c r="BH68" s="87">
        <f>IFERROR(VLOOKUP($B68,'LOD 300 - ADMN'!$B:DZ,129,FALSE),"N/A")</f>
        <v>1</v>
      </c>
      <c r="BI68" s="87">
        <f>IFERROR(VLOOKUP($B68,'LOD 300 - ADMN'!$B:EC,132,FALSE),"N/A")</f>
        <v>1</v>
      </c>
      <c r="BJ68" s="90">
        <f>IFERROR(__xludf.DUMMYFUNCTION("IFERROR(
  MAX(FILTER(X68:BI68, ISNUMBER(X68:BI68))),
  BI68
)"),1.0)</f>
        <v>1</v>
      </c>
      <c r="BK68" s="91">
        <f>IFERROR(VLOOKUP($B68,'LOD 300 - COLO1'!$B:S,18,FALSE),"N/A")</f>
        <v>0.4</v>
      </c>
      <c r="BL68" s="92" t="str">
        <f>IFERROR(VLOOKUP($B68,'LOD 300 - COLO1'!$B:V,21,FALSE),"N/A")</f>
        <v>OUTDATED MODEL</v>
      </c>
      <c r="BM68" s="92">
        <f>IFERROR(VLOOKUP($B68,'LOD 300 - COLO1'!$B:Y,24,FALSE),"N/A")</f>
        <v>0.57</v>
      </c>
      <c r="BN68" s="92">
        <f>IFERROR(VLOOKUP($B68,'LOD 300 - COLO1'!$B:AB,27,FALSE),"N/A")</f>
        <v>0.66</v>
      </c>
      <c r="BO68" s="92" t="str">
        <f>IFERROR(VLOOKUP($B68,'LOD 300 - COLO1'!$B:AE,30,FALSE),"N/A")</f>
        <v>OUTDATED MODEL</v>
      </c>
      <c r="BP68" s="92" t="str">
        <f>IFERROR(VLOOKUP($B68,'LOD 300 - COLO1'!$B:AH,33,FALSE),"N/A")</f>
        <v>OUTDATED MODEL</v>
      </c>
      <c r="BQ68" s="92" t="str">
        <f>IFERROR(VLOOKUP($B68,'LOD 300 - COLO1'!$B:AK,36,FALSE),"N/A")</f>
        <v>OUTDATED MODEL</v>
      </c>
      <c r="BR68" s="92" t="str">
        <f>IFERROR(VLOOKUP($B68,'LOD 300 - COLO1'!$B:AN,39,FALSE),"N/A")</f>
        <v>OUTDATED MODEL</v>
      </c>
      <c r="BS68" s="92" t="str">
        <f>IFERROR(VLOOKUP($B68,'LOD 300 - COLO1'!$B:AQ,42,FALSE),"N/A")</f>
        <v>OUTDATED MODEL</v>
      </c>
      <c r="BT68" s="92" t="str">
        <f>IFERROR(VLOOKUP($B68,'LOD 300 - COLO1'!$B:AT,45,FALSE),"N/A")</f>
        <v>OUTDATED MODEL</v>
      </c>
      <c r="BU68" s="92" t="str">
        <f>IFERROR(VLOOKUP($B68,'LOD 300 - COLO1'!$B:AW,48,FALSE),"N/A")</f>
        <v>NEXT ROUND</v>
      </c>
      <c r="BV68" s="92" t="str">
        <f>IFERROR(VLOOKUP($B68,'LOD 300 - COLO1'!$B:AZ,51,FALSE),"N/A")</f>
        <v>IMPROPER</v>
      </c>
      <c r="BW68" s="92" t="str">
        <f>IFERROR(VLOOKUP($B68,'LOD 300 - COLO1'!$B:BC,54,FALSE),"N/A")</f>
        <v>NEXT ROUND</v>
      </c>
      <c r="BX68" s="94" t="str">
        <f>IFERROR(VLOOKUP($B68,'LOD 300 - COLO1'!$B:BF,57,FALSE),"N/A")</f>
        <v>IMPROPER</v>
      </c>
      <c r="BY68" s="94">
        <f>IFERROR(VLOOKUP($B68,'LOD 300 - COLO1'!$B:BI,60,FALSE),"N/A")</f>
        <v>0.78</v>
      </c>
      <c r="BZ68" s="95" t="str">
        <f>IFERROR(VLOOKUP($B68,'LOD 300 - COLO1'!$B:BL,63,FALSE),"N/A")</f>
        <v>OUTDATED MODEL</v>
      </c>
      <c r="CA68" s="86" t="str">
        <f>IFERROR(VLOOKUP($B68,'LOD 300 - COLO1'!$B:BO,66,FALSE),"N/A")</f>
        <v>IMPROPER</v>
      </c>
      <c r="CB68" s="86" t="str">
        <f>IFERROR(VLOOKUP($B68,'LOD 300 - COLO1'!$B:BR,69,FALSE),"N/A")</f>
        <v>NEXT ROUND</v>
      </c>
      <c r="CC68" s="86" t="str">
        <f>IFERROR(VLOOKUP($B68,'LOD 300 - COLO1'!$B:BU,72,FALSE),"N/A")</f>
        <v>NEXT ROUND</v>
      </c>
      <c r="CD68" s="86">
        <f>IFERROR(VLOOKUP($B68,'LOD 300 - COLO1'!$B:BX,75,FALSE),"N/A")</f>
        <v>0.85</v>
      </c>
      <c r="CE68" s="86" t="str">
        <f>IFERROR(VLOOKUP($B68,'LOD 300 - COLO1'!$B:CA,78,FALSE),"N/A")</f>
        <v>OUTDATED MODEL</v>
      </c>
      <c r="CF68" s="87" t="str">
        <f>IFERROR(VLOOKUP($B68,'LOD 300 - COLO1'!$B:CD,81,FALSE),"N/A")</f>
        <v>OUTDATED MODEL</v>
      </c>
      <c r="CG68" s="86">
        <f>IFERROR(VLOOKUP($B68,'LOD 300 - COLO1'!$B:CG,84,FALSE),"N/A")</f>
        <v>0.97</v>
      </c>
      <c r="CH68" s="87">
        <f>IFERROR(VLOOKUP($B68,'LOD 300 - COLO1'!$B:CJ,87,FALSE),"N/A")</f>
        <v>0.99</v>
      </c>
      <c r="CI68" s="88" t="str">
        <f>IFERROR(VLOOKUP($B68,'LOD 300 - COLO1'!$B:CM,90,FALSE),"N/A")</f>
        <v>NEXT ROUND</v>
      </c>
      <c r="CJ68" s="88">
        <f>IFERROR(VLOOKUP($B68,'LOD 300 - COLO1'!$B:CP,93,FALSE),"N/A")</f>
        <v>1</v>
      </c>
      <c r="CK68" s="88">
        <f>IFERROR(VLOOKUP($B68,'LOD 300 - COLO1'!$B:CS,96,FALSE),"N/A")</f>
        <v>1</v>
      </c>
      <c r="CL68" s="88">
        <f>IFERROR(VLOOKUP($B68,'LOD 300 - COLO1'!$B:CV,99,FALSE),"N/A")</f>
        <v>1</v>
      </c>
      <c r="CM68" s="88">
        <f>IFERROR(VLOOKUP($B68,'LOD 300 - COLO1'!$B:CY,102,FALSE),"N/A")</f>
        <v>1</v>
      </c>
      <c r="CN68" s="89">
        <f>IFERROR(VLOOKUP($B68,'LOD 300 - COLO1'!$B:DB,105,FALSE),"N/A")</f>
        <v>1</v>
      </c>
      <c r="CO68" s="87">
        <f>IFERROR(VLOOKUP($B68,'LOD 300 - COLO1'!$B:EE,108,FALSE),"N/A")</f>
        <v>1</v>
      </c>
      <c r="CP68" s="87">
        <f>IFERROR(VLOOKUP($B68,'LOD 300 - COLO1'!$B:EH,111,FALSE),"N/A")</f>
        <v>1</v>
      </c>
      <c r="CQ68" s="87">
        <f>IFERROR(VLOOKUP($B68,'LOD 300 - COLO1'!$B:EK,114,FALSE),"N/A")</f>
        <v>1</v>
      </c>
      <c r="CR68" s="87">
        <f>IFERROR(VLOOKUP($B68,'LOD 300 - COLO1'!$B:EN,117,FALSE),"N/A")</f>
        <v>1</v>
      </c>
      <c r="CS68" s="87">
        <f>IFERROR(VLOOKUP($B68,'LOD 300 - COLO1'!$B:EQ,120,FALSE),"N/A")</f>
        <v>1</v>
      </c>
      <c r="CT68" s="87">
        <f>IFERROR(VLOOKUP($B68,'LOD 300 - COLO1'!$B:ET,123,FALSE),"N/A")</f>
        <v>1</v>
      </c>
      <c r="CU68" s="87">
        <f>IFERROR(VLOOKUP($B68,'LOD 300 - COLO1'!$B:EW,126,FALSE),"N/A")</f>
        <v>1</v>
      </c>
      <c r="CV68" s="87">
        <f>IFERROR(VLOOKUP($B68,'LOD 300 - COLO1'!$B:EZ,129,FALSE),"N/A")</f>
        <v>1</v>
      </c>
      <c r="CW68" s="87">
        <f>IFERROR(VLOOKUP($B68,'LOD 300 - COLO1'!$B:FC,132,FALSE),"N/A")</f>
        <v>1</v>
      </c>
      <c r="CX68" s="96">
        <f>IFERROR(__xludf.DUMMYFUNCTION("IFERROR(
  MAX(FILTER(BK68:CW68, ISNUMBER(BK68:CW68))),
  CW68
)"),1.0)</f>
        <v>1</v>
      </c>
      <c r="CY68" s="104">
        <f>IFERROR(VLOOKUP($B68,'LOD 300 - COLO2'!$B:S,18,FALSE),"N/A")</f>
        <v>0.69</v>
      </c>
      <c r="CZ68" s="117" t="str">
        <f>IFERROR(VLOOKUP($B68,'LOD 300 - COLO2'!$B:V,21,FALSE),"N/A")</f>
        <v>OUTDATED MODEL</v>
      </c>
      <c r="DA68" s="117" t="str">
        <f>IFERROR(VLOOKUP($B68,'LOD 300 - COLO2'!$B:Y,24,FALSE),"N/A")</f>
        <v>OUTDATED MODEL</v>
      </c>
      <c r="DB68" s="117" t="str">
        <f>IFERROR(VLOOKUP($B68,'LOD 300 - COLO2'!$B:AB,27,FALSE),"N/A")</f>
        <v>OUTDATED MODEL</v>
      </c>
      <c r="DC68" s="92" t="str">
        <f>IFERROR(VLOOKUP($B68,'LOD 300 - COLO2'!$B:AE,30,FALSE),"N/A")</f>
        <v>OUTDATED MODEL</v>
      </c>
      <c r="DD68" s="120" t="str">
        <f>IFERROR(VLOOKUP($B68,'LOD 300 - COLO2'!$B:AH,33,FALSE),"N/A")</f>
        <v>OUTDATED MODEL</v>
      </c>
      <c r="DE68" s="117" t="str">
        <f>IFERROR(VLOOKUP($B68,'LOD 300 - COLO2'!$B:AK,36,FALSE),"N/A")</f>
        <v>NEXT ROUND</v>
      </c>
      <c r="DF68" s="117" t="str">
        <f>IFERROR(VLOOKUP($B68,'LOD 300 - COLO2'!$B:AN,39,FALSE),"N/A")</f>
        <v>IMPROPER</v>
      </c>
      <c r="DG68" s="119" t="str">
        <f>IFERROR(VLOOKUP($B68,'LOD 300 - COLO2'!$B:AQ,42,FALSE),"N/A")</f>
        <v>NEXT ROUND</v>
      </c>
      <c r="DH68" s="87" t="str">
        <f>IFERROR(VLOOKUP($B68,'LOD 300 - COLO2'!$B:AT,45,FALSE),"N/A")</f>
        <v>IMPROPER</v>
      </c>
      <c r="DI68" s="94">
        <f>IFERROR(VLOOKUP($B68,'LOD 300 - COLO2'!$B:AW,48,FALSE),"N/A")</f>
        <v>0.96</v>
      </c>
      <c r="DJ68" s="95" t="str">
        <f>IFERROR(VLOOKUP($B68,'LOD 300 - COLO2'!$B:AZ,51,FALSE),"N/A")</f>
        <v>OUTDATED MODEL</v>
      </c>
      <c r="DK68" s="86" t="str">
        <f>IFERROR(VLOOKUP($B68,'LOD 300 - COLO2'!$B:BC,54,FALSE),"N/A")</f>
        <v>IMPROPER</v>
      </c>
      <c r="DL68" s="86" t="str">
        <f>IFERROR(VLOOKUP($B68,'LOD 300 - COLO2'!$B:BF,57,FALSE),"N/A")</f>
        <v>NEXT ROUND</v>
      </c>
      <c r="DM68" s="86" t="str">
        <f>IFERROR(VLOOKUP($B68,'LOD 300 - COLO2'!$B:BI,60,FALSE),"N/A")</f>
        <v>NEXT ROUND</v>
      </c>
      <c r="DN68" s="86">
        <f>IFERROR(VLOOKUP($B68,'LOD 300 - COLO2'!$B:BL,63,FALSE),"N/A")</f>
        <v>0.96</v>
      </c>
      <c r="DO68" s="86" t="str">
        <f>IFERROR(VLOOKUP($B68,'LOD 300 - COLO2'!$B:BO,66,FALSE),"N/A")</f>
        <v>OUTDATED MODEL</v>
      </c>
      <c r="DP68" s="87" t="str">
        <f>IFERROR(VLOOKUP($B68,'LOD 300 - COLO2'!$B:BR,69,FALSE),"N/A")</f>
        <v>OUTDATED MODEL</v>
      </c>
      <c r="DQ68" s="87">
        <f>IFERROR(VLOOKUP($B68,'LOD 300 - COLO2'!$B:BU,72,FALSE),"N/A")</f>
        <v>0.98</v>
      </c>
      <c r="DR68" s="87">
        <f>IFERROR(VLOOKUP($B68,'LOD 300 - COLO2'!$B:BX,75,FALSE),"N/A")</f>
        <v>1</v>
      </c>
      <c r="DS68" s="98">
        <f>IFERROR(VLOOKUP($B68,'LOD 300 - COLO2'!$B:CA,78,FALSE),"N/A")</f>
        <v>1</v>
      </c>
      <c r="DT68" s="98">
        <f>IFERROR(VLOOKUP($B68,'LOD 300 - COLO2'!$B:CD,81,FALSE),"N/A")</f>
        <v>1</v>
      </c>
      <c r="DU68" s="98">
        <f>IFERROR(VLOOKUP($B68,'LOD 300 - COLO2'!$B:CG,84,FALSE),"N/A")</f>
        <v>1</v>
      </c>
      <c r="DV68" s="98">
        <f>IFERROR(VLOOKUP($B68,'LOD 300 - COLO2'!$B:CJ,87,FALSE),"N/A")</f>
        <v>1</v>
      </c>
      <c r="DW68" s="98">
        <f>IFERROR(VLOOKUP($B68,'LOD 300 - COLO2'!$B:CM,90,FALSE),"N/A")</f>
        <v>1</v>
      </c>
      <c r="DX68" s="98">
        <f>IFERROR(VLOOKUP($B68,'LOD 300 - COLO2'!$B:CP,93,FALSE),"N/A")</f>
        <v>1</v>
      </c>
      <c r="DY68" s="87">
        <f>IFERROR(VLOOKUP($B68,'LOD 300 - COLO2'!$B:CS,96,FALSE),"N/A")</f>
        <v>1</v>
      </c>
      <c r="DZ68" s="87">
        <f>IFERROR(VLOOKUP($B68,'LOD 300 - COLO2'!$B:CV,99,FALSE),"N/A")</f>
        <v>1</v>
      </c>
      <c r="EA68" s="87">
        <f>IFERROR(VLOOKUP($B68,'LOD 300 - COLO2'!$B:DB,105,FALSE),"N/A")</f>
        <v>1</v>
      </c>
      <c r="EB68" s="87">
        <f>IFERROR(VLOOKUP($B68,'LOD 300 - COLO2'!$B:DB,105,FALSE),"N/A")</f>
        <v>1</v>
      </c>
      <c r="EC68" s="87">
        <f>IFERROR(VLOOKUP($B68,'LOD 300 - COLO2'!$B:DE,108,FALSE),"N/A")</f>
        <v>1</v>
      </c>
      <c r="ED68" s="87">
        <f>IFERROR(VLOOKUP($B68,'LOD 300 - COLO2'!$B:DH,111,FALSE),"N/A")</f>
        <v>1</v>
      </c>
      <c r="EE68" s="87">
        <f>IFERROR(VLOOKUP($B68,'LOD 300 - COLO2'!$B:DK,114,FALSE),"N/A")</f>
        <v>1</v>
      </c>
      <c r="EF68" s="87">
        <f>IFERROR(VLOOKUP($B68,'LOD 300 - COLO2'!$B:DN,117,FALSE),"N/A")</f>
        <v>1</v>
      </c>
      <c r="EG68" s="87">
        <f>IFERROR(VLOOKUP($B68,'LOD 300 - COLO2'!$B:DQ,120,FALSE),"N/A")</f>
        <v>1</v>
      </c>
      <c r="EH68" s="99">
        <f>IFERROR(__xludf.DUMMYFUNCTION("IFERROR(
  MAX(FILTER(CZ68:EG68, ISNUMBER(CZ68:EG68))),
  EG68
)"),1.0)</f>
        <v>1</v>
      </c>
      <c r="EI68" s="100">
        <f>IFERROR(VLOOKUP($B68,'LOD 300 - COLO3'!$B:R,17,FALSE),"N/A")</f>
        <v>0</v>
      </c>
      <c r="EJ68" s="127" t="str">
        <f>IFERROR(VLOOKUP($B68,'LOD 300 - COLO3'!$B:U,20,FALSE),"N/A")</f>
        <v>IMPROPER</v>
      </c>
      <c r="EK68" s="127" t="str">
        <f>IFERROR(VLOOKUP($B68,'LOD 300 - COLO3'!$B:X,23,FALSE),"N/A")</f>
        <v>IMPROPER</v>
      </c>
      <c r="EL68" s="127" t="str">
        <f>IFERROR(VLOOKUP($B68,'LOD 300 - COLO3'!$B:AA,26,FALSE),"N/A")</f>
        <v>IMPROPER</v>
      </c>
      <c r="EM68" s="127" t="str">
        <f>IFERROR(VLOOKUP($B68,'LOD 300 - COLO3'!$B:AD,29,FALSE),"N/A")</f>
        <v>NEXT ROUND</v>
      </c>
      <c r="EN68" s="127" t="str">
        <f>IFERROR(VLOOKUP($B68,'LOD 300 - COLO3'!$B:AG,32,FALSE),"N/A")</f>
        <v>IMPROPER</v>
      </c>
      <c r="EO68" s="127" t="str">
        <f>IFERROR(VLOOKUP($B68,'LOD 300 - COLO3'!$B:AJ,35,FALSE),"N/A")</f>
        <v>NEXT ROUND</v>
      </c>
      <c r="EP68" s="100" t="str">
        <f>IFERROR(VLOOKUP($B68,'LOD 300 - COLO3'!$B:AM,38,FALSE),"N/A")</f>
        <v>NEXT ROUND</v>
      </c>
      <c r="EQ68" s="100" t="str">
        <f>IFERROR(VLOOKUP($B68,'LOD 300 - COLO3'!$B:AP,41,FALSE),"N/A")</f>
        <v>NEXT ROUND</v>
      </c>
      <c r="ER68" s="100" t="str">
        <f>IFERROR(VLOOKUP($B68,'LOD 300 - COLO3'!$B:AS,44,FALSE),"N/A")</f>
        <v>NEXT ROUND</v>
      </c>
      <c r="ES68" s="100" t="str">
        <f>IFERROR(VLOOKUP($B68,'LOD 300 - COLO3'!$B:AV,47,FALSE),"N/A")</f>
        <v>NEXT ROUND</v>
      </c>
      <c r="ET68" s="100" t="str">
        <f>IFERROR(VLOOKUP($B68,'LOD 300 - COLO3'!$B:AY,50,FALSE),"N/A")</f>
        <v>NEXT ROUND</v>
      </c>
      <c r="EU68" s="100" t="str">
        <f>IFERROR(VLOOKUP($B68,'LOD 300 - COLO3'!$B:BB,53,FALSE),"N/A")</f>
        <v>NEXT ROUND</v>
      </c>
      <c r="EV68" s="100" t="str">
        <f>IFERROR(VLOOKUP($B68,'LOD 300 - COLO3'!$B:BE,56,FALSE),"N/A")</f>
        <v>NEXT ROUND</v>
      </c>
      <c r="EW68" s="100" t="str">
        <f>IFERROR(VLOOKUP($B68,'LOD 300 - COLO3'!$B:BL,59,FALSE),"N/A")</f>
        <v>NEXT ROUND</v>
      </c>
      <c r="EX68" s="100">
        <f>IFERROR(VLOOKUP($B68,'LOD 300 - COLO3'!$B:BO,62,FALSE),"N/A")</f>
        <v>1</v>
      </c>
      <c r="EY68" s="103">
        <f>IFERROR(__xludf.DUMMYFUNCTION("IFERROR(
  MAX(FILTER(EI68:EX68, ISNUMBER(EI68:EX68))),
  EX68
)"),1.0)</f>
        <v>1</v>
      </c>
      <c r="EZ68" s="104">
        <f>IFERROR(VLOOKUP($B68,'LOD 300 - COLO4'!$B:BT,17,FALSE),"N/A")</f>
        <v>0</v>
      </c>
      <c r="FA68" s="103">
        <f>IFERROR(__xludf.DUMMYFUNCTION("IFERROR(
  MAX(FILTER(EZ68, ISNUMBER(EZ68))),
  EZ68
)"),0.0)</f>
        <v>0</v>
      </c>
      <c r="FB68" s="121" t="str">
        <f>IFERROR(VLOOKUP($B68,'LOD 300 - SITE'!$B:S,18,FALSE),"N/A")</f>
        <v>N/A</v>
      </c>
      <c r="FC68" s="122" t="str">
        <f>IFERROR(VLOOKUP($B68,'LOD 300 - SITE'!$B:V,21,FALSE),"N/A")</f>
        <v>N/A</v>
      </c>
      <c r="FD68" s="122" t="str">
        <f>IFERROR(VLOOKUP($B68,'LOD 300 - SITE'!$B:Y,24,FALSE),"N/A")</f>
        <v>N/A</v>
      </c>
      <c r="FE68" s="122" t="str">
        <f>IFERROR(VLOOKUP($B68,'LOD 300 - SITE'!$B:AB,27,FALSE),"N/A")</f>
        <v>N/A</v>
      </c>
      <c r="FF68" s="122" t="str">
        <f>IFERROR(VLOOKUP($B68,'LOD 300 - SITE'!$B:AE,30,FALSE),"N/A")</f>
        <v>N/A</v>
      </c>
      <c r="FG68" s="122" t="str">
        <f>IFERROR(VLOOKUP($B68,'LOD 300 - SITE'!$B:AH,33,FALSE),"N/A")</f>
        <v>N/A</v>
      </c>
      <c r="FH68" s="122" t="str">
        <f>IFERROR(VLOOKUP($B68,'LOD 300 - SITE'!$B:AK,36,FALSE),"N/A")</f>
        <v>N/A</v>
      </c>
      <c r="FI68" s="122" t="str">
        <f>IFERROR(VLOOKUP($B68,'LOD 300 - SITE'!$B:AN,39,FALSE),"N/A")</f>
        <v>N/A</v>
      </c>
      <c r="FJ68" s="122" t="str">
        <f>IFERROR(VLOOKUP($B68,'LOD 300 - SITE'!$B:AQ,42,FALSE),"N/A")</f>
        <v>N/A</v>
      </c>
      <c r="FK68" s="122" t="str">
        <f>IFERROR(VLOOKUP($B68,'LOD 300 - SITE'!$B:AT,45,FALSE),"N/A")</f>
        <v>N/A</v>
      </c>
      <c r="FL68" s="123" t="str">
        <f>IFERROR(VLOOKUP($B68,'LOD 300 - SITE'!$B:AW,48,FALSE),"N/A")</f>
        <v>N/A</v>
      </c>
      <c r="FM68" s="87" t="str">
        <f>IFERROR(VLOOKUP($B68,'LOD 300 - SITE'!$B:AZ,51,FALSE),"N/A")</f>
        <v>N/A</v>
      </c>
      <c r="FN68" s="94" t="str">
        <f>IFERROR(VLOOKUP($B68,'LOD 300 - SITE'!$B:BC,54,FALSE),"N/A")</f>
        <v>N/A</v>
      </c>
      <c r="FO68" s="95" t="str">
        <f>IFERROR(VLOOKUP($B68,'LOD 300 - SITE'!$B:BF,57,FALSE),"N/A")</f>
        <v>N/A</v>
      </c>
      <c r="FP68" s="86" t="str">
        <f>IFERROR(VLOOKUP($B68,'LOD 300 - SITE'!$B:BI,60,FALSE),"N/A")</f>
        <v>N/A</v>
      </c>
      <c r="FQ68" s="86" t="str">
        <f>IFERROR(VLOOKUP($B68,'LOD 300 - SITE'!$B:BL,63,FALSE),"N/A")</f>
        <v>N/A</v>
      </c>
      <c r="FR68" s="86" t="str">
        <f>IFERROR(VLOOKUP($B68,'LOD 300 - SITE'!$B:BO,66,FALSE),"N/A")</f>
        <v>N/A</v>
      </c>
      <c r="FS68" s="86" t="str">
        <f>IFERROR(VLOOKUP($B68,'LOD 300 - SITE'!$B:BR,69,FALSE),"N/A")</f>
        <v>N/A</v>
      </c>
      <c r="FT68" s="86" t="str">
        <f>IFERROR(VLOOKUP($B68,'LOD 300 - SITE'!$B:BU,72,FALSE),"N/A")</f>
        <v>N/A</v>
      </c>
      <c r="FU68" s="86" t="str">
        <f>IFERROR(VLOOKUP($B68,'LOD 300 - SITE'!$B:BX,75,FALSE),"N/A")</f>
        <v>N/A</v>
      </c>
      <c r="FV68" s="86" t="str">
        <f>IFERROR(VLOOKUP($B68,'LOD 300 - SITE'!$B:CA,78,FALSE),"N/A")</f>
        <v>N/A</v>
      </c>
      <c r="FW68" s="87" t="str">
        <f>IFERROR(VLOOKUP($B68,'LOD 300 - SITE'!$B:CD,81,FALSE),"N/A")</f>
        <v>N/A</v>
      </c>
      <c r="FX68" s="108" t="str">
        <f>IFERROR(VLOOKUP($B68,'LOD 300 - SITE'!$B:CG,84,FALSE),"N/A")</f>
        <v>N/A</v>
      </c>
      <c r="FY68" s="108" t="str">
        <f>IFERROR(VLOOKUP($B68,'LOD 300 - SITE'!$B:CJ,87,FALSE),"N/A")</f>
        <v>N/A</v>
      </c>
      <c r="FZ68" s="108" t="str">
        <f>IFERROR(VLOOKUP($B68,'LOD 300 - SITE'!$B:CM,90,FALSE),"N/A")</f>
        <v>N/A</v>
      </c>
      <c r="GA68" s="108" t="str">
        <f>IFERROR(VLOOKUP($B68,'LOD 300 - SITE'!$B:CP,93,FALSE),"N/A")</f>
        <v>N/A</v>
      </c>
      <c r="GB68" s="108" t="str">
        <f>IFERROR(VLOOKUP($B68,'LOD 300 - SITE'!$B:CS,96,FALSE),"N/A")</f>
        <v>N/A</v>
      </c>
      <c r="GC68" s="109" t="str">
        <f>IFERROR(VLOOKUP($B68,'LOD 300 - SITE'!$B:CV,99,FALSE),"N/A")</f>
        <v>N/A</v>
      </c>
      <c r="GD68" s="87" t="str">
        <f>IFERROR(VLOOKUP($B68,'LOD 300 - SITE'!$B:CY,102,FALSE),"N/A")</f>
        <v>N/A</v>
      </c>
      <c r="GE68" s="87" t="str">
        <f>IFERROR(VLOOKUP($B68,'LOD 300 - SITE'!$B:DB,105,FALSE),"N/A")</f>
        <v>N/A</v>
      </c>
      <c r="GF68" s="87" t="str">
        <f>IFERROR(VLOOKUP($B68,'LOD 300 - SITE'!$B:DE,108,FALSE),"N/A")</f>
        <v>N/A</v>
      </c>
      <c r="GG68" s="87" t="str">
        <f>IFERROR(VLOOKUP($B68,'LOD 300 - SITE'!$B:DH,111,FALSE),"N/A")</f>
        <v>N/A</v>
      </c>
      <c r="GH68" s="87" t="str">
        <f>IFERROR(VLOOKUP($B68,'LOD 300 - SITE'!$B:DK,114,FALSE),"N/A")</f>
        <v>N/A</v>
      </c>
      <c r="GI68" s="87" t="str">
        <f>IFERROR(VLOOKUP($B68,'LOD 300 - SITE'!$B:DN,117,FALSE),"N/A")</f>
        <v>N/A</v>
      </c>
      <c r="GJ68" s="87" t="str">
        <f>IFERROR(VLOOKUP($B68,'LOD 300 - SITE'!$B:DQ,120,FALSE),"N/A")</f>
        <v>N/A</v>
      </c>
      <c r="GK68" s="87" t="str">
        <f>IFERROR(VLOOKUP($B68,'LOD 300 - SITE'!$B:DT,123,FALSE),"N/A")</f>
        <v>N/A</v>
      </c>
      <c r="GL68" s="87" t="str">
        <f>IFERROR(VLOOKUP($B68,'LOD 300 - SITE'!$B:DW,126,FALSE),"N/A")</f>
        <v>N/A</v>
      </c>
      <c r="GM68" s="110" t="str">
        <f>IFERROR(__xludf.DUMMYFUNCTION("IFERROR(
  MAX(FILTER(FB68:GL68, ISNUMBER(FB68:GL68))),
  GL68
)"),"N/A")</f>
        <v>N/A</v>
      </c>
      <c r="GN68" s="111"/>
      <c r="GO68" s="111"/>
      <c r="GP68" s="111"/>
    </row>
    <row r="69" ht="15.0" hidden="1" customHeight="1">
      <c r="A69" s="60">
        <v>72.0</v>
      </c>
      <c r="B69" s="345" t="s">
        <v>238</v>
      </c>
      <c r="C69" s="346"/>
      <c r="D69" s="347"/>
      <c r="E69" s="347"/>
      <c r="F69" s="13"/>
      <c r="G69" s="347"/>
      <c r="H69" s="348"/>
      <c r="I69" s="349"/>
      <c r="J69" s="349"/>
      <c r="K69" s="347"/>
      <c r="L69" s="347"/>
      <c r="M69" s="350"/>
      <c r="N69" s="350"/>
      <c r="O69" s="350"/>
      <c r="P69" s="351"/>
      <c r="Q69" s="350"/>
      <c r="R69" s="350"/>
      <c r="S69" s="79" t="str">
        <f>IF(OR($D69="C345",$D69="C12A",$D69="DATA"),
   VLOOKUP($B69,'LOD 300 - COLO4'!B:S,14,FALSE),"N/A")</f>
        <v>N/A</v>
      </c>
      <c r="T69" s="76" t="str">
        <f>IF(OR($D69="C345",$D69="C12A",$D69="DATA"),
   VLOOKUP($B69,'LOD 300 - COLO3'!B:T,13,FALSE),"N/A")</f>
        <v>N/A</v>
      </c>
      <c r="U69" s="350"/>
      <c r="V69" s="347"/>
      <c r="W69" s="352"/>
      <c r="X69" s="353"/>
      <c r="Y69" s="353"/>
      <c r="Z69" s="353"/>
      <c r="AA69" s="353"/>
      <c r="AB69" s="353"/>
      <c r="AC69" s="353"/>
      <c r="AD69" s="353"/>
      <c r="AE69" s="353"/>
      <c r="AF69" s="353"/>
      <c r="AG69" s="353"/>
      <c r="AH69" s="353"/>
      <c r="AI69" s="353"/>
      <c r="AJ69" s="354"/>
      <c r="AK69" s="354"/>
      <c r="AL69" s="355"/>
      <c r="AM69" s="354"/>
      <c r="AN69" s="354"/>
      <c r="AO69" s="354"/>
      <c r="AP69" s="354"/>
      <c r="AQ69" s="354"/>
      <c r="AR69" s="354"/>
      <c r="AS69" s="354"/>
      <c r="AT69" s="354"/>
      <c r="AU69" s="354"/>
      <c r="AV69" s="355"/>
      <c r="AW69" s="355"/>
      <c r="AX69" s="355"/>
      <c r="AY69" s="355"/>
      <c r="AZ69" s="355"/>
      <c r="BA69" s="354"/>
      <c r="BB69" s="355"/>
      <c r="BC69" s="356"/>
      <c r="BD69" s="356"/>
      <c r="BE69" s="356"/>
      <c r="BF69" s="356"/>
      <c r="BG69" s="356"/>
      <c r="BH69" s="356"/>
      <c r="BI69" s="356"/>
      <c r="BJ69" s="357"/>
      <c r="BK69" s="358"/>
      <c r="BL69" s="358"/>
      <c r="BM69" s="358"/>
      <c r="BN69" s="358"/>
      <c r="BO69" s="358"/>
      <c r="BP69" s="358"/>
      <c r="BQ69" s="358"/>
      <c r="BR69" s="358"/>
      <c r="BS69" s="358"/>
      <c r="BT69" s="358"/>
      <c r="BU69" s="358"/>
      <c r="BV69" s="358"/>
      <c r="BW69" s="358"/>
      <c r="BX69" s="359"/>
      <c r="BY69" s="359"/>
      <c r="BZ69" s="360"/>
      <c r="CA69" s="361"/>
      <c r="CB69" s="361"/>
      <c r="CC69" s="361"/>
      <c r="CD69" s="361"/>
      <c r="CE69" s="361"/>
      <c r="CF69" s="354"/>
      <c r="CG69" s="360"/>
      <c r="CH69" s="354"/>
      <c r="CI69" s="354"/>
      <c r="CJ69" s="360"/>
      <c r="CK69" s="360"/>
      <c r="CL69" s="360"/>
      <c r="CM69" s="360"/>
      <c r="CN69" s="360"/>
      <c r="CO69" s="354"/>
      <c r="CP69" s="362"/>
      <c r="CQ69" s="360"/>
      <c r="CR69" s="360"/>
      <c r="CS69" s="360"/>
      <c r="CT69" s="360"/>
      <c r="CU69" s="360"/>
      <c r="CV69" s="360"/>
      <c r="CW69" s="360"/>
      <c r="CX69" s="357"/>
      <c r="CY69" s="363"/>
      <c r="CZ69" s="364"/>
      <c r="DA69" s="364"/>
      <c r="DB69" s="364"/>
      <c r="DC69" s="365"/>
      <c r="DD69" s="366"/>
      <c r="DE69" s="363"/>
      <c r="DF69" s="363"/>
      <c r="DG69" s="367"/>
      <c r="DH69" s="354"/>
      <c r="DI69" s="359"/>
      <c r="DJ69" s="360"/>
      <c r="DK69" s="361"/>
      <c r="DL69" s="361"/>
      <c r="DM69" s="361"/>
      <c r="DN69" s="361"/>
      <c r="DO69" s="361"/>
      <c r="DP69" s="354"/>
      <c r="DQ69" s="354"/>
      <c r="DR69" s="354"/>
      <c r="DS69" s="368"/>
      <c r="DT69" s="369"/>
      <c r="DU69" s="369"/>
      <c r="DV69" s="369"/>
      <c r="DW69" s="369"/>
      <c r="DX69" s="369"/>
      <c r="DY69" s="354"/>
      <c r="DZ69" s="355"/>
      <c r="EA69" s="356"/>
      <c r="EB69" s="356"/>
      <c r="EC69" s="356"/>
      <c r="ED69" s="356"/>
      <c r="EE69" s="356"/>
      <c r="EF69" s="356"/>
      <c r="EG69" s="356"/>
      <c r="EH69" s="356"/>
      <c r="EI69" s="354"/>
      <c r="EJ69" s="354"/>
      <c r="EK69" s="354"/>
      <c r="EL69" s="354"/>
      <c r="EM69" s="354"/>
      <c r="EN69" s="354"/>
      <c r="EO69" s="354"/>
      <c r="EP69" s="354"/>
      <c r="EQ69" s="354"/>
      <c r="ER69" s="361"/>
      <c r="ES69" s="361"/>
      <c r="ET69" s="361"/>
      <c r="EU69" s="361"/>
      <c r="EV69" s="361"/>
      <c r="EW69" s="361"/>
      <c r="EX69" s="361"/>
      <c r="EY69" s="361"/>
      <c r="EZ69" s="370"/>
      <c r="FA69" s="370"/>
      <c r="FB69" s="353"/>
      <c r="FC69" s="353"/>
      <c r="FD69" s="353"/>
      <c r="FE69" s="353"/>
      <c r="FF69" s="353"/>
      <c r="FG69" s="353"/>
      <c r="FH69" s="353"/>
      <c r="FI69" s="353"/>
      <c r="FJ69" s="353"/>
      <c r="FK69" s="353"/>
      <c r="FL69" s="371"/>
      <c r="FM69" s="354"/>
      <c r="FN69" s="359"/>
      <c r="FO69" s="360"/>
      <c r="FP69" s="361"/>
      <c r="FQ69" s="361"/>
      <c r="FR69" s="361"/>
      <c r="FS69" s="361"/>
      <c r="FT69" s="361"/>
      <c r="FU69" s="361"/>
      <c r="FV69" s="361"/>
      <c r="FW69" s="354"/>
      <c r="FX69" s="359"/>
      <c r="FY69" s="360"/>
      <c r="FZ69" s="360"/>
      <c r="GA69" s="360"/>
      <c r="GB69" s="360"/>
      <c r="GC69" s="360"/>
      <c r="GD69" s="354"/>
      <c r="GE69" s="362"/>
      <c r="GF69" s="360"/>
      <c r="GG69" s="360"/>
      <c r="GH69" s="360"/>
      <c r="GI69" s="360"/>
      <c r="GJ69" s="360"/>
      <c r="GK69" s="360"/>
      <c r="GL69" s="360"/>
      <c r="GM69" s="372"/>
      <c r="GN69" s="186"/>
      <c r="GO69" s="186"/>
      <c r="GP69" s="186"/>
    </row>
    <row r="70" ht="15.0" customHeight="1" outlineLevel="1">
      <c r="A70" s="60">
        <v>73.0</v>
      </c>
      <c r="B70" s="140" t="s">
        <v>239</v>
      </c>
      <c r="C70" s="70" t="s">
        <v>240</v>
      </c>
      <c r="D70" s="71" t="s">
        <v>90</v>
      </c>
      <c r="E70" s="146" t="s">
        <v>169</v>
      </c>
      <c r="F70" s="13">
        <v>1112.0</v>
      </c>
      <c r="G70" s="139" t="s">
        <v>169</v>
      </c>
      <c r="H70" s="139">
        <v>1112.0</v>
      </c>
      <c r="I70" s="74" t="str">
        <f>IFERROR(VLOOKUP(C67:C209,'R22 RELATÓRIO ACC'!B:F,5,FALSE),"NOT PUBLISHED")</f>
        <v>V16</v>
      </c>
      <c r="J70" s="74" t="str">
        <f>IFERROR(VLOOKUP(C67:C209,'R22 RELATÓRIO ACC'!B:P,15,FALSE),"NOT PUBLISHED")</f>
        <v>14/05/2026</v>
      </c>
      <c r="K70" s="141" t="str">
        <f>IFERROR(VLOOKUP(B67:B257,'RELATÓRIO ACC'!B:F,5,FALSE),"NOT PUBLISHED")</f>
        <v>V4</v>
      </c>
      <c r="L70" s="142" t="str">
        <f>IFERROR(VLOOKUP(B67:B257,'RELATÓRIO ACC'!B:P,15,FALSE),"NOT PUBLISHED")</f>
        <v>13/07/2026</v>
      </c>
      <c r="M70" s="76" t="str">
        <f>IF(OR($D70="UTLS",$D70="GUAR",$D70="STIR",$D70="PUMP",$D70="SITE"),
   VLOOKUP($B70,'LOD 300 - SITE'!B:M,12,FALSE),
   VLOOKUP($B70,'LOD 300 - ADMN'!B:M,12,FALSE)
)</f>
        <v>V1</v>
      </c>
      <c r="N70" s="77">
        <f>IF(OR($D70="UTLS",$D70="GUAR",$D70="STIR",$D70="PUMP",$D70="SITE"),
   VLOOKUP($B70,'LOD 300 - SITE'!B:N,13,FALSE),
   VLOOKUP($B70,'LOD 300 - ADMN'!B:N,13,FALSE)
)</f>
        <v>46161</v>
      </c>
      <c r="O70" s="78" t="str">
        <f>IF(OR($D70="UTLS",$D70="GUAR",$D70="STIR",$D70="PUMP",$D70="SITE"),
   VLOOKUP($B70,'LOD 300 - SITE'!B:O,14,FALSE),
   VLOOKUP($B70,'LOD 300 - ADMN'!B:O,14,FALSE)
)</f>
        <v>R22</v>
      </c>
      <c r="P70" s="79" t="str">
        <f>IF(OR($D70="C345",$D70="C12A",$D70="DATA"),
   VLOOKUP($B70,'LOD 300 - COLO3'!B:M,12,FALSE),"N/A")</f>
        <v>N/A</v>
      </c>
      <c r="Q70" s="76" t="str">
        <f>IF(OR($D70="C345",$D70="C12A",$D70="DATA"),
   VLOOKUP($B70,'LOD 300 - COLO3'!B:N,13,FALSE),"N/A")</f>
        <v>N/A</v>
      </c>
      <c r="R70" s="76" t="str">
        <f>IF(OR($D70="C345",$D70="C12A",$D70="DATA"),
   VLOOKUP($B70,'LOD 300 - COLO3'!B:O,14,FALSE),"N/A")</f>
        <v>N/A</v>
      </c>
      <c r="S70" s="79" t="str">
        <f>IF(OR($D70="C345",$D70="C12A",$D70="DATA"),
   VLOOKUP($B70,'LOD 300 - COLO4'!B:M,12,FALSE),"N/A")</f>
        <v>N/A</v>
      </c>
      <c r="T70" s="76" t="str">
        <f>IF(OR($D70="C345",$D70="C12A",$D70="DATA"),
   VLOOKUP($B70,'LOD 300 - COLO4'!B:T,13,FALSE),"N/A")</f>
        <v>N/A</v>
      </c>
      <c r="U70" s="76" t="str">
        <f>IF(OR($D70="C345",$D70="C12A",$D70="DATA"),
   VLOOKUP($B70,'LOD 300 - COLO4'!B:U,17,FALSE),"N/A")</f>
        <v>N/A</v>
      </c>
      <c r="V70" s="126" t="s">
        <v>87</v>
      </c>
      <c r="W70" s="144" t="str">
        <f>IFERROR(VLOOKUP($B70,'LOD 300 - ADMN'!$B:S,18,FALSE),"N/A")</f>
        <v>N/A</v>
      </c>
      <c r="X70" s="122" t="str">
        <f>IFERROR(VLOOKUP($B70,'LOD 300 - ADMN'!$B:V,21,FALSE),"N/A")</f>
        <v>N/A</v>
      </c>
      <c r="Y70" s="122" t="str">
        <f>IFERROR(VLOOKUP($B70,'LOD 300 - ADMN'!$B:Y,24,FALSE),"N/A")</f>
        <v>N/A</v>
      </c>
      <c r="Z70" s="122" t="str">
        <f>IFERROR(VLOOKUP($B70,'LOD 300 - ADMN'!$B:AB,27,FALSE),"N/A")</f>
        <v>N/A</v>
      </c>
      <c r="AA70" s="122" t="str">
        <f>IFERROR(VLOOKUP($B70,'LOD 300 - ADMN'!$B:AE,30,FALSE),"N/A")</f>
        <v>N/A</v>
      </c>
      <c r="AB70" s="145" t="str">
        <f>IFERROR(VLOOKUP($B70,'LOD 300 - ADMN'!$B:AH,33,FALSE),"N/A")</f>
        <v>N/A</v>
      </c>
      <c r="AC70" s="145" t="str">
        <f>IFERROR(VLOOKUP($B70,'LOD 300 - ADMN'!$B:AK,36,FALSE),"N/A")</f>
        <v>N/A</v>
      </c>
      <c r="AD70" s="122" t="str">
        <f>IFERROR(VLOOKUP($B70,'LOD 300 - ADMN'!$B:AN,39,FALSE),"N/A")</f>
        <v>N/A</v>
      </c>
      <c r="AE70" s="122" t="str">
        <f>IFERROR(VLOOKUP($B70,'LOD 300 - ADMN'!$B:AQ,42,FALSE),"N/A")</f>
        <v>N/A</v>
      </c>
      <c r="AF70" s="122" t="str">
        <f>IFERROR(VLOOKUP($B70,'LOD 300 - ADMN'!$B:AT,45,FALSE),"N/A")</f>
        <v>N/A</v>
      </c>
      <c r="AG70" s="122" t="str">
        <f>IFERROR(VLOOKUP($B70,'LOD 300 - ADMN'!$B:AW,48,FALSE),"N/A")</f>
        <v>N/A</v>
      </c>
      <c r="AH70" s="122" t="str">
        <f>IFERROR(VLOOKUP($B70,'LOD 300 - ADMN'!$B:AZ,51,FALSE),"N/A")</f>
        <v>N/A</v>
      </c>
      <c r="AI70" s="122" t="str">
        <f>IFERROR(VLOOKUP($B70,'LOD 300 - ADMN'!$B:BC,54,FALSE),"N/A")</f>
        <v>N/A</v>
      </c>
      <c r="AJ70" s="87" t="str">
        <f>IFERROR(VLOOKUP($B70,'LOD 300 - ADMN'!$B:BF,57,FALSE),"N/A")</f>
        <v>N/A</v>
      </c>
      <c r="AK70" s="87" t="str">
        <f>IFERROR(VLOOKUP($B70,'LOD 300 - ADMN'!$B:EP,60,FALSE),"N/A")</f>
        <v>N/A</v>
      </c>
      <c r="AL70" s="87" t="str">
        <f>IFERROR(VLOOKUP($B70,'LOD 300 - ADMN'!$B:EQ,63,FALSE),"N/A")</f>
        <v>N/A</v>
      </c>
      <c r="AM70" s="87" t="str">
        <f>IFERROR(VLOOKUP($B70,'LOD 300 - ADMN'!$B:BO,66,FALSE),"N/A")</f>
        <v>N/A</v>
      </c>
      <c r="AN70" s="87" t="str">
        <f>IFERROR(VLOOKUP($B70,'LOD 300 - ADMN'!$B:BR,69,FALSE),"N/A")</f>
        <v>N/A</v>
      </c>
      <c r="AO70" s="87" t="str">
        <f>IFERROR(VLOOKUP($B70,'LOD 300 - ADMN'!$B:BU,72,FALSE),"N/A")</f>
        <v>N/A</v>
      </c>
      <c r="AP70" s="87" t="str">
        <f>IFERROR(VLOOKUP($B70,'LOD 300 - ADMN'!$B:BX,75,FALSE),"N/A")</f>
        <v>N/A</v>
      </c>
      <c r="AQ70" s="87" t="str">
        <f>IFERROR(VLOOKUP($B70,'LOD 300 - ADMN'!$B:CA,78,FALSE),"N/A")</f>
        <v>N/A</v>
      </c>
      <c r="AR70" s="87" t="str">
        <f>IFERROR(VLOOKUP($B70,'LOD 300 - ADMN'!$B:CD,81,FALSE),"N/A")</f>
        <v>N/A</v>
      </c>
      <c r="AS70" s="87" t="str">
        <f>IFERROR(VLOOKUP($B70,'LOD 300 - ADMN'!$B:CG,84,FALSE),"N/A")</f>
        <v>N/A</v>
      </c>
      <c r="AT70" s="87" t="str">
        <f>IFERROR(VLOOKUP($B70,'LOD 300 - ADMN'!$B:CJ,87,FALSE),"N/A")</f>
        <v>N/A</v>
      </c>
      <c r="AU70" s="88" t="str">
        <f>IFERROR(VLOOKUP($B70,'LOD 300 - ADMN'!$B:CM,90,FALSE),"N/A")</f>
        <v>N/A</v>
      </c>
      <c r="AV70" s="88" t="str">
        <f>IFERROR(VLOOKUP($B70,'LOD 300 - ADMN'!$B:CP,93,FALSE),"N/A")</f>
        <v>N/A</v>
      </c>
      <c r="AW70" s="88" t="str">
        <f>IFERROR(VLOOKUP($B70,'LOD 300 - ADMN'!$B:CS,96,FALSE),"N/A")</f>
        <v>N/A</v>
      </c>
      <c r="AX70" s="88" t="str">
        <f>IFERROR(VLOOKUP($B70,'LOD 300 - ADMN'!$B:CV,99,FALSE),"N/A")</f>
        <v>N/A</v>
      </c>
      <c r="AY70" s="88" t="str">
        <f>IFERROR(VLOOKUP($B70,'LOD 300 - ADMN'!$B:CY,102,FALSE),"N/A")</f>
        <v>N/A</v>
      </c>
      <c r="AZ70" s="88" t="str">
        <f>IFERROR(VLOOKUP($B70,'LOD 300 - ADMN'!$B:DB,105,FALSE),"N/A")</f>
        <v>N/A</v>
      </c>
      <c r="BA70" s="87" t="str">
        <f>IFERROR(VLOOKUP($B70,'LOD 300 - ADMN'!$B:DE,108,FALSE),"N/A")</f>
        <v>N/A</v>
      </c>
      <c r="BB70" s="87" t="str">
        <f>IFERROR(VLOOKUP($B70,'LOD 300 - ADMN'!$B:DH,111,FALSE),"N/A")</f>
        <v>N/A</v>
      </c>
      <c r="BC70" s="87" t="str">
        <f>IFERROR(VLOOKUP($B70,'LOD 300 - ADMN'!$B:DK,114,FALSE),"N/A")</f>
        <v>N/A</v>
      </c>
      <c r="BD70" s="87" t="str">
        <f>IFERROR(VLOOKUP($B70,'LOD 300 - ADMN'!$B:DN,117,FALSE),"N/A")</f>
        <v>N/A</v>
      </c>
      <c r="BE70" s="87" t="str">
        <f>IFERROR(VLOOKUP($B70,'LOD 300 - ADMN'!$B:DQ,120,FALSE),"N/A")</f>
        <v>N/A</v>
      </c>
      <c r="BF70" s="87" t="str">
        <f>IFERROR(VLOOKUP($B70,'LOD 300 - ADMN'!$B:DT,123,FALSE),"N/A")</f>
        <v>N/A</v>
      </c>
      <c r="BG70" s="87" t="str">
        <f>IFERROR(VLOOKUP($B70,'LOD 300 - ADMN'!$B:DW,126,FALSE),"N/A")</f>
        <v>N/A</v>
      </c>
      <c r="BH70" s="87" t="str">
        <f>IFERROR(VLOOKUP($B70,'LOD 300 - ADMN'!$B:DZ,129,FALSE),"N/A")</f>
        <v>N/A</v>
      </c>
      <c r="BI70" s="87" t="str">
        <f>IFERROR(VLOOKUP($B70,'LOD 300 - ADMN'!$B:EC,132,FALSE),"N/A")</f>
        <v>N/A</v>
      </c>
      <c r="BJ70" s="90" t="str">
        <f>IFERROR(__xludf.DUMMYFUNCTION("IFERROR(
  MAX(FILTER(X70:BI70, ISNUMBER(X70:BI70))),
  BI70
)"),"N/A")</f>
        <v>N/A</v>
      </c>
      <c r="BK70" s="91" t="str">
        <f>IFERROR(VLOOKUP($B70,'LOD 300 - COLO1'!$B:S,18,FALSE),"N/A")</f>
        <v>N/A</v>
      </c>
      <c r="BL70" s="92" t="str">
        <f>IFERROR(VLOOKUP($B70,'LOD 300 - COLO1'!$B:V,21,FALSE),"N/A")</f>
        <v>N/A</v>
      </c>
      <c r="BM70" s="92" t="str">
        <f>IFERROR(VLOOKUP($B70,'LOD 300 - COLO1'!$B:Y,24,FALSE),"N/A")</f>
        <v>N/A</v>
      </c>
      <c r="BN70" s="92" t="str">
        <f>IFERROR(VLOOKUP($B70,'LOD 300 - COLO1'!$B:AB,27,FALSE),"N/A")</f>
        <v>N/A</v>
      </c>
      <c r="BO70" s="92" t="str">
        <f>IFERROR(VLOOKUP($B70,'LOD 300 - COLO1'!$B:AE,30,FALSE),"N/A")</f>
        <v>N/A</v>
      </c>
      <c r="BP70" s="92" t="str">
        <f>IFERROR(VLOOKUP($B70,'LOD 300 - COLO1'!$B:AH,33,FALSE),"N/A")</f>
        <v>N/A</v>
      </c>
      <c r="BQ70" s="92" t="str">
        <f>IFERROR(VLOOKUP($B70,'LOD 300 - COLO1'!$B:AK,36,FALSE),"N/A")</f>
        <v>N/A</v>
      </c>
      <c r="BR70" s="92" t="str">
        <f>IFERROR(VLOOKUP($B70,'LOD 300 - COLO1'!$B:AN,39,FALSE),"N/A")</f>
        <v>N/A</v>
      </c>
      <c r="BS70" s="92" t="str">
        <f>IFERROR(VLOOKUP($B70,'LOD 300 - COLO1'!$B:AQ,42,FALSE),"N/A")</f>
        <v>N/A</v>
      </c>
      <c r="BT70" s="92" t="str">
        <f>IFERROR(VLOOKUP($B70,'LOD 300 - COLO1'!$B:AT,45,FALSE),"N/A")</f>
        <v>N/A</v>
      </c>
      <c r="BU70" s="92" t="str">
        <f>IFERROR(VLOOKUP($B70,'LOD 300 - COLO1'!$B:AW,48,FALSE),"N/A")</f>
        <v>N/A</v>
      </c>
      <c r="BV70" s="92" t="str">
        <f>IFERROR(VLOOKUP($B70,'LOD 300 - COLO1'!$B:AZ,51,FALSE),"N/A")</f>
        <v>N/A</v>
      </c>
      <c r="BW70" s="92" t="str">
        <f>IFERROR(VLOOKUP($B70,'LOD 300 - COLO1'!$B:BC,54,FALSE),"N/A")</f>
        <v>N/A</v>
      </c>
      <c r="BX70" s="94" t="str">
        <f>IFERROR(VLOOKUP($B70,'LOD 300 - COLO1'!$B:BF,57,FALSE),"N/A")</f>
        <v>N/A</v>
      </c>
      <c r="BY70" s="94" t="str">
        <f>IFERROR(VLOOKUP($B70,'LOD 300 - COLO1'!$B:BI,60,FALSE),"N/A")</f>
        <v>N/A</v>
      </c>
      <c r="BZ70" s="95" t="str">
        <f>IFERROR(VLOOKUP($B70,'LOD 300 - COLO1'!$B:BL,63,FALSE),"N/A")</f>
        <v>N/A</v>
      </c>
      <c r="CA70" s="86" t="str">
        <f>IFERROR(VLOOKUP($B70,'LOD 300 - COLO1'!$B:BO,66,FALSE),"N/A")</f>
        <v>N/A</v>
      </c>
      <c r="CB70" s="86" t="str">
        <f>IFERROR(VLOOKUP($B70,'LOD 300 - COLO1'!$B:BR,69,FALSE),"N/A")</f>
        <v>N/A</v>
      </c>
      <c r="CC70" s="86" t="str">
        <f>IFERROR(VLOOKUP($B70,'LOD 300 - COLO1'!$B:BU,72,FALSE),"N/A")</f>
        <v>N/A</v>
      </c>
      <c r="CD70" s="86" t="str">
        <f>IFERROR(VLOOKUP($B70,'LOD 300 - COLO1'!$B:BX,75,FALSE),"N/A")</f>
        <v>N/A</v>
      </c>
      <c r="CE70" s="86" t="str">
        <f>IFERROR(VLOOKUP($B70,'LOD 300 - COLO1'!$B:CA,78,FALSE),"N/A")</f>
        <v>N/A</v>
      </c>
      <c r="CF70" s="87" t="str">
        <f>IFERROR(VLOOKUP($B70,'LOD 300 - COLO1'!$B:CD,81,FALSE),"N/A")</f>
        <v>N/A</v>
      </c>
      <c r="CG70" s="86" t="str">
        <f>IFERROR(VLOOKUP($B70,'LOD 300 - COLO1'!$B:CG,84,FALSE),"N/A")</f>
        <v>N/A</v>
      </c>
      <c r="CH70" s="87" t="str">
        <f>IFERROR(VLOOKUP($B70,'LOD 300 - COLO1'!$B:CJ,87,FALSE),"N/A")</f>
        <v>N/A</v>
      </c>
      <c r="CI70" s="88" t="str">
        <f>IFERROR(VLOOKUP($B70,'LOD 300 - COLO1'!$B:CM,90,FALSE),"N/A")</f>
        <v>N/A</v>
      </c>
      <c r="CJ70" s="88" t="str">
        <f>IFERROR(VLOOKUP($B70,'LOD 300 - COLO1'!$B:CP,93,FALSE),"N/A")</f>
        <v>N/A</v>
      </c>
      <c r="CK70" s="88" t="str">
        <f>IFERROR(VLOOKUP($B70,'LOD 300 - COLO1'!$B:CS,96,FALSE),"N/A")</f>
        <v>N/A</v>
      </c>
      <c r="CL70" s="88" t="str">
        <f>IFERROR(VLOOKUP($B70,'LOD 300 - COLO1'!$B:CV,99,FALSE),"N/A")</f>
        <v>N/A</v>
      </c>
      <c r="CM70" s="88" t="str">
        <f>IFERROR(VLOOKUP($B70,'LOD 300 - COLO1'!$B:CY,102,FALSE),"N/A")</f>
        <v>N/A</v>
      </c>
      <c r="CN70" s="89" t="str">
        <f>IFERROR(VLOOKUP($B70,'LOD 300 - COLO1'!$B:DB,105,FALSE),"N/A")</f>
        <v>N/A</v>
      </c>
      <c r="CO70" s="87" t="str">
        <f>IFERROR(VLOOKUP($B70,'LOD 300 - COLO1'!$B:EE,108,FALSE),"N/A")</f>
        <v>N/A</v>
      </c>
      <c r="CP70" s="87" t="str">
        <f>IFERROR(VLOOKUP($B70,'LOD 300 - COLO1'!$B:EH,111,FALSE),"N/A")</f>
        <v>N/A</v>
      </c>
      <c r="CQ70" s="87" t="str">
        <f>IFERROR(VLOOKUP($B70,'LOD 300 - COLO1'!$B:EK,114,FALSE),"N/A")</f>
        <v>N/A</v>
      </c>
      <c r="CR70" s="87" t="str">
        <f>IFERROR(VLOOKUP($B70,'LOD 300 - COLO1'!$B:EN,117,FALSE),"N/A")</f>
        <v>N/A</v>
      </c>
      <c r="CS70" s="87" t="str">
        <f>IFERROR(VLOOKUP($B70,'LOD 300 - COLO1'!$B:EQ,120,FALSE),"N/A")</f>
        <v>N/A</v>
      </c>
      <c r="CT70" s="87" t="str">
        <f>IFERROR(VLOOKUP($B70,'LOD 300 - COLO1'!$B:ET,123,FALSE),"N/A")</f>
        <v>N/A</v>
      </c>
      <c r="CU70" s="87" t="str">
        <f>IFERROR(VLOOKUP($B70,'LOD 300 - COLO1'!$B:EW,126,FALSE),"N/A")</f>
        <v>N/A</v>
      </c>
      <c r="CV70" s="87" t="str">
        <f>IFERROR(VLOOKUP($B70,'LOD 300 - COLO1'!$B:EZ,129,FALSE),"N/A")</f>
        <v>N/A</v>
      </c>
      <c r="CW70" s="87" t="str">
        <f>IFERROR(VLOOKUP($B70,'LOD 300 - COLO1'!$B:FC,132,FALSE),"N/A")</f>
        <v>N/A</v>
      </c>
      <c r="CX70" s="96" t="str">
        <f>IFERROR(__xludf.DUMMYFUNCTION("IFERROR(
  MAX(FILTER(BK70:CW70, ISNUMBER(BK70:CW70))),
  CW70
)"),"N/A")</f>
        <v>N/A</v>
      </c>
      <c r="CY70" s="104" t="str">
        <f>IFERROR(VLOOKUP($B70,'LOD 300 - COLO2'!$B:S,18,FALSE),"N/A")</f>
        <v>N/A</v>
      </c>
      <c r="CZ70" s="117" t="str">
        <f>IFERROR(VLOOKUP($B70,'LOD 300 - COLO2'!$B:V,21,FALSE),"N/A")</f>
        <v>N/A</v>
      </c>
      <c r="DA70" s="117" t="str">
        <f>IFERROR(VLOOKUP($B70,'LOD 300 - COLO2'!$B:Y,24,FALSE),"N/A")</f>
        <v>N/A</v>
      </c>
      <c r="DB70" s="117" t="str">
        <f>IFERROR(VLOOKUP($B70,'LOD 300 - COLO2'!$B:AB,27,FALSE),"N/A")</f>
        <v>N/A</v>
      </c>
      <c r="DC70" s="92" t="str">
        <f>IFERROR(VLOOKUP($B70,'LOD 300 - COLO2'!$B:AE,30,FALSE),"N/A")</f>
        <v>N/A</v>
      </c>
      <c r="DD70" s="120" t="str">
        <f>IFERROR(VLOOKUP($B70,'LOD 300 - COLO2'!$B:AH,33,FALSE),"N/A")</f>
        <v>N/A</v>
      </c>
      <c r="DE70" s="117" t="str">
        <f>IFERROR(VLOOKUP($B70,'LOD 300 - COLO2'!$B:AK,36,FALSE),"N/A")</f>
        <v>N/A</v>
      </c>
      <c r="DF70" s="117" t="str">
        <f>IFERROR(VLOOKUP($B70,'LOD 300 - COLO2'!$B:AN,39,FALSE),"N/A")</f>
        <v>N/A</v>
      </c>
      <c r="DG70" s="119" t="str">
        <f>IFERROR(VLOOKUP($B70,'LOD 300 - COLO2'!$B:AQ,42,FALSE),"N/A")</f>
        <v>N/A</v>
      </c>
      <c r="DH70" s="87" t="str">
        <f>IFERROR(VLOOKUP($B70,'LOD 300 - COLO2'!$B:AT,45,FALSE),"N/A")</f>
        <v>N/A</v>
      </c>
      <c r="DI70" s="94" t="str">
        <f>IFERROR(VLOOKUP($B70,'LOD 300 - COLO2'!$B:AW,48,FALSE),"N/A")</f>
        <v>N/A</v>
      </c>
      <c r="DJ70" s="95" t="str">
        <f>IFERROR(VLOOKUP($B70,'LOD 300 - COLO2'!$B:AZ,51,FALSE),"N/A")</f>
        <v>N/A</v>
      </c>
      <c r="DK70" s="86" t="str">
        <f>IFERROR(VLOOKUP($B70,'LOD 300 - COLO2'!$B:BC,54,FALSE),"N/A")</f>
        <v>N/A</v>
      </c>
      <c r="DL70" s="86" t="str">
        <f>IFERROR(VLOOKUP($B70,'LOD 300 - COLO2'!$B:BF,57,FALSE),"N/A")</f>
        <v>N/A</v>
      </c>
      <c r="DM70" s="86" t="str">
        <f>IFERROR(VLOOKUP($B70,'LOD 300 - COLO2'!$B:BI,60,FALSE),"N/A")</f>
        <v>N/A</v>
      </c>
      <c r="DN70" s="86" t="str">
        <f>IFERROR(VLOOKUP($B70,'LOD 300 - COLO2'!$B:BL,63,FALSE),"N/A")</f>
        <v>N/A</v>
      </c>
      <c r="DO70" s="86" t="str">
        <f>IFERROR(VLOOKUP($B70,'LOD 300 - COLO2'!$B:BO,66,FALSE),"N/A")</f>
        <v>N/A</v>
      </c>
      <c r="DP70" s="87" t="str">
        <f>IFERROR(VLOOKUP($B70,'LOD 300 - COLO2'!$B:BR,69,FALSE),"N/A")</f>
        <v>N/A</v>
      </c>
      <c r="DQ70" s="87" t="str">
        <f>IFERROR(VLOOKUP($B70,'LOD 300 - COLO2'!$B:BU,72,FALSE),"N/A")</f>
        <v>N/A</v>
      </c>
      <c r="DR70" s="87" t="str">
        <f>IFERROR(VLOOKUP($B70,'LOD 300 - COLO2'!$B:BX,75,FALSE),"N/A")</f>
        <v>N/A</v>
      </c>
      <c r="DS70" s="98" t="str">
        <f>IFERROR(VLOOKUP($B70,'LOD 300 - COLO2'!$B:CA,78,FALSE),"N/A")</f>
        <v>N/A</v>
      </c>
      <c r="DT70" s="98" t="str">
        <f>IFERROR(VLOOKUP($B70,'LOD 300 - COLO2'!$B:CD,81,FALSE),"N/A")</f>
        <v>N/A</v>
      </c>
      <c r="DU70" s="98" t="str">
        <f>IFERROR(VLOOKUP($B70,'LOD 300 - COLO2'!$B:CG,84,FALSE),"N/A")</f>
        <v>N/A</v>
      </c>
      <c r="DV70" s="98" t="str">
        <f>IFERROR(VLOOKUP($B70,'LOD 300 - COLO2'!$B:CJ,87,FALSE),"N/A")</f>
        <v>N/A</v>
      </c>
      <c r="DW70" s="98" t="str">
        <f>IFERROR(VLOOKUP($B70,'LOD 300 - COLO2'!$B:CM,90,FALSE),"N/A")</f>
        <v>N/A</v>
      </c>
      <c r="DX70" s="98" t="str">
        <f>IFERROR(VLOOKUP($B70,'LOD 300 - COLO2'!$B:CP,93,FALSE),"N/A")</f>
        <v>N/A</v>
      </c>
      <c r="DY70" s="87" t="str">
        <f>IFERROR(VLOOKUP($B70,'LOD 300 - COLO2'!$B:CS,96,FALSE),"N/A")</f>
        <v>N/A</v>
      </c>
      <c r="DZ70" s="87" t="str">
        <f>IFERROR(VLOOKUP($B70,'LOD 300 - COLO2'!$B:CV,99,FALSE),"N/A")</f>
        <v>N/A</v>
      </c>
      <c r="EA70" s="87" t="str">
        <f>IFERROR(VLOOKUP($B70,'LOD 300 - COLO2'!$B:DB,105,FALSE),"N/A")</f>
        <v>N/A</v>
      </c>
      <c r="EB70" s="87" t="str">
        <f>IFERROR(VLOOKUP($B70,'LOD 300 - COLO2'!$B:DB,105,FALSE),"N/A")</f>
        <v>N/A</v>
      </c>
      <c r="EC70" s="87" t="str">
        <f>IFERROR(VLOOKUP($B70,'LOD 300 - COLO2'!$B:DE,108,FALSE),"N/A")</f>
        <v>N/A</v>
      </c>
      <c r="ED70" s="87" t="str">
        <f>IFERROR(VLOOKUP($B70,'LOD 300 - COLO2'!$B:DH,111,FALSE),"N/A")</f>
        <v>N/A</v>
      </c>
      <c r="EE70" s="87" t="str">
        <f>IFERROR(VLOOKUP($B70,'LOD 300 - COLO2'!$B:DK,114,FALSE),"N/A")</f>
        <v>N/A</v>
      </c>
      <c r="EF70" s="87" t="str">
        <f>IFERROR(VLOOKUP($B70,'LOD 300 - COLO2'!$B:DN,117,FALSE),"N/A")</f>
        <v>N/A</v>
      </c>
      <c r="EG70" s="87" t="str">
        <f>IFERROR(VLOOKUP($B70,'LOD 300 - COLO2'!$B:DQ,120,FALSE),"N/A")</f>
        <v>N/A</v>
      </c>
      <c r="EH70" s="99" t="str">
        <f>IFERROR(__xludf.DUMMYFUNCTION("IFERROR(
  MAX(FILTER(CZ70:EG70, ISNUMBER(CZ70:EG70))),
  EG70
)"),"N/A")</f>
        <v>N/A</v>
      </c>
      <c r="EI70" s="100" t="str">
        <f>IFERROR(VLOOKUP($B70,'LOD 300 - COLO3'!$B:R,17,FALSE),"N/A")</f>
        <v>N/A</v>
      </c>
      <c r="EJ70" s="127" t="str">
        <f>IFERROR(VLOOKUP($B70,'LOD 300 - COLO3'!$B:U,20,FALSE),"N/A")</f>
        <v>N/A</v>
      </c>
      <c r="EK70" s="127" t="str">
        <f>IFERROR(VLOOKUP($B70,'LOD 300 - COLO3'!$B:X,23,FALSE),"N/A")</f>
        <v>N/A</v>
      </c>
      <c r="EL70" s="127" t="str">
        <f>IFERROR(VLOOKUP($B70,'LOD 300 - COLO3'!$B:AA,26,FALSE),"N/A")</f>
        <v>N/A</v>
      </c>
      <c r="EM70" s="127" t="str">
        <f>IFERROR(VLOOKUP($B70,'LOD 300 - COLO3'!$B:AD,29,FALSE),"N/A")</f>
        <v>N/A</v>
      </c>
      <c r="EN70" s="127" t="str">
        <f>IFERROR(VLOOKUP($B70,'LOD 300 - COLO3'!$B:AG,32,FALSE),"N/A")</f>
        <v>N/A</v>
      </c>
      <c r="EO70" s="127" t="str">
        <f>IFERROR(VLOOKUP($B70,'LOD 300 - COLO3'!$B:AJ,35,FALSE),"N/A")</f>
        <v>N/A</v>
      </c>
      <c r="EP70" s="100" t="str">
        <f>IFERROR(VLOOKUP($B70,'LOD 300 - COLO3'!$B:AM,38,FALSE),"N/A")</f>
        <v>N/A</v>
      </c>
      <c r="EQ70" s="100" t="str">
        <f>IFERROR(VLOOKUP($B70,'LOD 300 - COLO3'!$B:AP,41,FALSE),"N/A")</f>
        <v>N/A</v>
      </c>
      <c r="ER70" s="100" t="str">
        <f>IFERROR(VLOOKUP($B70,'LOD 300 - COLO3'!$B:AS,44,FALSE),"N/A")</f>
        <v>N/A</v>
      </c>
      <c r="ES70" s="100" t="str">
        <f>IFERROR(VLOOKUP($B70,'LOD 300 - COLO3'!$B:AV,47,FALSE),"N/A")</f>
        <v>N/A</v>
      </c>
      <c r="ET70" s="100" t="str">
        <f>IFERROR(VLOOKUP($B70,'LOD 300 - COLO3'!$B:AY,50,FALSE),"N/A")</f>
        <v>N/A</v>
      </c>
      <c r="EU70" s="100" t="str">
        <f>IFERROR(VLOOKUP($B70,'LOD 300 - COLO3'!$B:BB,53,FALSE),"N/A")</f>
        <v>N/A</v>
      </c>
      <c r="EV70" s="100" t="str">
        <f>IFERROR(VLOOKUP($B70,'LOD 300 - COLO3'!$B:BE,56,FALSE),"N/A")</f>
        <v>N/A</v>
      </c>
      <c r="EW70" s="100" t="str">
        <f>IFERROR(VLOOKUP($B70,'LOD 300 - COLO3'!$B:BL,59,FALSE),"N/A")</f>
        <v>N/A</v>
      </c>
      <c r="EX70" s="100" t="str">
        <f>IFERROR(VLOOKUP($B70,'LOD 300 - COLO3'!$B:BO,62,FALSE),"N/A")</f>
        <v>N/A</v>
      </c>
      <c r="EY70" s="103" t="str">
        <f>IFERROR(__xludf.DUMMYFUNCTION("IFERROR(
  MAX(FILTER(EI70:EX70, ISNUMBER(EI70:EX70))),
  EX70
)"),"N/A")</f>
        <v>N/A</v>
      </c>
      <c r="EZ70" s="104" t="str">
        <f>IFERROR(VLOOKUP($B70,'LOD 300 - COLO4'!$B:BT,17,FALSE),"N/A")</f>
        <v>N/A</v>
      </c>
      <c r="FA70" s="103" t="str">
        <f>IFERROR(__xludf.DUMMYFUNCTION("IFERROR(
  MAX(FILTER(EZ70, ISNUMBER(EZ70))),
  EZ70
)"),"N/A")</f>
        <v>N/A</v>
      </c>
      <c r="FB70" s="121">
        <f>IFERROR(VLOOKUP($B70,'LOD 300 - SITE'!$B:S,18,FALSE),"N/A")</f>
        <v>0.31</v>
      </c>
      <c r="FC70" s="122">
        <f>IFERROR(VLOOKUP($B70,'LOD 300 - SITE'!$B:V,21,FALSE),"N/A")</f>
        <v>0.4</v>
      </c>
      <c r="FD70" s="122" t="str">
        <f>IFERROR(VLOOKUP($B70,'LOD 300 - SITE'!$B:Y,24,FALSE),"N/A")</f>
        <v>OUTDATED MODEL</v>
      </c>
      <c r="FE70" s="122">
        <f>IFERROR(VLOOKUP($B70,'LOD 300 - SITE'!$B:AB,27,FALSE),"N/A")</f>
        <v>0.59</v>
      </c>
      <c r="FF70" s="122" t="str">
        <f>IFERROR(VLOOKUP($B70,'LOD 300 - SITE'!$B:AE,30,FALSE),"N/A")</f>
        <v>OUTDATED MODEL</v>
      </c>
      <c r="FG70" s="122" t="str">
        <f>IFERROR(VLOOKUP($B70,'LOD 300 - SITE'!$B:AH,33,FALSE),"N/A")</f>
        <v>OUTDATED MODEL</v>
      </c>
      <c r="FH70" s="122" t="str">
        <f>IFERROR(VLOOKUP($B70,'LOD 300 - SITE'!$B:AK,36,FALSE),"N/A")</f>
        <v>IMPROPER</v>
      </c>
      <c r="FI70" s="122" t="str">
        <f>IFERROR(VLOOKUP($B70,'LOD 300 - SITE'!$B:AN,39,FALSE),"N/A")</f>
        <v>OUTDATED MODEL</v>
      </c>
      <c r="FJ70" s="122" t="str">
        <f>IFERROR(VLOOKUP($B70,'LOD 300 - SITE'!$B:AQ,42,FALSE),"N/A")</f>
        <v>OUTDATED MODEL</v>
      </c>
      <c r="FK70" s="122" t="str">
        <f>IFERROR(VLOOKUP($B70,'LOD 300 - SITE'!$B:AT,45,FALSE),"N/A")</f>
        <v>OUTDATED MODEL</v>
      </c>
      <c r="FL70" s="123" t="str">
        <f>IFERROR(VLOOKUP($B70,'LOD 300 - SITE'!$B:AW,48,FALSE),"N/A")</f>
        <v>NEXT ROUND</v>
      </c>
      <c r="FM70" s="87" t="str">
        <f>IFERROR(VLOOKUP($B70,'LOD 300 - SITE'!$B:AZ,51,FALSE),"N/A")</f>
        <v>IMPROPER</v>
      </c>
      <c r="FN70" s="94">
        <f>IFERROR(VLOOKUP($B70,'LOD 300 - SITE'!$B:BC,54,FALSE),"N/A")</f>
        <v>0.62</v>
      </c>
      <c r="FO70" s="95" t="str">
        <f>IFERROR(VLOOKUP($B70,'LOD 300 - SITE'!$B:BF,57,FALSE),"N/A")</f>
        <v>OUTDATED MODEL</v>
      </c>
      <c r="FP70" s="86" t="str">
        <f>IFERROR(VLOOKUP($B70,'LOD 300 - SITE'!$B:BI,60,FALSE),"N/A")</f>
        <v>IMPROPER</v>
      </c>
      <c r="FQ70" s="86" t="str">
        <f>IFERROR(VLOOKUP($B70,'LOD 300 - SITE'!$B:BL,63,FALSE),"N/A")</f>
        <v>NEXT ROUND</v>
      </c>
      <c r="FR70" s="86" t="str">
        <f>IFERROR(VLOOKUP($B70,'LOD 300 - SITE'!$B:BO,66,FALSE),"N/A")</f>
        <v>NEXT ROUND</v>
      </c>
      <c r="FS70" s="86" t="str">
        <f>IFERROR(VLOOKUP($B70,'LOD 300 - SITE'!$B:BR,69,FALSE),"N/A")</f>
        <v>NEXT ROUND</v>
      </c>
      <c r="FT70" s="86" t="str">
        <f>IFERROR(VLOOKUP($B70,'LOD 300 - SITE'!$B:BU,72,FALSE),"N/A")</f>
        <v>NEXT ROUND</v>
      </c>
      <c r="FU70" s="86">
        <f>IFERROR(VLOOKUP($B70,'LOD 300 - SITE'!$B:BX,75,FALSE),"N/A")</f>
        <v>0.81</v>
      </c>
      <c r="FV70" s="86" t="str">
        <f>IFERROR(VLOOKUP($B70,'LOD 300 - SITE'!$B:CA,78,FALSE),"N/A")</f>
        <v>NEXT ROUND</v>
      </c>
      <c r="FW70" s="87" t="str">
        <f>IFERROR(VLOOKUP($B70,'LOD 300 - SITE'!$B:CD,81,FALSE),"N/A")</f>
        <v>NEXT ROUND</v>
      </c>
      <c r="FX70" s="108">
        <f>IFERROR(VLOOKUP($B70,'LOD 300 - SITE'!$B:CG,84,FALSE),"N/A")</f>
        <v>0.89</v>
      </c>
      <c r="FY70" s="108" t="str">
        <f>IFERROR(VLOOKUP($B70,'LOD 300 - SITE'!$B:CJ,87,FALSE),"N/A")</f>
        <v>NEXT ROUND</v>
      </c>
      <c r="FZ70" s="108">
        <f>IFERROR(VLOOKUP($B70,'LOD 300 - SITE'!$B:CM,90,FALSE),"N/A")</f>
        <v>0.93</v>
      </c>
      <c r="GA70" s="108" t="str">
        <f>IFERROR(VLOOKUP($B70,'LOD 300 - SITE'!$B:CP,93,FALSE),"N/A")</f>
        <v>NEXT ROUND</v>
      </c>
      <c r="GB70" s="108">
        <f>IFERROR(VLOOKUP($B70,'LOD 300 - SITE'!$B:CS,96,FALSE),"N/A")</f>
        <v>1</v>
      </c>
      <c r="GC70" s="109">
        <f>IFERROR(VLOOKUP($B70,'LOD 300 - SITE'!$B:CV,99,FALSE),"N/A")</f>
        <v>1</v>
      </c>
      <c r="GD70" s="87">
        <f>IFERROR(VLOOKUP($B70,'LOD 300 - SITE'!$B:CY,102,FALSE),"N/A")</f>
        <v>1</v>
      </c>
      <c r="GE70" s="87">
        <f>IFERROR(VLOOKUP($B70,'LOD 300 - SITE'!$B:DB,105,FALSE),"N/A")</f>
        <v>1</v>
      </c>
      <c r="GF70" s="87">
        <f>IFERROR(VLOOKUP($B70,'LOD 300 - SITE'!$B:DE,108,FALSE),"N/A")</f>
        <v>1</v>
      </c>
      <c r="GG70" s="87">
        <f>IFERROR(VLOOKUP($B70,'LOD 300 - SITE'!$B:DH,111,FALSE),"N/A")</f>
        <v>1</v>
      </c>
      <c r="GH70" s="87">
        <f>IFERROR(VLOOKUP($B70,'LOD 300 - SITE'!$B:DK,114,FALSE),"N/A")</f>
        <v>1</v>
      </c>
      <c r="GI70" s="87">
        <f>IFERROR(VLOOKUP($B70,'LOD 300 - SITE'!$B:DN,117,FALSE),"N/A")</f>
        <v>1</v>
      </c>
      <c r="GJ70" s="87">
        <f>IFERROR(VLOOKUP($B70,'LOD 300 - SITE'!$B:DQ,120,FALSE),"N/A")</f>
        <v>1</v>
      </c>
      <c r="GK70" s="87">
        <f>IFERROR(VLOOKUP($B70,'LOD 300 - SITE'!$B:DT,123,FALSE),"N/A")</f>
        <v>1</v>
      </c>
      <c r="GL70" s="87">
        <f>IFERROR(VLOOKUP($B70,'LOD 300 - SITE'!$B:DW,126,FALSE),"N/A")</f>
        <v>1</v>
      </c>
      <c r="GM70" s="110">
        <f>IFERROR(__xludf.DUMMYFUNCTION("IFERROR(
  MAX(FILTER(FB70:GL70, ISNUMBER(FB70:GL70))),
  GL70
)"),1.0)</f>
        <v>1</v>
      </c>
      <c r="GN70" s="68"/>
      <c r="GO70" s="68"/>
      <c r="GP70" s="68"/>
    </row>
    <row r="71" ht="15.0" customHeight="1" outlineLevel="1">
      <c r="A71" s="60">
        <v>74.0</v>
      </c>
      <c r="B71" s="140" t="s">
        <v>241</v>
      </c>
      <c r="C71" s="70" t="s">
        <v>242</v>
      </c>
      <c r="D71" s="71" t="s">
        <v>85</v>
      </c>
      <c r="E71" s="146" t="s">
        <v>169</v>
      </c>
      <c r="F71" s="13">
        <v>1112.0</v>
      </c>
      <c r="G71" s="139" t="s">
        <v>169</v>
      </c>
      <c r="H71" s="139">
        <v>1112.0</v>
      </c>
      <c r="I71" s="74" t="str">
        <f>IFERROR(VLOOKUP(C68:C210,'R22 RELATÓRIO ACC'!B:F,5,FALSE),"NOT PUBLISHED")</f>
        <v>V17</v>
      </c>
      <c r="J71" s="74" t="str">
        <f>IFERROR(VLOOKUP(C68:C210,'R22 RELATÓRIO ACC'!B:P,15,FALSE),"NOT PUBLISHED")</f>
        <v>14/05/2026</v>
      </c>
      <c r="K71" s="141" t="str">
        <f>IFERROR(VLOOKUP(B68:B258,'RELATÓRIO ACC'!B:F,5,FALSE),"NOT PUBLISHED")</f>
        <v>V4</v>
      </c>
      <c r="L71" s="142" t="str">
        <f>IFERROR(VLOOKUP(B68:B258,'RELATÓRIO ACC'!B:P,15,FALSE),"NOT PUBLISHED")</f>
        <v>25/06/2026</v>
      </c>
      <c r="M71" s="76" t="str">
        <f>IF(OR($D71="UTLS",$D71="GUAR",$D71="STIR",$D71="PUMP",$D71="SITE"),
   VLOOKUP($B71,'LOD 300 - SITE'!B:M,12,FALSE),
   VLOOKUP($B71,'LOD 300 - ADMN'!B:M,12,FALSE)
)</f>
        <v>V1</v>
      </c>
      <c r="N71" s="77">
        <f>IF(OR($D71="UTLS",$D71="GUAR",$D71="STIR",$D71="PUMP",$D71="SITE"),
   VLOOKUP($B71,'LOD 300 - SITE'!B:N,13,FALSE),
   VLOOKUP($B71,'LOD 300 - ADMN'!B:N,13,FALSE)
)</f>
        <v>46161</v>
      </c>
      <c r="O71" s="78" t="str">
        <f>IF(OR($D71="UTLS",$D71="GUAR",$D71="STIR",$D71="PUMP",$D71="SITE"),
   VLOOKUP($B71,'LOD 300 - SITE'!B:O,14,FALSE),
   VLOOKUP($B71,'LOD 300 - ADMN'!B:O,14,FALSE)
)</f>
        <v>R24</v>
      </c>
      <c r="P71" s="79" t="str">
        <f>IF(OR($D71="C345",$D71="C12A",$D71="DATA"),
   VLOOKUP($B71,'LOD 300 - COLO3'!B:M,12,FALSE),"N/A")</f>
        <v>V4</v>
      </c>
      <c r="Q71" s="80">
        <f>IF(OR($D71="C345",$D71="C12A",$D71="DATA"),
   VLOOKUP($B71,'LOD 300 - COLO3'!B:N,13,FALSE),"N/A")</f>
        <v>46198</v>
      </c>
      <c r="R71" s="76" t="str">
        <f>IF(OR($D71="C345",$D71="C12A",$D71="DATA"),
   VLOOKUP($B71,'LOD 300 - COLO3'!B:O,14,FALSE),"N/A")</f>
        <v>R24</v>
      </c>
      <c r="S71" s="79" t="str">
        <f>IF(OR($D71="C345",$D71="C12A",$D71="DATA"),
   VLOOKUP($B71,'LOD 300 - COLO4'!B:M,12,FALSE),"N/A")</f>
        <v>N/A</v>
      </c>
      <c r="T71" s="76" t="str">
        <f>IF(OR($D71="C345",$D71="C12A",$D71="DATA"),
   VLOOKUP($B71,'LOD 300 - COLO4'!B:T,13,FALSE),"N/A")</f>
        <v>N/A</v>
      </c>
      <c r="U71" s="81">
        <f>IF(OR($D71="C345",$D71="C12A",$D71="DATA"),
   VLOOKUP($B71,'LOD 300 - COLO4'!B:U,17,FALSE),"N/A")</f>
        <v>0</v>
      </c>
      <c r="V71" s="126" t="s">
        <v>87</v>
      </c>
      <c r="W71" s="144">
        <f>IFERROR(VLOOKUP($B71,'LOD 300 - ADMN'!$B:S,18,FALSE),"N/A")</f>
        <v>0.45</v>
      </c>
      <c r="X71" s="122" t="str">
        <f>IFERROR(VLOOKUP($B71,'LOD 300 - ADMN'!$B:V,21,FALSE),"N/A")</f>
        <v>OUTDATED MODEL</v>
      </c>
      <c r="Y71" s="122">
        <f>IFERROR(VLOOKUP($B71,'LOD 300 - ADMN'!$B:Y,24,FALSE),"N/A")</f>
        <v>0.56</v>
      </c>
      <c r="Z71" s="122">
        <f>IFERROR(VLOOKUP($B71,'LOD 300 - ADMN'!$B:AB,27,FALSE),"N/A")</f>
        <v>0.63</v>
      </c>
      <c r="AA71" s="122" t="str">
        <f>IFERROR(VLOOKUP($B71,'LOD 300 - ADMN'!$B:AE,30,FALSE),"N/A")</f>
        <v>OUTDATED MODEL</v>
      </c>
      <c r="AB71" s="145" t="str">
        <f>IFERROR(VLOOKUP($B71,'LOD 300 - ADMN'!$B:AH,33,FALSE),"N/A")</f>
        <v>OUTDATED MODEL</v>
      </c>
      <c r="AC71" s="145" t="str">
        <f>IFERROR(VLOOKUP($B71,'LOD 300 - ADMN'!$B:AK,36,FALSE),"N/A")</f>
        <v>OUTDATED MODEL</v>
      </c>
      <c r="AD71" s="122" t="str">
        <f>IFERROR(VLOOKUP($B71,'LOD 300 - ADMN'!$B:AN,39,FALSE),"N/A")</f>
        <v>OUTDATED MODEL</v>
      </c>
      <c r="AE71" s="122" t="str">
        <f>IFERROR(VLOOKUP($B71,'LOD 300 - ADMN'!$B:AQ,42,FALSE),"N/A")</f>
        <v>OUTDATED MODEL</v>
      </c>
      <c r="AF71" s="122" t="str">
        <f>IFERROR(VLOOKUP($B71,'LOD 300 - ADMN'!$B:AT,45,FALSE),"N/A")</f>
        <v>OUTDATED MODEL</v>
      </c>
      <c r="AG71" s="122" t="str">
        <f>IFERROR(VLOOKUP($B71,'LOD 300 - ADMN'!$B:AW,48,FALSE),"N/A")</f>
        <v>NEXT ROUND</v>
      </c>
      <c r="AH71" s="122" t="str">
        <f>IFERROR(VLOOKUP($B71,'LOD 300 - ADMN'!$B:AZ,51,FALSE),"N/A")</f>
        <v>IMPROPER</v>
      </c>
      <c r="AI71" s="122" t="str">
        <f>IFERROR(VLOOKUP($B71,'LOD 300 - ADMN'!$B:BC,54,FALSE),"N/A")</f>
        <v>NEXT ROUND</v>
      </c>
      <c r="AJ71" s="87" t="str">
        <f>IFERROR(VLOOKUP($B71,'LOD 300 - ADMN'!$B:BF,57,FALSE),"N/A")</f>
        <v>IMPROPER</v>
      </c>
      <c r="AK71" s="87">
        <f>IFERROR(VLOOKUP($B71,'LOD 300 - ADMN'!$B:EP,60,FALSE),"N/A")</f>
        <v>0.76</v>
      </c>
      <c r="AL71" s="87" t="str">
        <f>IFERROR(VLOOKUP($B71,'LOD 300 - ADMN'!$B:EQ,63,FALSE),"N/A")</f>
        <v>OUTDATED MODEL</v>
      </c>
      <c r="AM71" s="87" t="str">
        <f>IFERROR(VLOOKUP($B71,'LOD 300 - ADMN'!$B:BO,66,FALSE),"N/A")</f>
        <v>IMPROPER</v>
      </c>
      <c r="AN71" s="87" t="str">
        <f>IFERROR(VLOOKUP($B71,'LOD 300 - ADMN'!$B:BR,69,FALSE),"N/A")</f>
        <v>NEXT ROUND</v>
      </c>
      <c r="AO71" s="87" t="str">
        <f>IFERROR(VLOOKUP($B71,'LOD 300 - ADMN'!$B:BU,72,FALSE),"N/A")</f>
        <v>NEXT ROUND</v>
      </c>
      <c r="AP71" s="87" t="str">
        <f>IFERROR(VLOOKUP($B71,'LOD 300 - ADMN'!$B:BX,75,FALSE),"N/A")</f>
        <v>NEXT ROUND</v>
      </c>
      <c r="AQ71" s="87" t="str">
        <f>IFERROR(VLOOKUP($B71,'LOD 300 - ADMN'!$B:CA,78,FALSE),"N/A")</f>
        <v>NEXT ROUND</v>
      </c>
      <c r="AR71" s="87">
        <f>IFERROR(VLOOKUP($B71,'LOD 300 - ADMN'!$B:CD,81,FALSE),"N/A")</f>
        <v>0.79</v>
      </c>
      <c r="AS71" s="87" t="str">
        <f>IFERROR(VLOOKUP($B71,'LOD 300 - ADMN'!$B:CG,84,FALSE),"N/A")</f>
        <v>NEXT ROUND</v>
      </c>
      <c r="AT71" s="87">
        <f>IFERROR(VLOOKUP($B71,'LOD 300 - ADMN'!$B:CJ,87,FALSE),"N/A")</f>
        <v>0.96</v>
      </c>
      <c r="AU71" s="88" t="str">
        <f>IFERROR(VLOOKUP($B71,'LOD 300 - ADMN'!$B:CM,90,FALSE),"N/A")</f>
        <v>OUTDATED MODEL</v>
      </c>
      <c r="AV71" s="88" t="str">
        <f>IFERROR(VLOOKUP($B71,'LOD 300 - ADMN'!$B:CP,93,FALSE),"N/A")</f>
        <v>NEXT ROUND</v>
      </c>
      <c r="AW71" s="88" t="str">
        <f>IFERROR(VLOOKUP($B71,'LOD 300 - ADMN'!$B:CS,96,FALSE),"N/A")</f>
        <v>NEXT ROUND</v>
      </c>
      <c r="AX71" s="88" t="str">
        <f>IFERROR(VLOOKUP($B71,'LOD 300 - ADMN'!$B:CV,99,FALSE),"N/A")</f>
        <v>NEXT ROUND</v>
      </c>
      <c r="AY71" s="88" t="str">
        <f>IFERROR(VLOOKUP($B71,'LOD 300 - ADMN'!$B:CY,102,FALSE),"N/A")</f>
        <v>NEXT ROUND</v>
      </c>
      <c r="AZ71" s="88" t="str">
        <f>IFERROR(VLOOKUP($B71,'LOD 300 - ADMN'!$B:DB,105,FALSE),"N/A")</f>
        <v>OUTDATED MODEL</v>
      </c>
      <c r="BA71" s="87" t="str">
        <f>IFERROR(VLOOKUP($B71,'LOD 300 - ADMN'!$B:DE,108,FALSE),"N/A")</f>
        <v>NEXT ROUND</v>
      </c>
      <c r="BB71" s="87">
        <f>IFERROR(VLOOKUP($B71,'LOD 300 - ADMN'!$B:DH,111,FALSE),"N/A")</f>
        <v>1</v>
      </c>
      <c r="BC71" s="87">
        <f>IFERROR(VLOOKUP($B71,'LOD 300 - ADMN'!$B:DK,114,FALSE),"N/A")</f>
        <v>1</v>
      </c>
      <c r="BD71" s="87">
        <f>IFERROR(VLOOKUP($B71,'LOD 300 - ADMN'!$B:DN,117,FALSE),"N/A")</f>
        <v>1</v>
      </c>
      <c r="BE71" s="87">
        <f>IFERROR(VLOOKUP($B71,'LOD 300 - ADMN'!$B:DQ,120,FALSE),"N/A")</f>
        <v>1</v>
      </c>
      <c r="BF71" s="87">
        <f>IFERROR(VLOOKUP($B71,'LOD 300 - ADMN'!$B:DT,123,FALSE),"N/A")</f>
        <v>1</v>
      </c>
      <c r="BG71" s="87">
        <f>IFERROR(VLOOKUP($B71,'LOD 300 - ADMN'!$B:DW,126,FALSE),"N/A")</f>
        <v>1</v>
      </c>
      <c r="BH71" s="87">
        <f>IFERROR(VLOOKUP($B71,'LOD 300 - ADMN'!$B:DZ,129,FALSE),"N/A")</f>
        <v>1</v>
      </c>
      <c r="BI71" s="87">
        <f>IFERROR(VLOOKUP($B71,'LOD 300 - ADMN'!$B:EC,132,FALSE),"N/A")</f>
        <v>1</v>
      </c>
      <c r="BJ71" s="90">
        <f>IFERROR(__xludf.DUMMYFUNCTION("IFERROR(
  MAX(FILTER(X71:BI71, ISNUMBER(X71:BI71))),
  BI71
)"),1.0)</f>
        <v>1</v>
      </c>
      <c r="BK71" s="91">
        <f>IFERROR(VLOOKUP($B71,'LOD 300 - COLO1'!$B:S,18,FALSE),"N/A")</f>
        <v>0.42</v>
      </c>
      <c r="BL71" s="92" t="str">
        <f>IFERROR(VLOOKUP($B71,'LOD 300 - COLO1'!$B:V,21,FALSE),"N/A")</f>
        <v>OUTDATED MODEL</v>
      </c>
      <c r="BM71" s="92">
        <f>IFERROR(VLOOKUP($B71,'LOD 300 - COLO1'!$B:Y,24,FALSE),"N/A")</f>
        <v>0.52</v>
      </c>
      <c r="BN71" s="92">
        <f>IFERROR(VLOOKUP($B71,'LOD 300 - COLO1'!$B:AB,27,FALSE),"N/A")</f>
        <v>0.57</v>
      </c>
      <c r="BO71" s="92" t="str">
        <f>IFERROR(VLOOKUP($B71,'LOD 300 - COLO1'!$B:AE,30,FALSE),"N/A")</f>
        <v>OUTDATED MODEL</v>
      </c>
      <c r="BP71" s="92" t="str">
        <f>IFERROR(VLOOKUP($B71,'LOD 300 - COLO1'!$B:AH,33,FALSE),"N/A")</f>
        <v>OUTDATED MODEL</v>
      </c>
      <c r="BQ71" s="92" t="str">
        <f>IFERROR(VLOOKUP($B71,'LOD 300 - COLO1'!$B:AK,36,FALSE),"N/A")</f>
        <v>OUTDATED MODEL</v>
      </c>
      <c r="BR71" s="92" t="str">
        <f>IFERROR(VLOOKUP($B71,'LOD 300 - COLO1'!$B:AN,39,FALSE),"N/A")</f>
        <v>OUTDATED MODEL</v>
      </c>
      <c r="BS71" s="92" t="str">
        <f>IFERROR(VLOOKUP($B71,'LOD 300 - COLO1'!$B:AQ,42,FALSE),"N/A")</f>
        <v>OUTDATED MODEL</v>
      </c>
      <c r="BT71" s="92" t="str">
        <f>IFERROR(VLOOKUP($B71,'LOD 300 - COLO1'!$B:AT,45,FALSE),"N/A")</f>
        <v>OUTDATED MODEL</v>
      </c>
      <c r="BU71" s="92" t="str">
        <f>IFERROR(VLOOKUP($B71,'LOD 300 - COLO1'!$B:AW,48,FALSE),"N/A")</f>
        <v>NEXT ROUND</v>
      </c>
      <c r="BV71" s="92" t="str">
        <f>IFERROR(VLOOKUP($B71,'LOD 300 - COLO1'!$B:AZ,51,FALSE),"N/A")</f>
        <v>IMPROPER</v>
      </c>
      <c r="BW71" s="92" t="str">
        <f>IFERROR(VLOOKUP($B71,'LOD 300 - COLO1'!$B:BC,54,FALSE),"N/A")</f>
        <v>NEXT ROUND</v>
      </c>
      <c r="BX71" s="94" t="str">
        <f>IFERROR(VLOOKUP($B71,'LOD 300 - COLO1'!$B:BF,57,FALSE),"N/A")</f>
        <v>IMPROPER</v>
      </c>
      <c r="BY71" s="94">
        <f>IFERROR(VLOOKUP($B71,'LOD 300 - COLO1'!$B:BI,60,FALSE),"N/A")</f>
        <v>0.75</v>
      </c>
      <c r="BZ71" s="95" t="str">
        <f>IFERROR(VLOOKUP($B71,'LOD 300 - COLO1'!$B:BL,63,FALSE),"N/A")</f>
        <v>OUTDATED MODEL</v>
      </c>
      <c r="CA71" s="86" t="str">
        <f>IFERROR(VLOOKUP($B71,'LOD 300 - COLO1'!$B:BO,66,FALSE),"N/A")</f>
        <v>IMPROPER</v>
      </c>
      <c r="CB71" s="86" t="str">
        <f>IFERROR(VLOOKUP($B71,'LOD 300 - COLO1'!$B:BR,69,FALSE),"N/A")</f>
        <v>NEXT ROUND</v>
      </c>
      <c r="CC71" s="86" t="str">
        <f>IFERROR(VLOOKUP($B71,'LOD 300 - COLO1'!$B:BU,72,FALSE),"N/A")</f>
        <v>NEXT ROUND</v>
      </c>
      <c r="CD71" s="86" t="str">
        <f>IFERROR(VLOOKUP($B71,'LOD 300 - COLO1'!$B:BX,75,FALSE),"N/A")</f>
        <v>NEXT ROUND</v>
      </c>
      <c r="CE71" s="86" t="str">
        <f>IFERROR(VLOOKUP($B71,'LOD 300 - COLO1'!$B:CA,78,FALSE),"N/A")</f>
        <v>NEXT ROUND</v>
      </c>
      <c r="CF71" s="87">
        <f>IFERROR(VLOOKUP($B71,'LOD 300 - COLO1'!$B:CD,81,FALSE),"N/A")</f>
        <v>0.77</v>
      </c>
      <c r="CG71" s="86" t="str">
        <f>IFERROR(VLOOKUP($B71,'LOD 300 - COLO1'!$B:CG,84,FALSE),"N/A")</f>
        <v>NEXT ROUND</v>
      </c>
      <c r="CH71" s="87">
        <f>IFERROR(VLOOKUP($B71,'LOD 300 - COLO1'!$B:CJ,87,FALSE),"N/A")</f>
        <v>0.92</v>
      </c>
      <c r="CI71" s="88" t="str">
        <f>IFERROR(VLOOKUP($B71,'LOD 300 - COLO1'!$B:CM,90,FALSE),"N/A")</f>
        <v>OUTDATED MODEL</v>
      </c>
      <c r="CJ71" s="88" t="str">
        <f>IFERROR(VLOOKUP($B71,'LOD 300 - COLO1'!$B:CP,93,FALSE),"N/A")</f>
        <v>NEXT ROUND</v>
      </c>
      <c r="CK71" s="88" t="str">
        <f>IFERROR(VLOOKUP($B71,'LOD 300 - COLO1'!$B:CS,96,FALSE),"N/A")</f>
        <v>NEXT ROUND</v>
      </c>
      <c r="CL71" s="88" t="str">
        <f>IFERROR(VLOOKUP($B71,'LOD 300 - COLO1'!$B:CV,99,FALSE),"N/A")</f>
        <v>NEXT ROUND</v>
      </c>
      <c r="CM71" s="88" t="str">
        <f>IFERROR(VLOOKUP($B71,'LOD 300 - COLO1'!$B:CY,102,FALSE),"N/A")</f>
        <v>NEXT ROUND</v>
      </c>
      <c r="CN71" s="89">
        <f>IFERROR(VLOOKUP($B71,'LOD 300 - COLO1'!$B:DB,105,FALSE),"N/A")</f>
        <v>1</v>
      </c>
      <c r="CO71" s="87">
        <f>IFERROR(VLOOKUP($B71,'LOD 300 - COLO1'!$B:EE,108,FALSE),"N/A")</f>
        <v>1</v>
      </c>
      <c r="CP71" s="87">
        <f>IFERROR(VLOOKUP($B71,'LOD 300 - COLO1'!$B:EH,111,FALSE),"N/A")</f>
        <v>1</v>
      </c>
      <c r="CQ71" s="87">
        <f>IFERROR(VLOOKUP($B71,'LOD 300 - COLO1'!$B:EK,114,FALSE),"N/A")</f>
        <v>1</v>
      </c>
      <c r="CR71" s="87">
        <f>IFERROR(VLOOKUP($B71,'LOD 300 - COLO1'!$B:EN,117,FALSE),"N/A")</f>
        <v>1</v>
      </c>
      <c r="CS71" s="87">
        <f>IFERROR(VLOOKUP($B71,'LOD 300 - COLO1'!$B:EQ,120,FALSE),"N/A")</f>
        <v>1</v>
      </c>
      <c r="CT71" s="87">
        <f>IFERROR(VLOOKUP($B71,'LOD 300 - COLO1'!$B:ET,123,FALSE),"N/A")</f>
        <v>1</v>
      </c>
      <c r="CU71" s="87">
        <f>IFERROR(VLOOKUP($B71,'LOD 300 - COLO1'!$B:EW,126,FALSE),"N/A")</f>
        <v>1</v>
      </c>
      <c r="CV71" s="87">
        <f>IFERROR(VLOOKUP($B71,'LOD 300 - COLO1'!$B:EZ,129,FALSE),"N/A")</f>
        <v>1</v>
      </c>
      <c r="CW71" s="87">
        <f>IFERROR(VLOOKUP($B71,'LOD 300 - COLO1'!$B:FC,132,FALSE),"N/A")</f>
        <v>1</v>
      </c>
      <c r="CX71" s="96">
        <f>IFERROR(__xludf.DUMMYFUNCTION("IFERROR(
  MAX(FILTER(BK71:CW71, ISNUMBER(BK71:CW71))),
  CW71
)"),1.0)</f>
        <v>1</v>
      </c>
      <c r="CY71" s="104">
        <f>IFERROR(VLOOKUP($B71,'LOD 300 - COLO2'!$B:S,18,FALSE),"N/A")</f>
        <v>0.67</v>
      </c>
      <c r="CZ71" s="117" t="str">
        <f>IFERROR(VLOOKUP($B71,'LOD 300 - COLO2'!$B:V,21,FALSE),"N/A")</f>
        <v>OUTDATED MODEL</v>
      </c>
      <c r="DA71" s="117" t="str">
        <f>IFERROR(VLOOKUP($B71,'LOD 300 - COLO2'!$B:Y,24,FALSE),"N/A")</f>
        <v>OUTDATED MODEL</v>
      </c>
      <c r="DB71" s="117" t="str">
        <f>IFERROR(VLOOKUP($B71,'LOD 300 - COLO2'!$B:AB,27,FALSE),"N/A")</f>
        <v>OUTDATED MODEL</v>
      </c>
      <c r="DC71" s="92" t="str">
        <f>IFERROR(VLOOKUP($B71,'LOD 300 - COLO2'!$B:AE,30,FALSE),"N/A")</f>
        <v>OUTDATED MODEL</v>
      </c>
      <c r="DD71" s="120" t="str">
        <f>IFERROR(VLOOKUP($B71,'LOD 300 - COLO2'!$B:AH,33,FALSE),"N/A")</f>
        <v>OUTDATED MODEL</v>
      </c>
      <c r="DE71" s="117" t="str">
        <f>IFERROR(VLOOKUP($B71,'LOD 300 - COLO2'!$B:AK,36,FALSE),"N/A")</f>
        <v>NEXT ROUND</v>
      </c>
      <c r="DF71" s="117" t="str">
        <f>IFERROR(VLOOKUP($B71,'LOD 300 - COLO2'!$B:AN,39,FALSE),"N/A")</f>
        <v>IMPROPER</v>
      </c>
      <c r="DG71" s="119" t="str">
        <f>IFERROR(VLOOKUP($B71,'LOD 300 - COLO2'!$B:AQ,42,FALSE),"N/A")</f>
        <v>NEXT ROUND</v>
      </c>
      <c r="DH71" s="87" t="str">
        <f>IFERROR(VLOOKUP($B71,'LOD 300 - COLO2'!$B:AT,45,FALSE),"N/A")</f>
        <v>IMPROPER</v>
      </c>
      <c r="DI71" s="94">
        <f>IFERROR(VLOOKUP($B71,'LOD 300 - COLO2'!$B:AW,48,FALSE),"N/A")</f>
        <v>0.83</v>
      </c>
      <c r="DJ71" s="95" t="str">
        <f>IFERROR(VLOOKUP($B71,'LOD 300 - COLO2'!$B:AZ,51,FALSE),"N/A")</f>
        <v>OUTDATED MODEL</v>
      </c>
      <c r="DK71" s="86" t="str">
        <f>IFERROR(VLOOKUP($B71,'LOD 300 - COLO2'!$B:BC,54,FALSE),"N/A")</f>
        <v>IMPROPER</v>
      </c>
      <c r="DL71" s="86" t="str">
        <f>IFERROR(VLOOKUP($B71,'LOD 300 - COLO2'!$B:BF,57,FALSE),"N/A")</f>
        <v>NEXT ROUND</v>
      </c>
      <c r="DM71" s="86" t="str">
        <f>IFERROR(VLOOKUP($B71,'LOD 300 - COLO2'!$B:BI,60,FALSE),"N/A")</f>
        <v>NEXT ROUND</v>
      </c>
      <c r="DN71" s="86" t="str">
        <f>IFERROR(VLOOKUP($B71,'LOD 300 - COLO2'!$B:BL,63,FALSE),"N/A")</f>
        <v>NEXT ROUND</v>
      </c>
      <c r="DO71" s="86" t="str">
        <f>IFERROR(VLOOKUP($B71,'LOD 300 - COLO2'!$B:BO,66,FALSE),"N/A")</f>
        <v>NEXT ROUND</v>
      </c>
      <c r="DP71" s="87">
        <f>IFERROR(VLOOKUP($B71,'LOD 300 - COLO2'!$B:BR,69,FALSE),"N/A")</f>
        <v>0.8</v>
      </c>
      <c r="DQ71" s="87" t="str">
        <f>IFERROR(VLOOKUP($B71,'LOD 300 - COLO2'!$B:BU,72,FALSE),"N/A")</f>
        <v>NEXT ROUND</v>
      </c>
      <c r="DR71" s="87">
        <f>IFERROR(VLOOKUP($B71,'LOD 300 - COLO2'!$B:BX,75,FALSE),"N/A")</f>
        <v>0.95</v>
      </c>
      <c r="DS71" s="98" t="str">
        <f>IFERROR(VLOOKUP($B71,'LOD 300 - COLO2'!$B:CA,78,FALSE),"N/A")</f>
        <v>OUTDATED MODEL</v>
      </c>
      <c r="DT71" s="98" t="str">
        <f>IFERROR(VLOOKUP($B71,'LOD 300 - COLO2'!$B:CD,81,FALSE),"N/A")</f>
        <v>NEXT ROUND</v>
      </c>
      <c r="DU71" s="98" t="str">
        <f>IFERROR(VLOOKUP($B71,'LOD 300 - COLO2'!$B:CG,84,FALSE),"N/A")</f>
        <v>NEXT ROUND</v>
      </c>
      <c r="DV71" s="98" t="str">
        <f>IFERROR(VLOOKUP($B71,'LOD 300 - COLO2'!$B:CJ,87,FALSE),"N/A")</f>
        <v>NEXT ROUND</v>
      </c>
      <c r="DW71" s="98" t="str">
        <f>IFERROR(VLOOKUP($B71,'LOD 300 - COLO2'!$B:CM,90,FALSE),"N/A")</f>
        <v>NEXT ROUND</v>
      </c>
      <c r="DX71" s="98" t="str">
        <f>IFERROR(VLOOKUP($B71,'LOD 300 - COLO2'!$B:CP,93,FALSE),"N/A")</f>
        <v>NEXT ROUND</v>
      </c>
      <c r="DY71" s="87" t="str">
        <f>IFERROR(VLOOKUP($B71,'LOD 300 - COLO2'!$B:CS,96,FALSE),"N/A")</f>
        <v>NEXT ROUND</v>
      </c>
      <c r="DZ71" s="87">
        <f>IFERROR(VLOOKUP($B71,'LOD 300 - COLO2'!$B:CV,99,FALSE),"N/A")</f>
        <v>1</v>
      </c>
      <c r="EA71" s="87">
        <f>IFERROR(VLOOKUP($B71,'LOD 300 - COLO2'!$B:DB,105,FALSE),"N/A")</f>
        <v>1</v>
      </c>
      <c r="EB71" s="87">
        <f>IFERROR(VLOOKUP($B71,'LOD 300 - COLO2'!$B:DB,105,FALSE),"N/A")</f>
        <v>1</v>
      </c>
      <c r="EC71" s="87">
        <f>IFERROR(VLOOKUP($B71,'LOD 300 - COLO2'!$B:DE,108,FALSE),"N/A")</f>
        <v>1</v>
      </c>
      <c r="ED71" s="87">
        <f>IFERROR(VLOOKUP($B71,'LOD 300 - COLO2'!$B:DH,111,FALSE),"N/A")</f>
        <v>1</v>
      </c>
      <c r="EE71" s="87">
        <f>IFERROR(VLOOKUP($B71,'LOD 300 - COLO2'!$B:DK,114,FALSE),"N/A")</f>
        <v>1</v>
      </c>
      <c r="EF71" s="87">
        <f>IFERROR(VLOOKUP($B71,'LOD 300 - COLO2'!$B:DN,117,FALSE),"N/A")</f>
        <v>1</v>
      </c>
      <c r="EG71" s="87">
        <f>IFERROR(VLOOKUP($B71,'LOD 300 - COLO2'!$B:DQ,120,FALSE),"N/A")</f>
        <v>1</v>
      </c>
      <c r="EH71" s="99">
        <f>IFERROR(__xludf.DUMMYFUNCTION("IFERROR(
  MAX(FILTER(CZ71:EG71, ISNUMBER(CZ71:EG71))),
  EG71
)"),1.0)</f>
        <v>1</v>
      </c>
      <c r="EI71" s="100">
        <f>IFERROR(VLOOKUP($B71,'LOD 300 - COLO3'!$B:R,17,FALSE),"N/A")</f>
        <v>0</v>
      </c>
      <c r="EJ71" s="127" t="str">
        <f>IFERROR(VLOOKUP($B71,'LOD 300 - COLO3'!$B:U,20,FALSE),"N/A")</f>
        <v>NEXT ROUND</v>
      </c>
      <c r="EK71" s="127" t="str">
        <f>IFERROR(VLOOKUP($B71,'LOD 300 - COLO3'!$B:X,23,FALSE),"N/A")</f>
        <v>NEXT ROUND</v>
      </c>
      <c r="EL71" s="127">
        <f>IFERROR(VLOOKUP($B71,'LOD 300 - COLO3'!$B:AA,26,FALSE),"N/A")</f>
        <v>0.9</v>
      </c>
      <c r="EM71" s="127" t="str">
        <f>IFERROR(VLOOKUP($B71,'LOD 300 - COLO3'!$B:AD,29,FALSE),"N/A")</f>
        <v>NEXT ROUND</v>
      </c>
      <c r="EN71" s="127" t="str">
        <f>IFERROR(VLOOKUP($B71,'LOD 300 - COLO3'!$B:AG,32,FALSE),"N/A")</f>
        <v>NEXT ROUND</v>
      </c>
      <c r="EO71" s="127" t="str">
        <f>IFERROR(VLOOKUP($B71,'LOD 300 - COLO3'!$B:AJ,35,FALSE),"N/A")</f>
        <v>NEXT ROUND</v>
      </c>
      <c r="EP71" s="100" t="str">
        <f>IFERROR(VLOOKUP($B71,'LOD 300 - COLO3'!$B:AM,38,FALSE),"N/A")</f>
        <v>NEXT ROUND</v>
      </c>
      <c r="EQ71" s="100" t="str">
        <f>IFERROR(VLOOKUP($B71,'LOD 300 - COLO3'!$B:AP,41,FALSE),"N/A")</f>
        <v>IMPROPER</v>
      </c>
      <c r="ER71" s="100" t="str">
        <f>IFERROR(VLOOKUP($B71,'LOD 300 - COLO3'!$B:AS,44,FALSE),"N/A")</f>
        <v>NEXT ROUND</v>
      </c>
      <c r="ES71" s="100">
        <f>IFERROR(VLOOKUP($B71,'LOD 300 - COLO3'!$B:AV,47,FALSE),"N/A")</f>
        <v>0.94</v>
      </c>
      <c r="ET71" s="100" t="str">
        <f>IFERROR(VLOOKUP($B71,'LOD 300 - COLO3'!$B:AY,50,FALSE),"N/A")</f>
        <v>NEXT ROUND</v>
      </c>
      <c r="EU71" s="100">
        <f>IFERROR(VLOOKUP($B71,'LOD 300 - COLO3'!$B:BB,53,FALSE),"N/A")</f>
        <v>0.97</v>
      </c>
      <c r="EV71" s="100">
        <f>IFERROR(VLOOKUP($B71,'LOD 300 - COLO3'!$B:BE,56,FALSE),"N/A")</f>
        <v>1</v>
      </c>
      <c r="EW71" s="100">
        <f>IFERROR(VLOOKUP($B71,'LOD 300 - COLO3'!$B:BL,59,FALSE),"N/A")</f>
        <v>1</v>
      </c>
      <c r="EX71" s="100">
        <f>IFERROR(VLOOKUP($B71,'LOD 300 - COLO3'!$B:BO,62,FALSE),"N/A")</f>
        <v>1</v>
      </c>
      <c r="EY71" s="103">
        <f>IFERROR(__xludf.DUMMYFUNCTION("IFERROR(
  MAX(FILTER(EI71:EX71, ISNUMBER(EI71:EX71))),
  EX71
)"),1.0)</f>
        <v>1</v>
      </c>
      <c r="EZ71" s="104">
        <f>IFERROR(VLOOKUP($B71,'LOD 300 - COLO4'!$B:BT,17,FALSE),"N/A")</f>
        <v>0</v>
      </c>
      <c r="FA71" s="103">
        <f>IFERROR(__xludf.DUMMYFUNCTION("IFERROR(
  MAX(FILTER(EZ71, ISNUMBER(EZ71))),
  EZ71
)"),0.0)</f>
        <v>0</v>
      </c>
      <c r="FB71" s="121" t="str">
        <f>IFERROR(VLOOKUP($B71,'LOD 300 - SITE'!$B:S,18,FALSE),"N/A")</f>
        <v>N/A</v>
      </c>
      <c r="FC71" s="122" t="str">
        <f>IFERROR(VLOOKUP($B71,'LOD 300 - SITE'!$B:V,21,FALSE),"N/A")</f>
        <v>N/A</v>
      </c>
      <c r="FD71" s="122" t="str">
        <f>IFERROR(VLOOKUP($B71,'LOD 300 - SITE'!$B:Y,24,FALSE),"N/A")</f>
        <v>N/A</v>
      </c>
      <c r="FE71" s="122" t="str">
        <f>IFERROR(VLOOKUP($B71,'LOD 300 - SITE'!$B:AB,27,FALSE),"N/A")</f>
        <v>N/A</v>
      </c>
      <c r="FF71" s="122" t="str">
        <f>IFERROR(VLOOKUP($B71,'LOD 300 - SITE'!$B:AE,30,FALSE),"N/A")</f>
        <v>N/A</v>
      </c>
      <c r="FG71" s="122" t="str">
        <f>IFERROR(VLOOKUP($B71,'LOD 300 - SITE'!$B:AH,33,FALSE),"N/A")</f>
        <v>N/A</v>
      </c>
      <c r="FH71" s="122" t="str">
        <f>IFERROR(VLOOKUP($B71,'LOD 300 - SITE'!$B:AK,36,FALSE),"N/A")</f>
        <v>N/A</v>
      </c>
      <c r="FI71" s="122" t="str">
        <f>IFERROR(VLOOKUP($B71,'LOD 300 - SITE'!$B:AN,39,FALSE),"N/A")</f>
        <v>N/A</v>
      </c>
      <c r="FJ71" s="122" t="str">
        <f>IFERROR(VLOOKUP($B71,'LOD 300 - SITE'!$B:AQ,42,FALSE),"N/A")</f>
        <v>N/A</v>
      </c>
      <c r="FK71" s="122" t="str">
        <f>IFERROR(VLOOKUP($B71,'LOD 300 - SITE'!$B:AT,45,FALSE),"N/A")</f>
        <v>N/A</v>
      </c>
      <c r="FL71" s="123" t="str">
        <f>IFERROR(VLOOKUP($B71,'LOD 300 - SITE'!$B:AW,48,FALSE),"N/A")</f>
        <v>N/A</v>
      </c>
      <c r="FM71" s="87" t="str">
        <f>IFERROR(VLOOKUP($B71,'LOD 300 - SITE'!$B:AZ,51,FALSE),"N/A")</f>
        <v>N/A</v>
      </c>
      <c r="FN71" s="94" t="str">
        <f>IFERROR(VLOOKUP($B71,'LOD 300 - SITE'!$B:BC,54,FALSE),"N/A")</f>
        <v>N/A</v>
      </c>
      <c r="FO71" s="95" t="str">
        <f>IFERROR(VLOOKUP($B71,'LOD 300 - SITE'!$B:BF,57,FALSE),"N/A")</f>
        <v>N/A</v>
      </c>
      <c r="FP71" s="86" t="str">
        <f>IFERROR(VLOOKUP($B71,'LOD 300 - SITE'!$B:BI,60,FALSE),"N/A")</f>
        <v>N/A</v>
      </c>
      <c r="FQ71" s="86" t="str">
        <f>IFERROR(VLOOKUP($B71,'LOD 300 - SITE'!$B:BL,63,FALSE),"N/A")</f>
        <v>N/A</v>
      </c>
      <c r="FR71" s="86" t="str">
        <f>IFERROR(VLOOKUP($B71,'LOD 300 - SITE'!$B:BO,66,FALSE),"N/A")</f>
        <v>N/A</v>
      </c>
      <c r="FS71" s="86" t="str">
        <f>IFERROR(VLOOKUP($B71,'LOD 300 - SITE'!$B:BR,69,FALSE),"N/A")</f>
        <v>N/A</v>
      </c>
      <c r="FT71" s="86" t="str">
        <f>IFERROR(VLOOKUP($B71,'LOD 300 - SITE'!$B:BU,72,FALSE),"N/A")</f>
        <v>N/A</v>
      </c>
      <c r="FU71" s="86" t="str">
        <f>IFERROR(VLOOKUP($B71,'LOD 300 - SITE'!$B:BX,75,FALSE),"N/A")</f>
        <v>N/A</v>
      </c>
      <c r="FV71" s="86" t="str">
        <f>IFERROR(VLOOKUP($B71,'LOD 300 - SITE'!$B:CA,78,FALSE),"N/A")</f>
        <v>N/A</v>
      </c>
      <c r="FW71" s="87" t="str">
        <f>IFERROR(VLOOKUP($B71,'LOD 300 - SITE'!$B:CD,81,FALSE),"N/A")</f>
        <v>N/A</v>
      </c>
      <c r="FX71" s="108" t="str">
        <f>IFERROR(VLOOKUP($B71,'LOD 300 - SITE'!$B:CG,84,FALSE),"N/A")</f>
        <v>N/A</v>
      </c>
      <c r="FY71" s="108" t="str">
        <f>IFERROR(VLOOKUP($B71,'LOD 300 - SITE'!$B:CJ,87,FALSE),"N/A")</f>
        <v>N/A</v>
      </c>
      <c r="FZ71" s="108" t="str">
        <f>IFERROR(VLOOKUP($B71,'LOD 300 - SITE'!$B:CM,90,FALSE),"N/A")</f>
        <v>N/A</v>
      </c>
      <c r="GA71" s="108" t="str">
        <f>IFERROR(VLOOKUP($B71,'LOD 300 - SITE'!$B:CP,93,FALSE),"N/A")</f>
        <v>N/A</v>
      </c>
      <c r="GB71" s="108" t="str">
        <f>IFERROR(VLOOKUP($B71,'LOD 300 - SITE'!$B:CS,96,FALSE),"N/A")</f>
        <v>N/A</v>
      </c>
      <c r="GC71" s="109" t="str">
        <f>IFERROR(VLOOKUP($B71,'LOD 300 - SITE'!$B:CV,99,FALSE),"N/A")</f>
        <v>N/A</v>
      </c>
      <c r="GD71" s="87" t="str">
        <f>IFERROR(VLOOKUP($B71,'LOD 300 - SITE'!$B:CY,102,FALSE),"N/A")</f>
        <v>N/A</v>
      </c>
      <c r="GE71" s="87" t="str">
        <f>IFERROR(VLOOKUP($B71,'LOD 300 - SITE'!$B:DB,105,FALSE),"N/A")</f>
        <v>N/A</v>
      </c>
      <c r="GF71" s="87" t="str">
        <f>IFERROR(VLOOKUP($B71,'LOD 300 - SITE'!$B:DE,108,FALSE),"N/A")</f>
        <v>N/A</v>
      </c>
      <c r="GG71" s="87" t="str">
        <f>IFERROR(VLOOKUP($B71,'LOD 300 - SITE'!$B:DH,111,FALSE),"N/A")</f>
        <v>N/A</v>
      </c>
      <c r="GH71" s="87" t="str">
        <f>IFERROR(VLOOKUP($B71,'LOD 300 - SITE'!$B:DK,114,FALSE),"N/A")</f>
        <v>N/A</v>
      </c>
      <c r="GI71" s="87" t="str">
        <f>IFERROR(VLOOKUP($B71,'LOD 300 - SITE'!$B:DN,117,FALSE),"N/A")</f>
        <v>N/A</v>
      </c>
      <c r="GJ71" s="87" t="str">
        <f>IFERROR(VLOOKUP($B71,'LOD 300 - SITE'!$B:DQ,120,FALSE),"N/A")</f>
        <v>N/A</v>
      </c>
      <c r="GK71" s="87" t="str">
        <f>IFERROR(VLOOKUP($B71,'LOD 300 - SITE'!$B:DT,123,FALSE),"N/A")</f>
        <v>N/A</v>
      </c>
      <c r="GL71" s="87" t="str">
        <f>IFERROR(VLOOKUP($B71,'LOD 300 - SITE'!$B:DW,126,FALSE),"N/A")</f>
        <v>N/A</v>
      </c>
      <c r="GM71" s="110" t="str">
        <f>IFERROR(__xludf.DUMMYFUNCTION("IFERROR(
  MAX(FILTER(FB71:GL71, ISNUMBER(FB71:GL71))),
  GL71
)"),"N/A")</f>
        <v>N/A</v>
      </c>
      <c r="GN71" s="111"/>
      <c r="GO71" s="111"/>
      <c r="GP71" s="111"/>
    </row>
    <row r="72" ht="15.0" customHeight="1" outlineLevel="1">
      <c r="A72" s="60">
        <v>75.0</v>
      </c>
      <c r="B72" s="140" t="s">
        <v>243</v>
      </c>
      <c r="C72" s="70" t="s">
        <v>244</v>
      </c>
      <c r="D72" s="71" t="s">
        <v>245</v>
      </c>
      <c r="E72" s="146" t="s">
        <v>246</v>
      </c>
      <c r="F72" s="13">
        <v>1117.0</v>
      </c>
      <c r="G72" s="139" t="s">
        <v>133</v>
      </c>
      <c r="H72" s="139">
        <v>1128.0</v>
      </c>
      <c r="I72" s="74" t="str">
        <f>IFERROR(VLOOKUP(C69:C211,'R22 RELATÓRIO ACC'!B:F,5,FALSE),"NOT PUBLISHED")</f>
        <v>V16</v>
      </c>
      <c r="J72" s="74" t="str">
        <f>IFERROR(VLOOKUP(C69:C211,'R22 RELATÓRIO ACC'!B:P,15,FALSE),"NOT PUBLISHED")</f>
        <v>06/03/2026</v>
      </c>
      <c r="K72" s="141" t="str">
        <f>IFERROR(VLOOKUP(B69:B259,'RELATÓRIO ACC'!B:F,5,FALSE),"NOT PUBLISHED")</f>
        <v>V5</v>
      </c>
      <c r="L72" s="142" t="str">
        <f>IFERROR(VLOOKUP(B69:B259,'RELATÓRIO ACC'!B:P,15,FALSE),"NOT PUBLISHED")</f>
        <v>08/07/2026</v>
      </c>
      <c r="M72" s="76" t="str">
        <f>IF(OR($D72="UTLS",$D72="GUAR",$D72="STIR",$D72="PUMP",$D72="SITE"),
   VLOOKUP($B72,'LOD 300 - SITE'!B:M,12,FALSE),
   VLOOKUP($B72,'LOD 300 - ADMN'!B:M,12,FALSE)
)</f>
        <v>V6</v>
      </c>
      <c r="N72" s="80">
        <f>IF(OR($D72="UTLS",$D72="GUAR",$D72="STIR",$D72="PUMP",$D72="SITE"),
   VLOOKUP($B72,'LOD 300 - SITE'!B:N,13,FALSE),
   VLOOKUP($B72,'LOD 300 - ADMN'!B:N,13,FALSE)
)</f>
        <v>45770</v>
      </c>
      <c r="O72" s="143" t="str">
        <f>IF(OR($D72="UTLS",$D72="GUAR",$D72="STIR",$D72="PUMP",$D72="SITE"),
   VLOOKUP($B72,'LOD 300 - SITE'!B:O,14,FALSE),
   VLOOKUP($B72,'LOD 300 - ADMN'!B:O,14,FALSE)
)</f>
        <v>R22</v>
      </c>
      <c r="P72" s="79" t="str">
        <f>IF(OR($D72="C345",$D72="C12A",$D72="DATA"),
   VLOOKUP($B72,'LOD 300 - COLO3'!B:M,12,FALSE),"N/A")</f>
        <v>N/A</v>
      </c>
      <c r="Q72" s="76" t="str">
        <f>IF(OR($D72="C345",$D72="C12A",$D72="DATA"),
   VLOOKUP($B72,'LOD 300 - COLO3'!B:N,13,FALSE),"N/A")</f>
        <v>N/A</v>
      </c>
      <c r="R72" s="76" t="str">
        <f>IF(OR($D72="C345",$D72="C12A",$D72="DATA"),
   VLOOKUP($B72,'LOD 300 - COLO3'!B:O,14,FALSE),"N/A")</f>
        <v>N/A</v>
      </c>
      <c r="S72" s="79" t="str">
        <f>IF(OR($D72="C345",$D72="C12A",$D72="DATA"),
   VLOOKUP($B72,'LOD 300 - COLO4'!B:M,12,FALSE),"N/A")</f>
        <v>N/A</v>
      </c>
      <c r="T72" s="76" t="str">
        <f>IF(OR($D72="C345",$D72="C12A",$D72="DATA"),
   VLOOKUP($B72,'LOD 300 - COLO4'!B:T,13,FALSE),"N/A")</f>
        <v>N/A</v>
      </c>
      <c r="U72" s="76" t="str">
        <f>IF(OR($D72="C345",$D72="C12A",$D72="DATA"),
   VLOOKUP($B72,'LOD 300 - COLO4'!B:U,17,FALSE),"N/A")</f>
        <v>N/A</v>
      </c>
      <c r="V72" s="126" t="s">
        <v>102</v>
      </c>
      <c r="W72" s="144" t="str">
        <f>IFERROR(VLOOKUP($B72,'LOD 300 - ADMN'!$B:S,18,FALSE),"N/A")</f>
        <v>N/A</v>
      </c>
      <c r="X72" s="122" t="str">
        <f>IFERROR(VLOOKUP($B72,'LOD 300 - ADMN'!$B:V,21,FALSE),"N/A")</f>
        <v>N/A</v>
      </c>
      <c r="Y72" s="122" t="str">
        <f>IFERROR(VLOOKUP($B72,'LOD 300 - ADMN'!$B:Y,24,FALSE),"N/A")</f>
        <v>N/A</v>
      </c>
      <c r="Z72" s="122" t="str">
        <f>IFERROR(VLOOKUP($B72,'LOD 300 - ADMN'!$B:AB,27,FALSE),"N/A")</f>
        <v>N/A</v>
      </c>
      <c r="AA72" s="122" t="str">
        <f>IFERROR(VLOOKUP($B72,'LOD 300 - ADMN'!$B:AE,30,FALSE),"N/A")</f>
        <v>N/A</v>
      </c>
      <c r="AB72" s="145" t="str">
        <f>IFERROR(VLOOKUP($B72,'LOD 300 - ADMN'!$B:AH,33,FALSE),"N/A")</f>
        <v>N/A</v>
      </c>
      <c r="AC72" s="145" t="str">
        <f>IFERROR(VLOOKUP($B72,'LOD 300 - ADMN'!$B:AK,36,FALSE),"N/A")</f>
        <v>N/A</v>
      </c>
      <c r="AD72" s="122" t="str">
        <f>IFERROR(VLOOKUP($B72,'LOD 300 - ADMN'!$B:AN,39,FALSE),"N/A")</f>
        <v>N/A</v>
      </c>
      <c r="AE72" s="122" t="str">
        <f>IFERROR(VLOOKUP($B72,'LOD 300 - ADMN'!$B:AQ,42,FALSE),"N/A")</f>
        <v>N/A</v>
      </c>
      <c r="AF72" s="122" t="str">
        <f>IFERROR(VLOOKUP($B72,'LOD 300 - ADMN'!$B:AT,45,FALSE),"N/A")</f>
        <v>N/A</v>
      </c>
      <c r="AG72" s="122" t="str">
        <f>IFERROR(VLOOKUP($B72,'LOD 300 - ADMN'!$B:AW,48,FALSE),"N/A")</f>
        <v>N/A</v>
      </c>
      <c r="AH72" s="122" t="str">
        <f>IFERROR(VLOOKUP($B72,'LOD 300 - ADMN'!$B:AZ,51,FALSE),"N/A")</f>
        <v>N/A</v>
      </c>
      <c r="AI72" s="122" t="str">
        <f>IFERROR(VLOOKUP($B72,'LOD 300 - ADMN'!$B:BC,54,FALSE),"N/A")</f>
        <v>N/A</v>
      </c>
      <c r="AJ72" s="87" t="str">
        <f>IFERROR(VLOOKUP($B72,'LOD 300 - ADMN'!$B:BF,57,FALSE),"N/A")</f>
        <v>N/A</v>
      </c>
      <c r="AK72" s="87" t="str">
        <f>IFERROR(VLOOKUP($B72,'LOD 300 - ADMN'!$B:EP,60,FALSE),"N/A")</f>
        <v>N/A</v>
      </c>
      <c r="AL72" s="87" t="str">
        <f>IFERROR(VLOOKUP($B72,'LOD 300 - ADMN'!$B:EQ,63,FALSE),"N/A")</f>
        <v>N/A</v>
      </c>
      <c r="AM72" s="87" t="str">
        <f>IFERROR(VLOOKUP($B72,'LOD 300 - ADMN'!$B:BO,66,FALSE),"N/A")</f>
        <v>N/A</v>
      </c>
      <c r="AN72" s="87" t="str">
        <f>IFERROR(VLOOKUP($B72,'LOD 300 - ADMN'!$B:BR,69,FALSE),"N/A")</f>
        <v>N/A</v>
      </c>
      <c r="AO72" s="87" t="str">
        <f>IFERROR(VLOOKUP($B72,'LOD 300 - ADMN'!$B:BU,72,FALSE),"N/A")</f>
        <v>N/A</v>
      </c>
      <c r="AP72" s="87" t="str">
        <f>IFERROR(VLOOKUP($B72,'LOD 300 - ADMN'!$B:BX,75,FALSE),"N/A")</f>
        <v>N/A</v>
      </c>
      <c r="AQ72" s="87" t="str">
        <f>IFERROR(VLOOKUP($B72,'LOD 300 - ADMN'!$B:CA,78,FALSE),"N/A")</f>
        <v>N/A</v>
      </c>
      <c r="AR72" s="87" t="str">
        <f>IFERROR(VLOOKUP($B72,'LOD 300 - ADMN'!$B:CD,81,FALSE),"N/A")</f>
        <v>N/A</v>
      </c>
      <c r="AS72" s="87" t="str">
        <f>IFERROR(VLOOKUP($B72,'LOD 300 - ADMN'!$B:CG,84,FALSE),"N/A")</f>
        <v>N/A</v>
      </c>
      <c r="AT72" s="87" t="str">
        <f>IFERROR(VLOOKUP($B72,'LOD 300 - ADMN'!$B:CJ,87,FALSE),"N/A")</f>
        <v>N/A</v>
      </c>
      <c r="AU72" s="88" t="str">
        <f>IFERROR(VLOOKUP($B72,'LOD 300 - ADMN'!$B:CM,90,FALSE),"N/A")</f>
        <v>N/A</v>
      </c>
      <c r="AV72" s="88" t="str">
        <f>IFERROR(VLOOKUP($B72,'LOD 300 - ADMN'!$B:CP,93,FALSE),"N/A")</f>
        <v>N/A</v>
      </c>
      <c r="AW72" s="88" t="str">
        <f>IFERROR(VLOOKUP($B72,'LOD 300 - ADMN'!$B:CS,96,FALSE),"N/A")</f>
        <v>N/A</v>
      </c>
      <c r="AX72" s="88" t="str">
        <f>IFERROR(VLOOKUP($B72,'LOD 300 - ADMN'!$B:CV,99,FALSE),"N/A")</f>
        <v>N/A</v>
      </c>
      <c r="AY72" s="88" t="str">
        <f>IFERROR(VLOOKUP($B72,'LOD 300 - ADMN'!$B:CY,102,FALSE),"N/A")</f>
        <v>N/A</v>
      </c>
      <c r="AZ72" s="88" t="str">
        <f>IFERROR(VLOOKUP($B72,'LOD 300 - ADMN'!$B:DB,105,FALSE),"N/A")</f>
        <v>N/A</v>
      </c>
      <c r="BA72" s="87" t="str">
        <f>IFERROR(VLOOKUP($B72,'LOD 300 - ADMN'!$B:DE,108,FALSE),"N/A")</f>
        <v>N/A</v>
      </c>
      <c r="BB72" s="87" t="str">
        <f>IFERROR(VLOOKUP($B72,'LOD 300 - ADMN'!$B:DH,111,FALSE),"N/A")</f>
        <v>N/A</v>
      </c>
      <c r="BC72" s="87" t="str">
        <f>IFERROR(VLOOKUP($B72,'LOD 300 - ADMN'!$B:DK,114,FALSE),"N/A")</f>
        <v>N/A</v>
      </c>
      <c r="BD72" s="87" t="str">
        <f>IFERROR(VLOOKUP($B72,'LOD 300 - ADMN'!$B:DN,117,FALSE),"N/A")</f>
        <v>N/A</v>
      </c>
      <c r="BE72" s="87" t="str">
        <f>IFERROR(VLOOKUP($B72,'LOD 300 - ADMN'!$B:DQ,120,FALSE),"N/A")</f>
        <v>N/A</v>
      </c>
      <c r="BF72" s="87" t="str">
        <f>IFERROR(VLOOKUP($B72,'LOD 300 - ADMN'!$B:DT,123,FALSE),"N/A")</f>
        <v>N/A</v>
      </c>
      <c r="BG72" s="87" t="str">
        <f>IFERROR(VLOOKUP($B72,'LOD 300 - ADMN'!$B:DW,126,FALSE),"N/A")</f>
        <v>N/A</v>
      </c>
      <c r="BH72" s="87" t="str">
        <f>IFERROR(VLOOKUP($B72,'LOD 300 - ADMN'!$B:DZ,129,FALSE),"N/A")</f>
        <v>N/A</v>
      </c>
      <c r="BI72" s="87" t="str">
        <f>IFERROR(VLOOKUP($B72,'LOD 300 - ADMN'!$B:EC,132,FALSE),"N/A")</f>
        <v>N/A</v>
      </c>
      <c r="BJ72" s="90" t="str">
        <f>IFERROR(__xludf.DUMMYFUNCTION("IFERROR(
  MAX(FILTER(X72:BI72, ISNUMBER(X72:BI72))),
  BI72
)"),"N/A")</f>
        <v>N/A</v>
      </c>
      <c r="BK72" s="91" t="str">
        <f>IFERROR(VLOOKUP($B72,'LOD 300 - COLO1'!$B:S,18,FALSE),"N/A")</f>
        <v>N/A</v>
      </c>
      <c r="BL72" s="92" t="str">
        <f>IFERROR(VLOOKUP($B72,'LOD 300 - COLO1'!$B:V,21,FALSE),"N/A")</f>
        <v>N/A</v>
      </c>
      <c r="BM72" s="92" t="str">
        <f>IFERROR(VLOOKUP($B72,'LOD 300 - COLO1'!$B:Y,24,FALSE),"N/A")</f>
        <v>N/A</v>
      </c>
      <c r="BN72" s="92" t="str">
        <f>IFERROR(VLOOKUP($B72,'LOD 300 - COLO1'!$B:AB,27,FALSE),"N/A")</f>
        <v>N/A</v>
      </c>
      <c r="BO72" s="92" t="str">
        <f>IFERROR(VLOOKUP($B72,'LOD 300 - COLO1'!$B:AE,30,FALSE),"N/A")</f>
        <v>N/A</v>
      </c>
      <c r="BP72" s="92" t="str">
        <f>IFERROR(VLOOKUP($B72,'LOD 300 - COLO1'!$B:AH,33,FALSE),"N/A")</f>
        <v>N/A</v>
      </c>
      <c r="BQ72" s="92" t="str">
        <f>IFERROR(VLOOKUP($B72,'LOD 300 - COLO1'!$B:AK,36,FALSE),"N/A")</f>
        <v>N/A</v>
      </c>
      <c r="BR72" s="92" t="str">
        <f>IFERROR(VLOOKUP($B72,'LOD 300 - COLO1'!$B:AN,39,FALSE),"N/A")</f>
        <v>N/A</v>
      </c>
      <c r="BS72" s="92" t="str">
        <f>IFERROR(VLOOKUP($B72,'LOD 300 - COLO1'!$B:AQ,42,FALSE),"N/A")</f>
        <v>N/A</v>
      </c>
      <c r="BT72" s="92" t="str">
        <f>IFERROR(VLOOKUP($B72,'LOD 300 - COLO1'!$B:AT,45,FALSE),"N/A")</f>
        <v>N/A</v>
      </c>
      <c r="BU72" s="92" t="str">
        <f>IFERROR(VLOOKUP($B72,'LOD 300 - COLO1'!$B:AW,48,FALSE),"N/A")</f>
        <v>N/A</v>
      </c>
      <c r="BV72" s="92" t="str">
        <f>IFERROR(VLOOKUP($B72,'LOD 300 - COLO1'!$B:AZ,51,FALSE),"N/A")</f>
        <v>N/A</v>
      </c>
      <c r="BW72" s="92" t="str">
        <f>IFERROR(VLOOKUP($B72,'LOD 300 - COLO1'!$B:BC,54,FALSE),"N/A")</f>
        <v>N/A</v>
      </c>
      <c r="BX72" s="94" t="str">
        <f>IFERROR(VLOOKUP($B72,'LOD 300 - COLO1'!$B:BF,57,FALSE),"N/A")</f>
        <v>N/A</v>
      </c>
      <c r="BY72" s="94" t="str">
        <f>IFERROR(VLOOKUP($B72,'LOD 300 - COLO1'!$B:BI,60,FALSE),"N/A")</f>
        <v>N/A</v>
      </c>
      <c r="BZ72" s="95" t="str">
        <f>IFERROR(VLOOKUP($B72,'LOD 300 - COLO1'!$B:BL,63,FALSE),"N/A")</f>
        <v>N/A</v>
      </c>
      <c r="CA72" s="86" t="str">
        <f>IFERROR(VLOOKUP($B72,'LOD 300 - COLO1'!$B:BO,66,FALSE),"N/A")</f>
        <v>N/A</v>
      </c>
      <c r="CB72" s="86" t="str">
        <f>IFERROR(VLOOKUP($B72,'LOD 300 - COLO1'!$B:BR,69,FALSE),"N/A")</f>
        <v>N/A</v>
      </c>
      <c r="CC72" s="86" t="str">
        <f>IFERROR(VLOOKUP($B72,'LOD 300 - COLO1'!$B:BU,72,FALSE),"N/A")</f>
        <v>N/A</v>
      </c>
      <c r="CD72" s="86" t="str">
        <f>IFERROR(VLOOKUP($B72,'LOD 300 - COLO1'!$B:BX,75,FALSE),"N/A")</f>
        <v>N/A</v>
      </c>
      <c r="CE72" s="86" t="str">
        <f>IFERROR(VLOOKUP($B72,'LOD 300 - COLO1'!$B:CA,78,FALSE),"N/A")</f>
        <v>N/A</v>
      </c>
      <c r="CF72" s="87" t="str">
        <f>IFERROR(VLOOKUP($B72,'LOD 300 - COLO1'!$B:CD,81,FALSE),"N/A")</f>
        <v>N/A</v>
      </c>
      <c r="CG72" s="86" t="str">
        <f>IFERROR(VLOOKUP($B72,'LOD 300 - COLO1'!$B:CG,84,FALSE),"N/A")</f>
        <v>N/A</v>
      </c>
      <c r="CH72" s="87" t="str">
        <f>IFERROR(VLOOKUP($B72,'LOD 300 - COLO1'!$B:CJ,87,FALSE),"N/A")</f>
        <v>N/A</v>
      </c>
      <c r="CI72" s="88" t="str">
        <f>IFERROR(VLOOKUP($B72,'LOD 300 - COLO1'!$B:CM,90,FALSE),"N/A")</f>
        <v>N/A</v>
      </c>
      <c r="CJ72" s="88" t="str">
        <f>IFERROR(VLOOKUP($B72,'LOD 300 - COLO1'!$B:CP,93,FALSE),"N/A")</f>
        <v>N/A</v>
      </c>
      <c r="CK72" s="88" t="str">
        <f>IFERROR(VLOOKUP($B72,'LOD 300 - COLO1'!$B:CS,96,FALSE),"N/A")</f>
        <v>N/A</v>
      </c>
      <c r="CL72" s="88" t="str">
        <f>IFERROR(VLOOKUP($B72,'LOD 300 - COLO1'!$B:CV,99,FALSE),"N/A")</f>
        <v>N/A</v>
      </c>
      <c r="CM72" s="88" t="str">
        <f>IFERROR(VLOOKUP($B72,'LOD 300 - COLO1'!$B:CY,102,FALSE),"N/A")</f>
        <v>N/A</v>
      </c>
      <c r="CN72" s="89" t="str">
        <f>IFERROR(VLOOKUP($B72,'LOD 300 - COLO1'!$B:DB,105,FALSE),"N/A")</f>
        <v>N/A</v>
      </c>
      <c r="CO72" s="87" t="str">
        <f>IFERROR(VLOOKUP($B72,'LOD 300 - COLO1'!$B:EE,108,FALSE),"N/A")</f>
        <v>N/A</v>
      </c>
      <c r="CP72" s="87" t="str">
        <f>IFERROR(VLOOKUP($B72,'LOD 300 - COLO1'!$B:EH,111,FALSE),"N/A")</f>
        <v>N/A</v>
      </c>
      <c r="CQ72" s="87" t="str">
        <f>IFERROR(VLOOKUP($B72,'LOD 300 - COLO1'!$B:EK,114,FALSE),"N/A")</f>
        <v>N/A</v>
      </c>
      <c r="CR72" s="87" t="str">
        <f>IFERROR(VLOOKUP($B72,'LOD 300 - COLO1'!$B:EN,117,FALSE),"N/A")</f>
        <v>N/A</v>
      </c>
      <c r="CS72" s="87" t="str">
        <f>IFERROR(VLOOKUP($B72,'LOD 300 - COLO1'!$B:EQ,120,FALSE),"N/A")</f>
        <v>N/A</v>
      </c>
      <c r="CT72" s="87" t="str">
        <f>IFERROR(VLOOKUP($B72,'LOD 300 - COLO1'!$B:ET,123,FALSE),"N/A")</f>
        <v>N/A</v>
      </c>
      <c r="CU72" s="87" t="str">
        <f>IFERROR(VLOOKUP($B72,'LOD 300 - COLO1'!$B:EW,126,FALSE),"N/A")</f>
        <v>N/A</v>
      </c>
      <c r="CV72" s="87" t="str">
        <f>IFERROR(VLOOKUP($B72,'LOD 300 - COLO1'!$B:EZ,129,FALSE),"N/A")</f>
        <v>N/A</v>
      </c>
      <c r="CW72" s="87" t="str">
        <f>IFERROR(VLOOKUP($B72,'LOD 300 - COLO1'!$B:FC,132,FALSE),"N/A")</f>
        <v>N/A</v>
      </c>
      <c r="CX72" s="96" t="str">
        <f>IFERROR(__xludf.DUMMYFUNCTION("IFERROR(
  MAX(FILTER(BK72:CW72, ISNUMBER(BK72:CW72))),
  CW72
)"),"N/A")</f>
        <v>N/A</v>
      </c>
      <c r="CY72" s="104" t="str">
        <f>IFERROR(VLOOKUP($B72,'LOD 300 - COLO2'!$B:S,18,FALSE),"N/A")</f>
        <v>N/A</v>
      </c>
      <c r="CZ72" s="117" t="str">
        <f>IFERROR(VLOOKUP($B72,'LOD 300 - COLO2'!$B:V,21,FALSE),"N/A")</f>
        <v>N/A</v>
      </c>
      <c r="DA72" s="117" t="str">
        <f>IFERROR(VLOOKUP($B72,'LOD 300 - COLO2'!$B:Y,24,FALSE),"N/A")</f>
        <v>N/A</v>
      </c>
      <c r="DB72" s="117" t="str">
        <f>IFERROR(VLOOKUP($B72,'LOD 300 - COLO2'!$B:AB,27,FALSE),"N/A")</f>
        <v>N/A</v>
      </c>
      <c r="DC72" s="92" t="str">
        <f>IFERROR(VLOOKUP($B72,'LOD 300 - COLO2'!$B:AE,30,FALSE),"N/A")</f>
        <v>N/A</v>
      </c>
      <c r="DD72" s="120" t="str">
        <f>IFERROR(VLOOKUP($B72,'LOD 300 - COLO2'!$B:AH,33,FALSE),"N/A")</f>
        <v>N/A</v>
      </c>
      <c r="DE72" s="117" t="str">
        <f>IFERROR(VLOOKUP($B72,'LOD 300 - COLO2'!$B:AK,36,FALSE),"N/A")</f>
        <v>N/A</v>
      </c>
      <c r="DF72" s="117" t="str">
        <f>IFERROR(VLOOKUP($B72,'LOD 300 - COLO2'!$B:AN,39,FALSE),"N/A")</f>
        <v>N/A</v>
      </c>
      <c r="DG72" s="119" t="str">
        <f>IFERROR(VLOOKUP($B72,'LOD 300 - COLO2'!$B:AQ,42,FALSE),"N/A")</f>
        <v>N/A</v>
      </c>
      <c r="DH72" s="87" t="str">
        <f>IFERROR(VLOOKUP($B72,'LOD 300 - COLO2'!$B:AT,45,FALSE),"N/A")</f>
        <v>N/A</v>
      </c>
      <c r="DI72" s="94" t="str">
        <f>IFERROR(VLOOKUP($B72,'LOD 300 - COLO2'!$B:AW,48,FALSE),"N/A")</f>
        <v>N/A</v>
      </c>
      <c r="DJ72" s="95" t="str">
        <f>IFERROR(VLOOKUP($B72,'LOD 300 - COLO2'!$B:AZ,51,FALSE),"N/A")</f>
        <v>N/A</v>
      </c>
      <c r="DK72" s="86" t="str">
        <f>IFERROR(VLOOKUP($B72,'LOD 300 - COLO2'!$B:BC,54,FALSE),"N/A")</f>
        <v>N/A</v>
      </c>
      <c r="DL72" s="86" t="str">
        <f>IFERROR(VLOOKUP($B72,'LOD 300 - COLO2'!$B:BF,57,FALSE),"N/A")</f>
        <v>N/A</v>
      </c>
      <c r="DM72" s="86" t="str">
        <f>IFERROR(VLOOKUP($B72,'LOD 300 - COLO2'!$B:BI,60,FALSE),"N/A")</f>
        <v>N/A</v>
      </c>
      <c r="DN72" s="86" t="str">
        <f>IFERROR(VLOOKUP($B72,'LOD 300 - COLO2'!$B:BL,63,FALSE),"N/A")</f>
        <v>N/A</v>
      </c>
      <c r="DO72" s="86" t="str">
        <f>IFERROR(VLOOKUP($B72,'LOD 300 - COLO2'!$B:BO,66,FALSE),"N/A")</f>
        <v>N/A</v>
      </c>
      <c r="DP72" s="87" t="str">
        <f>IFERROR(VLOOKUP($B72,'LOD 300 - COLO2'!$B:BR,69,FALSE),"N/A")</f>
        <v>N/A</v>
      </c>
      <c r="DQ72" s="87" t="str">
        <f>IFERROR(VLOOKUP($B72,'LOD 300 - COLO2'!$B:BU,72,FALSE),"N/A")</f>
        <v>N/A</v>
      </c>
      <c r="DR72" s="87" t="str">
        <f>IFERROR(VLOOKUP($B72,'LOD 300 - COLO2'!$B:BX,75,FALSE),"N/A")</f>
        <v>N/A</v>
      </c>
      <c r="DS72" s="98" t="str">
        <f>IFERROR(VLOOKUP($B72,'LOD 300 - COLO2'!$B:CA,78,FALSE),"N/A")</f>
        <v>N/A</v>
      </c>
      <c r="DT72" s="98" t="str">
        <f>IFERROR(VLOOKUP($B72,'LOD 300 - COLO2'!$B:CD,81,FALSE),"N/A")</f>
        <v>N/A</v>
      </c>
      <c r="DU72" s="98" t="str">
        <f>IFERROR(VLOOKUP($B72,'LOD 300 - COLO2'!$B:CG,84,FALSE),"N/A")</f>
        <v>N/A</v>
      </c>
      <c r="DV72" s="98" t="str">
        <f>IFERROR(VLOOKUP($B72,'LOD 300 - COLO2'!$B:CJ,87,FALSE),"N/A")</f>
        <v>N/A</v>
      </c>
      <c r="DW72" s="98" t="str">
        <f>IFERROR(VLOOKUP($B72,'LOD 300 - COLO2'!$B:CM,90,FALSE),"N/A")</f>
        <v>N/A</v>
      </c>
      <c r="DX72" s="98" t="str">
        <f>IFERROR(VLOOKUP($B72,'LOD 300 - COLO2'!$B:CP,93,FALSE),"N/A")</f>
        <v>N/A</v>
      </c>
      <c r="DY72" s="87" t="str">
        <f>IFERROR(VLOOKUP($B72,'LOD 300 - COLO2'!$B:CS,96,FALSE),"N/A")</f>
        <v>N/A</v>
      </c>
      <c r="DZ72" s="87" t="str">
        <f>IFERROR(VLOOKUP($B72,'LOD 300 - COLO2'!$B:CV,99,FALSE),"N/A")</f>
        <v>N/A</v>
      </c>
      <c r="EA72" s="87" t="str">
        <f>IFERROR(VLOOKUP($B72,'LOD 300 - COLO2'!$B:DB,105,FALSE),"N/A")</f>
        <v>N/A</v>
      </c>
      <c r="EB72" s="87" t="str">
        <f>IFERROR(VLOOKUP($B72,'LOD 300 - COLO2'!$B:DB,105,FALSE),"N/A")</f>
        <v>N/A</v>
      </c>
      <c r="EC72" s="87" t="str">
        <f>IFERROR(VLOOKUP($B72,'LOD 300 - COLO2'!$B:DE,108,FALSE),"N/A")</f>
        <v>N/A</v>
      </c>
      <c r="ED72" s="87" t="str">
        <f>IFERROR(VLOOKUP($B72,'LOD 300 - COLO2'!$B:DH,111,FALSE),"N/A")</f>
        <v>N/A</v>
      </c>
      <c r="EE72" s="87" t="str">
        <f>IFERROR(VLOOKUP($B72,'LOD 300 - COLO2'!$B:DK,114,FALSE),"N/A")</f>
        <v>N/A</v>
      </c>
      <c r="EF72" s="87" t="str">
        <f>IFERROR(VLOOKUP($B72,'LOD 300 - COLO2'!$B:DN,117,FALSE),"N/A")</f>
        <v>N/A</v>
      </c>
      <c r="EG72" s="87" t="str">
        <f>IFERROR(VLOOKUP($B72,'LOD 300 - COLO2'!$B:DQ,120,FALSE),"N/A")</f>
        <v>N/A</v>
      </c>
      <c r="EH72" s="99" t="str">
        <f>IFERROR(__xludf.DUMMYFUNCTION("IFERROR(
  MAX(FILTER(CZ72:EG72, ISNUMBER(CZ72:EG72))),
  EG72
)"),"N/A")</f>
        <v>N/A</v>
      </c>
      <c r="EI72" s="100" t="str">
        <f>IFERROR(VLOOKUP($B72,'LOD 300 - COLO3'!$B:R,17,FALSE),"N/A")</f>
        <v>N/A</v>
      </c>
      <c r="EJ72" s="127" t="str">
        <f>IFERROR(VLOOKUP($B72,'LOD 300 - COLO3'!$B:U,20,FALSE),"N/A")</f>
        <v>N/A</v>
      </c>
      <c r="EK72" s="127" t="str">
        <f>IFERROR(VLOOKUP($B72,'LOD 300 - COLO3'!$B:X,23,FALSE),"N/A")</f>
        <v>N/A</v>
      </c>
      <c r="EL72" s="127" t="str">
        <f>IFERROR(VLOOKUP($B72,'LOD 300 - COLO3'!$B:AA,26,FALSE),"N/A")</f>
        <v>N/A</v>
      </c>
      <c r="EM72" s="127" t="str">
        <f>IFERROR(VLOOKUP($B72,'LOD 300 - COLO3'!$B:AD,29,FALSE),"N/A")</f>
        <v>N/A</v>
      </c>
      <c r="EN72" s="127" t="str">
        <f>IFERROR(VLOOKUP($B72,'LOD 300 - COLO3'!$B:AG,32,FALSE),"N/A")</f>
        <v>N/A</v>
      </c>
      <c r="EO72" s="127" t="str">
        <f>IFERROR(VLOOKUP($B72,'LOD 300 - COLO3'!$B:AJ,35,FALSE),"N/A")</f>
        <v>N/A</v>
      </c>
      <c r="EP72" s="100" t="str">
        <f>IFERROR(VLOOKUP($B72,'LOD 300 - COLO3'!$B:AM,38,FALSE),"N/A")</f>
        <v>N/A</v>
      </c>
      <c r="EQ72" s="100" t="str">
        <f>IFERROR(VLOOKUP($B72,'LOD 300 - COLO3'!$B:AP,41,FALSE),"N/A")</f>
        <v>N/A</v>
      </c>
      <c r="ER72" s="100" t="str">
        <f>IFERROR(VLOOKUP($B72,'LOD 300 - COLO3'!$B:AS,44,FALSE),"N/A")</f>
        <v>N/A</v>
      </c>
      <c r="ES72" s="100" t="str">
        <f>IFERROR(VLOOKUP($B72,'LOD 300 - COLO3'!$B:AV,47,FALSE),"N/A")</f>
        <v>N/A</v>
      </c>
      <c r="ET72" s="100" t="str">
        <f>IFERROR(VLOOKUP($B72,'LOD 300 - COLO3'!$B:AY,50,FALSE),"N/A")</f>
        <v>N/A</v>
      </c>
      <c r="EU72" s="100" t="str">
        <f>IFERROR(VLOOKUP($B72,'LOD 300 - COLO3'!$B:BB,53,FALSE),"N/A")</f>
        <v>N/A</v>
      </c>
      <c r="EV72" s="100" t="str">
        <f>IFERROR(VLOOKUP($B72,'LOD 300 - COLO3'!$B:BE,56,FALSE),"N/A")</f>
        <v>N/A</v>
      </c>
      <c r="EW72" s="100" t="str">
        <f>IFERROR(VLOOKUP($B72,'LOD 300 - COLO3'!$B:BL,59,FALSE),"N/A")</f>
        <v>N/A</v>
      </c>
      <c r="EX72" s="100" t="str">
        <f>IFERROR(VLOOKUP($B72,'LOD 300 - COLO3'!$B:BO,62,FALSE),"N/A")</f>
        <v>N/A</v>
      </c>
      <c r="EY72" s="103" t="str">
        <f>IFERROR(__xludf.DUMMYFUNCTION("IFERROR(
  MAX(FILTER(EI72:EX72, ISNUMBER(EI72:EX72))),
  EX72
)"),"N/A")</f>
        <v>N/A</v>
      </c>
      <c r="EZ72" s="104" t="str">
        <f>IFERROR(VLOOKUP($B72,'LOD 300 - COLO4'!$B:BT,17,FALSE),"N/A")</f>
        <v>N/A</v>
      </c>
      <c r="FA72" s="103" t="str">
        <f>IFERROR(__xludf.DUMMYFUNCTION("IFERROR(
  MAX(FILTER(EZ72, ISNUMBER(EZ72))),
  EZ72
)"),"N/A")</f>
        <v>N/A</v>
      </c>
      <c r="FB72" s="121">
        <f>IFERROR(VLOOKUP($B72,'LOD 300 - SITE'!$B:S,18,FALSE),"N/A")</f>
        <v>0.5</v>
      </c>
      <c r="FC72" s="122">
        <f>IFERROR(VLOOKUP($B72,'LOD 300 - SITE'!$B:V,21,FALSE),"N/A")</f>
        <v>1</v>
      </c>
      <c r="FD72" s="122">
        <f>IFERROR(VLOOKUP($B72,'LOD 300 - SITE'!$B:Y,24,FALSE),"N/A")</f>
        <v>1</v>
      </c>
      <c r="FE72" s="122">
        <f>IFERROR(VLOOKUP($B72,'LOD 300 - SITE'!$B:AB,27,FALSE),"N/A")</f>
        <v>1</v>
      </c>
      <c r="FF72" s="122">
        <f>IFERROR(VLOOKUP($B72,'LOD 300 - SITE'!$B:AE,30,FALSE),"N/A")</f>
        <v>1</v>
      </c>
      <c r="FG72" s="122">
        <f>IFERROR(VLOOKUP($B72,'LOD 300 - SITE'!$B:AH,33,FALSE),"N/A")</f>
        <v>1</v>
      </c>
      <c r="FH72" s="122">
        <f>IFERROR(VLOOKUP($B72,'LOD 300 - SITE'!$B:AK,36,FALSE),"N/A")</f>
        <v>1</v>
      </c>
      <c r="FI72" s="122">
        <f>IFERROR(VLOOKUP($B72,'LOD 300 - SITE'!$B:AN,39,FALSE),"N/A")</f>
        <v>1</v>
      </c>
      <c r="FJ72" s="122">
        <f>IFERROR(VLOOKUP($B72,'LOD 300 - SITE'!$B:AQ,42,FALSE),"N/A")</f>
        <v>1</v>
      </c>
      <c r="FK72" s="122">
        <f>IFERROR(VLOOKUP($B72,'LOD 300 - SITE'!$B:AT,45,FALSE),"N/A")</f>
        <v>1</v>
      </c>
      <c r="FL72" s="123">
        <f>IFERROR(VLOOKUP($B72,'LOD 300 - SITE'!$B:AW,48,FALSE),"N/A")</f>
        <v>1</v>
      </c>
      <c r="FM72" s="87">
        <f>IFERROR(VLOOKUP($B72,'LOD 300 - SITE'!$B:AZ,51,FALSE),"N/A")</f>
        <v>1</v>
      </c>
      <c r="FN72" s="94">
        <f>IFERROR(VLOOKUP($B72,'LOD 300 - SITE'!$B:BC,54,FALSE),"N/A")</f>
        <v>1</v>
      </c>
      <c r="FO72" s="95">
        <f>IFERROR(VLOOKUP($B72,'LOD 300 - SITE'!$B:BF,57,FALSE),"N/A")</f>
        <v>1</v>
      </c>
      <c r="FP72" s="86">
        <f>IFERROR(VLOOKUP($B72,'LOD 300 - SITE'!$B:BI,60,FALSE),"N/A")</f>
        <v>1</v>
      </c>
      <c r="FQ72" s="86">
        <f>IFERROR(VLOOKUP($B72,'LOD 300 - SITE'!$B:BL,63,FALSE),"N/A")</f>
        <v>1</v>
      </c>
      <c r="FR72" s="86">
        <f>IFERROR(VLOOKUP($B72,'LOD 300 - SITE'!$B:BO,66,FALSE),"N/A")</f>
        <v>1</v>
      </c>
      <c r="FS72" s="86">
        <f>IFERROR(VLOOKUP($B72,'LOD 300 - SITE'!$B:BR,69,FALSE),"N/A")</f>
        <v>1</v>
      </c>
      <c r="FT72" s="86">
        <f>IFERROR(VLOOKUP($B72,'LOD 300 - SITE'!$B:BU,72,FALSE),"N/A")</f>
        <v>1</v>
      </c>
      <c r="FU72" s="86">
        <f>IFERROR(VLOOKUP($B72,'LOD 300 - SITE'!$B:BX,75,FALSE),"N/A")</f>
        <v>1</v>
      </c>
      <c r="FV72" s="86">
        <f>IFERROR(VLOOKUP($B72,'LOD 300 - SITE'!$B:CA,78,FALSE),"N/A")</f>
        <v>1</v>
      </c>
      <c r="FW72" s="87">
        <f>IFERROR(VLOOKUP($B72,'LOD 300 - SITE'!$B:CD,81,FALSE),"N/A")</f>
        <v>1</v>
      </c>
      <c r="FX72" s="108">
        <f>IFERROR(VLOOKUP($B72,'LOD 300 - SITE'!$B:CG,84,FALSE),"N/A")</f>
        <v>1</v>
      </c>
      <c r="FY72" s="108">
        <f>IFERROR(VLOOKUP($B72,'LOD 300 - SITE'!$B:CJ,87,FALSE),"N/A")</f>
        <v>1</v>
      </c>
      <c r="FZ72" s="108">
        <f>IFERROR(VLOOKUP($B72,'LOD 300 - SITE'!$B:CM,90,FALSE),"N/A")</f>
        <v>1</v>
      </c>
      <c r="GA72" s="108">
        <f>IFERROR(VLOOKUP($B72,'LOD 300 - SITE'!$B:CP,93,FALSE),"N/A")</f>
        <v>1</v>
      </c>
      <c r="GB72" s="108">
        <f>IFERROR(VLOOKUP($B72,'LOD 300 - SITE'!$B:CS,96,FALSE),"N/A")</f>
        <v>1</v>
      </c>
      <c r="GC72" s="109">
        <f>IFERROR(VLOOKUP($B72,'LOD 300 - SITE'!$B:CV,99,FALSE),"N/A")</f>
        <v>1</v>
      </c>
      <c r="GD72" s="87">
        <f>IFERROR(VLOOKUP($B72,'LOD 300 - SITE'!$B:CY,102,FALSE),"N/A")</f>
        <v>1</v>
      </c>
      <c r="GE72" s="87">
        <f>IFERROR(VLOOKUP($B72,'LOD 300 - SITE'!$B:DB,105,FALSE),"N/A")</f>
        <v>1</v>
      </c>
      <c r="GF72" s="87">
        <f>IFERROR(VLOOKUP($B72,'LOD 300 - SITE'!$B:DE,108,FALSE),"N/A")</f>
        <v>1</v>
      </c>
      <c r="GG72" s="87">
        <f>IFERROR(VLOOKUP($B72,'LOD 300 - SITE'!$B:DH,111,FALSE),"N/A")</f>
        <v>1</v>
      </c>
      <c r="GH72" s="87">
        <f>IFERROR(VLOOKUP($B72,'LOD 300 - SITE'!$B:DK,114,FALSE),"N/A")</f>
        <v>1</v>
      </c>
      <c r="GI72" s="87">
        <f>IFERROR(VLOOKUP($B72,'LOD 300 - SITE'!$B:DN,117,FALSE),"N/A")</f>
        <v>1</v>
      </c>
      <c r="GJ72" s="87">
        <f>IFERROR(VLOOKUP($B72,'LOD 300 - SITE'!$B:DQ,120,FALSE),"N/A")</f>
        <v>1</v>
      </c>
      <c r="GK72" s="87">
        <f>IFERROR(VLOOKUP($B72,'LOD 300 - SITE'!$B:DT,123,FALSE),"N/A")</f>
        <v>1</v>
      </c>
      <c r="GL72" s="87">
        <f>IFERROR(VLOOKUP($B72,'LOD 300 - SITE'!$B:DW,126,FALSE),"N/A")</f>
        <v>1</v>
      </c>
      <c r="GM72" s="110">
        <f>IFERROR(__xludf.DUMMYFUNCTION("IFERROR(
  MAX(FILTER(FB72:GL72, ISNUMBER(FB72:GL72))),
  GL72
)"),1.0)</f>
        <v>1</v>
      </c>
      <c r="GN72" s="135"/>
      <c r="GO72" s="135"/>
      <c r="GP72" s="135"/>
    </row>
    <row r="73" ht="15.0" hidden="1" customHeight="1">
      <c r="A73" s="60">
        <v>76.0</v>
      </c>
      <c r="B73" s="373" t="s">
        <v>247</v>
      </c>
      <c r="C73" s="374"/>
      <c r="D73" s="375"/>
      <c r="E73" s="375"/>
      <c r="F73" s="13"/>
      <c r="G73" s="375"/>
      <c r="H73" s="376"/>
      <c r="I73" s="377"/>
      <c r="J73" s="377"/>
      <c r="K73" s="375"/>
      <c r="L73" s="375"/>
      <c r="M73" s="378"/>
      <c r="N73" s="378"/>
      <c r="O73" s="378"/>
      <c r="P73" s="379"/>
      <c r="Q73" s="378"/>
      <c r="R73" s="378"/>
      <c r="S73" s="79" t="str">
        <f>IF(OR($D73="C345",$D73="C12A",$D73="DATA"),
   VLOOKUP($B73,'LOD 300 - COLO4'!B:S,14,FALSE),"N/A")</f>
        <v>N/A</v>
      </c>
      <c r="T73" s="76" t="str">
        <f>IF(OR($D73="C345",$D73="C12A",$D73="DATA"),
   VLOOKUP($B73,'LOD 300 - COLO3'!B:T,13,FALSE),"N/A")</f>
        <v>N/A</v>
      </c>
      <c r="U73" s="378"/>
      <c r="V73" s="375"/>
      <c r="W73" s="380"/>
      <c r="X73" s="381"/>
      <c r="Y73" s="381"/>
      <c r="Z73" s="381"/>
      <c r="AA73" s="381"/>
      <c r="AB73" s="381"/>
      <c r="AC73" s="381"/>
      <c r="AD73" s="381"/>
      <c r="AE73" s="381"/>
      <c r="AF73" s="381"/>
      <c r="AG73" s="381"/>
      <c r="AH73" s="381"/>
      <c r="AI73" s="381"/>
      <c r="AJ73" s="382"/>
      <c r="AK73" s="382"/>
      <c r="AL73" s="383"/>
      <c r="AM73" s="382"/>
      <c r="AN73" s="382"/>
      <c r="AO73" s="382"/>
      <c r="AP73" s="382"/>
      <c r="AQ73" s="382"/>
      <c r="AR73" s="382"/>
      <c r="AS73" s="382"/>
      <c r="AT73" s="382"/>
      <c r="AU73" s="382"/>
      <c r="AV73" s="383"/>
      <c r="AW73" s="383"/>
      <c r="AX73" s="383"/>
      <c r="AY73" s="383"/>
      <c r="AZ73" s="383"/>
      <c r="BA73" s="382"/>
      <c r="BB73" s="383"/>
      <c r="BC73" s="384"/>
      <c r="BD73" s="384"/>
      <c r="BE73" s="384"/>
      <c r="BF73" s="384"/>
      <c r="BG73" s="384"/>
      <c r="BH73" s="384"/>
      <c r="BI73" s="384"/>
      <c r="BJ73" s="385"/>
      <c r="BK73" s="386"/>
      <c r="BL73" s="386"/>
      <c r="BM73" s="386"/>
      <c r="BN73" s="386"/>
      <c r="BO73" s="386"/>
      <c r="BP73" s="386"/>
      <c r="BQ73" s="386"/>
      <c r="BR73" s="386"/>
      <c r="BS73" s="386"/>
      <c r="BT73" s="386"/>
      <c r="BU73" s="386"/>
      <c r="BV73" s="386"/>
      <c r="BW73" s="386"/>
      <c r="BX73" s="387"/>
      <c r="BY73" s="387"/>
      <c r="BZ73" s="388"/>
      <c r="CA73" s="389"/>
      <c r="CB73" s="389"/>
      <c r="CC73" s="389"/>
      <c r="CD73" s="389"/>
      <c r="CE73" s="389"/>
      <c r="CF73" s="382"/>
      <c r="CG73" s="388"/>
      <c r="CH73" s="382"/>
      <c r="CI73" s="382"/>
      <c r="CJ73" s="388"/>
      <c r="CK73" s="388"/>
      <c r="CL73" s="388"/>
      <c r="CM73" s="388"/>
      <c r="CN73" s="388"/>
      <c r="CO73" s="382"/>
      <c r="CP73" s="390"/>
      <c r="CQ73" s="388"/>
      <c r="CR73" s="388"/>
      <c r="CS73" s="388"/>
      <c r="CT73" s="388"/>
      <c r="CU73" s="388"/>
      <c r="CV73" s="388"/>
      <c r="CW73" s="388"/>
      <c r="CX73" s="385"/>
      <c r="CY73" s="391"/>
      <c r="CZ73" s="392"/>
      <c r="DA73" s="392"/>
      <c r="DB73" s="392"/>
      <c r="DC73" s="393"/>
      <c r="DD73" s="394"/>
      <c r="DE73" s="391"/>
      <c r="DF73" s="391"/>
      <c r="DG73" s="395"/>
      <c r="DH73" s="382"/>
      <c r="DI73" s="387"/>
      <c r="DJ73" s="388"/>
      <c r="DK73" s="389"/>
      <c r="DL73" s="389"/>
      <c r="DM73" s="389"/>
      <c r="DN73" s="389"/>
      <c r="DO73" s="389"/>
      <c r="DP73" s="382"/>
      <c r="DQ73" s="382"/>
      <c r="DR73" s="382"/>
      <c r="DS73" s="396"/>
      <c r="DT73" s="397"/>
      <c r="DU73" s="397"/>
      <c r="DV73" s="397"/>
      <c r="DW73" s="397"/>
      <c r="DX73" s="397"/>
      <c r="DY73" s="382"/>
      <c r="DZ73" s="383"/>
      <c r="EA73" s="384"/>
      <c r="EB73" s="384"/>
      <c r="EC73" s="384"/>
      <c r="ED73" s="384"/>
      <c r="EE73" s="384"/>
      <c r="EF73" s="384"/>
      <c r="EG73" s="384"/>
      <c r="EH73" s="384"/>
      <c r="EI73" s="382"/>
      <c r="EJ73" s="382"/>
      <c r="EK73" s="382"/>
      <c r="EL73" s="382"/>
      <c r="EM73" s="382"/>
      <c r="EN73" s="382"/>
      <c r="EO73" s="382"/>
      <c r="EP73" s="382"/>
      <c r="EQ73" s="382"/>
      <c r="ER73" s="389"/>
      <c r="ES73" s="389"/>
      <c r="ET73" s="389"/>
      <c r="EU73" s="389"/>
      <c r="EV73" s="389"/>
      <c r="EW73" s="389"/>
      <c r="EX73" s="389"/>
      <c r="EY73" s="389"/>
      <c r="EZ73" s="398"/>
      <c r="FA73" s="398"/>
      <c r="FB73" s="381"/>
      <c r="FC73" s="381"/>
      <c r="FD73" s="381"/>
      <c r="FE73" s="381"/>
      <c r="FF73" s="381"/>
      <c r="FG73" s="381"/>
      <c r="FH73" s="381"/>
      <c r="FI73" s="381"/>
      <c r="FJ73" s="381"/>
      <c r="FK73" s="381"/>
      <c r="FL73" s="399"/>
      <c r="FM73" s="382"/>
      <c r="FN73" s="387"/>
      <c r="FO73" s="388"/>
      <c r="FP73" s="389"/>
      <c r="FQ73" s="389"/>
      <c r="FR73" s="389"/>
      <c r="FS73" s="389"/>
      <c r="FT73" s="389"/>
      <c r="FU73" s="389"/>
      <c r="FV73" s="389"/>
      <c r="FW73" s="382"/>
      <c r="FX73" s="387"/>
      <c r="FY73" s="388"/>
      <c r="FZ73" s="388"/>
      <c r="GA73" s="388"/>
      <c r="GB73" s="388"/>
      <c r="GC73" s="388"/>
      <c r="GD73" s="382"/>
      <c r="GE73" s="390"/>
      <c r="GF73" s="388"/>
      <c r="GG73" s="388"/>
      <c r="GH73" s="388"/>
      <c r="GI73" s="388"/>
      <c r="GJ73" s="388"/>
      <c r="GK73" s="388"/>
      <c r="GL73" s="388"/>
      <c r="GM73" s="400"/>
      <c r="GN73" s="186"/>
      <c r="GO73" s="186"/>
      <c r="GP73" s="186"/>
    </row>
    <row r="74" ht="15.0" customHeight="1" outlineLevel="1">
      <c r="A74" s="60">
        <v>77.0</v>
      </c>
      <c r="B74" s="140" t="s">
        <v>248</v>
      </c>
      <c r="C74" s="70" t="s">
        <v>249</v>
      </c>
      <c r="D74" s="71" t="s">
        <v>90</v>
      </c>
      <c r="E74" s="146" t="s">
        <v>169</v>
      </c>
      <c r="F74" s="13">
        <v>1112.0</v>
      </c>
      <c r="G74" s="139" t="s">
        <v>170</v>
      </c>
      <c r="H74" s="139">
        <v>1129.0</v>
      </c>
      <c r="I74" s="74" t="str">
        <f>IFERROR(VLOOKUP(C71:C213,'R22 RELATÓRIO ACC'!B:F,5,FALSE),"NOT PUBLISHED")</f>
        <v>V27</v>
      </c>
      <c r="J74" s="74" t="str">
        <f>IFERROR(VLOOKUP(C71:C213,'R22 RELATÓRIO ACC'!B:P,15,FALSE),"NOT PUBLISHED")</f>
        <v>08/04/2026</v>
      </c>
      <c r="K74" s="141" t="str">
        <f>IFERROR(VLOOKUP(B71:B261,'RELATÓRIO ACC'!B:F,5,FALSE),"NOT PUBLISHED")</f>
        <v>V2</v>
      </c>
      <c r="L74" s="142" t="str">
        <f>IFERROR(VLOOKUP(B71:B261,'RELATÓRIO ACC'!B:P,15,FALSE),"NOT PUBLISHED")</f>
        <v>23/06/2026</v>
      </c>
      <c r="M74" s="76" t="str">
        <f>IF(OR($D74="UTLS",$D74="GUAR",$D74="STIR",$D74="PUMP",$D74="SITE"),
   VLOOKUP($B74,'LOD 300 - SITE'!B:M,12,FALSE),
   VLOOKUP($B74,'LOD 300 - ADMN'!B:M,12,FALSE)
)</f>
        <v>V14</v>
      </c>
      <c r="N74" s="80">
        <f>IF(OR($D74="UTLS",$D74="GUAR",$D74="STIR",$D74="PUMP",$D74="SITE"),
   VLOOKUP($B74,'LOD 300 - SITE'!B:N,13,FALSE),
   VLOOKUP($B74,'LOD 300 - ADMN'!B:N,13,FALSE)
)</f>
        <v>45889</v>
      </c>
      <c r="O74" s="143" t="str">
        <f>IF(OR($D74="UTLS",$D74="GUAR",$D74="STIR",$D74="PUMP",$D74="SITE"),
   VLOOKUP($B74,'LOD 300 - SITE'!B:O,14,FALSE),
   VLOOKUP($B74,'LOD 300 - ADMN'!B:O,14,FALSE)
)</f>
        <v>R22</v>
      </c>
      <c r="P74" s="79" t="str">
        <f>IF(OR($D74="C345",$D74="C12A",$D74="DATA"),
   VLOOKUP($B74,'LOD 300 - COLO3'!B:M,12,FALSE),"N/A")</f>
        <v>N/A</v>
      </c>
      <c r="Q74" s="76" t="str">
        <f>IF(OR($D74="C345",$D74="C12A",$D74="DATA"),
   VLOOKUP($B74,'LOD 300 - COLO3'!B:N,13,FALSE),"N/A")</f>
        <v>N/A</v>
      </c>
      <c r="R74" s="76" t="str">
        <f>IF(OR($D74="C345",$D74="C12A",$D74="DATA"),
   VLOOKUP($B74,'LOD 300 - COLO3'!B:O,14,FALSE),"N/A")</f>
        <v>N/A</v>
      </c>
      <c r="S74" s="79" t="str">
        <f>IF(OR($D74="C345",$D74="C12A",$D74="DATA"),
   VLOOKUP($B74,'LOD 300 - COLO4'!B:M,12,FALSE),"N/A")</f>
        <v>N/A</v>
      </c>
      <c r="T74" s="76" t="str">
        <f>IF(OR($D74="C345",$D74="C12A",$D74="DATA"),
   VLOOKUP($B74,'LOD 300 - COLO4'!B:T,13,FALSE),"N/A")</f>
        <v>N/A</v>
      </c>
      <c r="U74" s="76" t="str">
        <f>IF(OR($D74="C345",$D74="C12A",$D74="DATA"),
   VLOOKUP($B74,'LOD 300 - COLO4'!B:U,17,FALSE),"N/A")</f>
        <v>N/A</v>
      </c>
      <c r="V74" s="126" t="s">
        <v>129</v>
      </c>
      <c r="W74" s="144" t="str">
        <f>IFERROR(VLOOKUP($B74,'LOD 300 - ADMN'!$B:S,18,FALSE),"N/A")</f>
        <v>N/A</v>
      </c>
      <c r="X74" s="122" t="str">
        <f>IFERROR(VLOOKUP($B74,'LOD 300 - ADMN'!$B:V,21,FALSE),"N/A")</f>
        <v>N/A</v>
      </c>
      <c r="Y74" s="122" t="str">
        <f>IFERROR(VLOOKUP($B74,'LOD 300 - ADMN'!$B:Y,24,FALSE),"N/A")</f>
        <v>N/A</v>
      </c>
      <c r="Z74" s="122" t="str">
        <f>IFERROR(VLOOKUP($B74,'LOD 300 - ADMN'!$B:AB,27,FALSE),"N/A")</f>
        <v>N/A</v>
      </c>
      <c r="AA74" s="122" t="str">
        <f>IFERROR(VLOOKUP($B74,'LOD 300 - ADMN'!$B:AE,30,FALSE),"N/A")</f>
        <v>N/A</v>
      </c>
      <c r="AB74" s="145" t="str">
        <f>IFERROR(VLOOKUP($B74,'LOD 300 - ADMN'!$B:AH,33,FALSE),"N/A")</f>
        <v>N/A</v>
      </c>
      <c r="AC74" s="145" t="str">
        <f>IFERROR(VLOOKUP($B74,'LOD 300 - ADMN'!$B:AK,36,FALSE),"N/A")</f>
        <v>N/A</v>
      </c>
      <c r="AD74" s="122" t="str">
        <f>IFERROR(VLOOKUP($B74,'LOD 300 - ADMN'!$B:AN,39,FALSE),"N/A")</f>
        <v>N/A</v>
      </c>
      <c r="AE74" s="122" t="str">
        <f>IFERROR(VLOOKUP($B74,'LOD 300 - ADMN'!$B:AQ,42,FALSE),"N/A")</f>
        <v>N/A</v>
      </c>
      <c r="AF74" s="122" t="str">
        <f>IFERROR(VLOOKUP($B74,'LOD 300 - ADMN'!$B:AT,45,FALSE),"N/A")</f>
        <v>N/A</v>
      </c>
      <c r="AG74" s="122" t="str">
        <f>IFERROR(VLOOKUP($B74,'LOD 300 - ADMN'!$B:AW,48,FALSE),"N/A")</f>
        <v>N/A</v>
      </c>
      <c r="AH74" s="122" t="str">
        <f>IFERROR(VLOOKUP($B74,'LOD 300 - ADMN'!$B:AZ,51,FALSE),"N/A")</f>
        <v>N/A</v>
      </c>
      <c r="AI74" s="122" t="str">
        <f>IFERROR(VLOOKUP($B74,'LOD 300 - ADMN'!$B:BC,54,FALSE),"N/A")</f>
        <v>N/A</v>
      </c>
      <c r="AJ74" s="87" t="str">
        <f>IFERROR(VLOOKUP($B74,'LOD 300 - ADMN'!$B:BF,57,FALSE),"N/A")</f>
        <v>N/A</v>
      </c>
      <c r="AK74" s="87" t="str">
        <f>IFERROR(VLOOKUP($B74,'LOD 300 - ADMN'!$B:EP,60,FALSE),"N/A")</f>
        <v>N/A</v>
      </c>
      <c r="AL74" s="87" t="str">
        <f>IFERROR(VLOOKUP($B74,'LOD 300 - ADMN'!$B:EQ,63,FALSE),"N/A")</f>
        <v>N/A</v>
      </c>
      <c r="AM74" s="87" t="str">
        <f>IFERROR(VLOOKUP($B74,'LOD 300 - ADMN'!$B:BO,66,FALSE),"N/A")</f>
        <v>N/A</v>
      </c>
      <c r="AN74" s="87" t="str">
        <f>IFERROR(VLOOKUP($B74,'LOD 300 - ADMN'!$B:BR,69,FALSE),"N/A")</f>
        <v>N/A</v>
      </c>
      <c r="AO74" s="87" t="str">
        <f>IFERROR(VLOOKUP($B74,'LOD 300 - ADMN'!$B:BU,72,FALSE),"N/A")</f>
        <v>N/A</v>
      </c>
      <c r="AP74" s="87" t="str">
        <f>IFERROR(VLOOKUP($B74,'LOD 300 - ADMN'!$B:BX,75,FALSE),"N/A")</f>
        <v>N/A</v>
      </c>
      <c r="AQ74" s="87" t="str">
        <f>IFERROR(VLOOKUP($B74,'LOD 300 - ADMN'!$B:CA,78,FALSE),"N/A")</f>
        <v>N/A</v>
      </c>
      <c r="AR74" s="87" t="str">
        <f>IFERROR(VLOOKUP($B74,'LOD 300 - ADMN'!$B:CD,81,FALSE),"N/A")</f>
        <v>N/A</v>
      </c>
      <c r="AS74" s="87" t="str">
        <f>IFERROR(VLOOKUP($B74,'LOD 300 - ADMN'!$B:CG,84,FALSE),"N/A")</f>
        <v>N/A</v>
      </c>
      <c r="AT74" s="87" t="str">
        <f>IFERROR(VLOOKUP($B74,'LOD 300 - ADMN'!$B:CJ,87,FALSE),"N/A")</f>
        <v>N/A</v>
      </c>
      <c r="AU74" s="88" t="str">
        <f>IFERROR(VLOOKUP($B74,'LOD 300 - ADMN'!$B:CM,90,FALSE),"N/A")</f>
        <v>N/A</v>
      </c>
      <c r="AV74" s="88" t="str">
        <f>IFERROR(VLOOKUP($B74,'LOD 300 - ADMN'!$B:CP,93,FALSE),"N/A")</f>
        <v>N/A</v>
      </c>
      <c r="AW74" s="88" t="str">
        <f>IFERROR(VLOOKUP($B74,'LOD 300 - ADMN'!$B:CS,96,FALSE),"N/A")</f>
        <v>N/A</v>
      </c>
      <c r="AX74" s="88" t="str">
        <f>IFERROR(VLOOKUP($B74,'LOD 300 - ADMN'!$B:CV,99,FALSE),"N/A")</f>
        <v>N/A</v>
      </c>
      <c r="AY74" s="88" t="str">
        <f>IFERROR(VLOOKUP($B74,'LOD 300 - ADMN'!$B:CY,102,FALSE),"N/A")</f>
        <v>N/A</v>
      </c>
      <c r="AZ74" s="88" t="str">
        <f>IFERROR(VLOOKUP($B74,'LOD 300 - ADMN'!$B:DB,105,FALSE),"N/A")</f>
        <v>N/A</v>
      </c>
      <c r="BA74" s="87" t="str">
        <f>IFERROR(VLOOKUP($B74,'LOD 300 - ADMN'!$B:DE,108,FALSE),"N/A")</f>
        <v>N/A</v>
      </c>
      <c r="BB74" s="87" t="str">
        <f>IFERROR(VLOOKUP($B74,'LOD 300 - ADMN'!$B:DH,111,FALSE),"N/A")</f>
        <v>N/A</v>
      </c>
      <c r="BC74" s="87" t="str">
        <f>IFERROR(VLOOKUP($B74,'LOD 300 - ADMN'!$B:DK,114,FALSE),"N/A")</f>
        <v>N/A</v>
      </c>
      <c r="BD74" s="87" t="str">
        <f>IFERROR(VLOOKUP($B74,'LOD 300 - ADMN'!$B:DN,117,FALSE),"N/A")</f>
        <v>N/A</v>
      </c>
      <c r="BE74" s="87" t="str">
        <f>IFERROR(VLOOKUP($B74,'LOD 300 - ADMN'!$B:DQ,120,FALSE),"N/A")</f>
        <v>N/A</v>
      </c>
      <c r="BF74" s="87" t="str">
        <f>IFERROR(VLOOKUP($B74,'LOD 300 - ADMN'!$B:DT,123,FALSE),"N/A")</f>
        <v>N/A</v>
      </c>
      <c r="BG74" s="87" t="str">
        <f>IFERROR(VLOOKUP($B74,'LOD 300 - ADMN'!$B:DW,126,FALSE),"N/A")</f>
        <v>N/A</v>
      </c>
      <c r="BH74" s="87" t="str">
        <f>IFERROR(VLOOKUP($B74,'LOD 300 - ADMN'!$B:DZ,129,FALSE),"N/A")</f>
        <v>N/A</v>
      </c>
      <c r="BI74" s="87" t="str">
        <f>IFERROR(VLOOKUP($B74,'LOD 300 - ADMN'!$B:EC,132,FALSE),"N/A")</f>
        <v>N/A</v>
      </c>
      <c r="BJ74" s="90" t="str">
        <f>IFERROR(__xludf.DUMMYFUNCTION("IFERROR(
  MAX(FILTER(X74:BI74, ISNUMBER(X74:BI74))),
  BI74
)"),"N/A")</f>
        <v>N/A</v>
      </c>
      <c r="BK74" s="91" t="str">
        <f>IFERROR(VLOOKUP($B74,'LOD 300 - COLO1'!$B:S,18,FALSE),"N/A")</f>
        <v>N/A</v>
      </c>
      <c r="BL74" s="92" t="str">
        <f>IFERROR(VLOOKUP($B74,'LOD 300 - COLO1'!$B:V,21,FALSE),"N/A")</f>
        <v>N/A</v>
      </c>
      <c r="BM74" s="92" t="str">
        <f>IFERROR(VLOOKUP($B74,'LOD 300 - COLO1'!$B:Y,24,FALSE),"N/A")</f>
        <v>N/A</v>
      </c>
      <c r="BN74" s="92" t="str">
        <f>IFERROR(VLOOKUP($B74,'LOD 300 - COLO1'!$B:AB,27,FALSE),"N/A")</f>
        <v>N/A</v>
      </c>
      <c r="BO74" s="92" t="str">
        <f>IFERROR(VLOOKUP($B74,'LOD 300 - COLO1'!$B:AE,30,FALSE),"N/A")</f>
        <v>N/A</v>
      </c>
      <c r="BP74" s="92" t="str">
        <f>IFERROR(VLOOKUP($B74,'LOD 300 - COLO1'!$B:AH,33,FALSE),"N/A")</f>
        <v>N/A</v>
      </c>
      <c r="BQ74" s="92" t="str">
        <f>IFERROR(VLOOKUP($B74,'LOD 300 - COLO1'!$B:AK,36,FALSE),"N/A")</f>
        <v>N/A</v>
      </c>
      <c r="BR74" s="92" t="str">
        <f>IFERROR(VLOOKUP($B74,'LOD 300 - COLO1'!$B:AN,39,FALSE),"N/A")</f>
        <v>N/A</v>
      </c>
      <c r="BS74" s="92" t="str">
        <f>IFERROR(VLOOKUP($B74,'LOD 300 - COLO1'!$B:AQ,42,FALSE),"N/A")</f>
        <v>N/A</v>
      </c>
      <c r="BT74" s="92" t="str">
        <f>IFERROR(VLOOKUP($B74,'LOD 300 - COLO1'!$B:AT,45,FALSE),"N/A")</f>
        <v>N/A</v>
      </c>
      <c r="BU74" s="92" t="str">
        <f>IFERROR(VLOOKUP($B74,'LOD 300 - COLO1'!$B:AW,48,FALSE),"N/A")</f>
        <v>N/A</v>
      </c>
      <c r="BV74" s="92" t="str">
        <f>IFERROR(VLOOKUP($B74,'LOD 300 - COLO1'!$B:AZ,51,FALSE),"N/A")</f>
        <v>N/A</v>
      </c>
      <c r="BW74" s="92" t="str">
        <f>IFERROR(VLOOKUP($B74,'LOD 300 - COLO1'!$B:BC,54,FALSE),"N/A")</f>
        <v>N/A</v>
      </c>
      <c r="BX74" s="94" t="str">
        <f>IFERROR(VLOOKUP($B74,'LOD 300 - COLO1'!$B:BF,57,FALSE),"N/A")</f>
        <v>N/A</v>
      </c>
      <c r="BY74" s="94" t="str">
        <f>IFERROR(VLOOKUP($B74,'LOD 300 - COLO1'!$B:BI,60,FALSE),"N/A")</f>
        <v>N/A</v>
      </c>
      <c r="BZ74" s="95" t="str">
        <f>IFERROR(VLOOKUP($B74,'LOD 300 - COLO1'!$B:BL,63,FALSE),"N/A")</f>
        <v>N/A</v>
      </c>
      <c r="CA74" s="86" t="str">
        <f>IFERROR(VLOOKUP($B74,'LOD 300 - COLO1'!$B:BO,66,FALSE),"N/A")</f>
        <v>N/A</v>
      </c>
      <c r="CB74" s="86" t="str">
        <f>IFERROR(VLOOKUP($B74,'LOD 300 - COLO1'!$B:BR,69,FALSE),"N/A")</f>
        <v>N/A</v>
      </c>
      <c r="CC74" s="86" t="str">
        <f>IFERROR(VLOOKUP($B74,'LOD 300 - COLO1'!$B:BU,72,FALSE),"N/A")</f>
        <v>N/A</v>
      </c>
      <c r="CD74" s="86" t="str">
        <f>IFERROR(VLOOKUP($B74,'LOD 300 - COLO1'!$B:BX,75,FALSE),"N/A")</f>
        <v>N/A</v>
      </c>
      <c r="CE74" s="86" t="str">
        <f>IFERROR(VLOOKUP($B74,'LOD 300 - COLO1'!$B:CA,78,FALSE),"N/A")</f>
        <v>N/A</v>
      </c>
      <c r="CF74" s="87" t="str">
        <f>IFERROR(VLOOKUP($B74,'LOD 300 - COLO1'!$B:CD,81,FALSE),"N/A")</f>
        <v>N/A</v>
      </c>
      <c r="CG74" s="86" t="str">
        <f>IFERROR(VLOOKUP($B74,'LOD 300 - COLO1'!$B:CG,84,FALSE),"N/A")</f>
        <v>N/A</v>
      </c>
      <c r="CH74" s="87" t="str">
        <f>IFERROR(VLOOKUP($B74,'LOD 300 - COLO1'!$B:CJ,87,FALSE),"N/A")</f>
        <v>N/A</v>
      </c>
      <c r="CI74" s="88" t="str">
        <f>IFERROR(VLOOKUP($B74,'LOD 300 - COLO1'!$B:CM,90,FALSE),"N/A")</f>
        <v>N/A</v>
      </c>
      <c r="CJ74" s="88" t="str">
        <f>IFERROR(VLOOKUP($B74,'LOD 300 - COLO1'!$B:CP,93,FALSE),"N/A")</f>
        <v>N/A</v>
      </c>
      <c r="CK74" s="88" t="str">
        <f>IFERROR(VLOOKUP($B74,'LOD 300 - COLO1'!$B:CS,96,FALSE),"N/A")</f>
        <v>N/A</v>
      </c>
      <c r="CL74" s="88" t="str">
        <f>IFERROR(VLOOKUP($B74,'LOD 300 - COLO1'!$B:CV,99,FALSE),"N/A")</f>
        <v>N/A</v>
      </c>
      <c r="CM74" s="88" t="str">
        <f>IFERROR(VLOOKUP($B74,'LOD 300 - COLO1'!$B:CY,102,FALSE),"N/A")</f>
        <v>N/A</v>
      </c>
      <c r="CN74" s="89" t="str">
        <f>IFERROR(VLOOKUP($B74,'LOD 300 - COLO1'!$B:DB,105,FALSE),"N/A")</f>
        <v>N/A</v>
      </c>
      <c r="CO74" s="87" t="str">
        <f>IFERROR(VLOOKUP($B74,'LOD 300 - COLO1'!$B:EE,108,FALSE),"N/A")</f>
        <v>N/A</v>
      </c>
      <c r="CP74" s="87" t="str">
        <f>IFERROR(VLOOKUP($B74,'LOD 300 - COLO1'!$B:EH,111,FALSE),"N/A")</f>
        <v>N/A</v>
      </c>
      <c r="CQ74" s="87" t="str">
        <f>IFERROR(VLOOKUP($B74,'LOD 300 - COLO1'!$B:EK,114,FALSE),"N/A")</f>
        <v>N/A</v>
      </c>
      <c r="CR74" s="87" t="str">
        <f>IFERROR(VLOOKUP($B74,'LOD 300 - COLO1'!$B:EN,117,FALSE),"N/A")</f>
        <v>N/A</v>
      </c>
      <c r="CS74" s="87" t="str">
        <f>IFERROR(VLOOKUP($B74,'LOD 300 - COLO1'!$B:EQ,120,FALSE),"N/A")</f>
        <v>N/A</v>
      </c>
      <c r="CT74" s="87" t="str">
        <f>IFERROR(VLOOKUP($B74,'LOD 300 - COLO1'!$B:ET,123,FALSE),"N/A")</f>
        <v>N/A</v>
      </c>
      <c r="CU74" s="87" t="str">
        <f>IFERROR(VLOOKUP($B74,'LOD 300 - COLO1'!$B:EW,126,FALSE),"N/A")</f>
        <v>N/A</v>
      </c>
      <c r="CV74" s="87" t="str">
        <f>IFERROR(VLOOKUP($B74,'LOD 300 - COLO1'!$B:EZ,129,FALSE),"N/A")</f>
        <v>N/A</v>
      </c>
      <c r="CW74" s="87" t="str">
        <f>IFERROR(VLOOKUP($B74,'LOD 300 - COLO1'!$B:FC,132,FALSE),"N/A")</f>
        <v>N/A</v>
      </c>
      <c r="CX74" s="96" t="str">
        <f>IFERROR(__xludf.DUMMYFUNCTION("IFERROR(
  MAX(FILTER(BK74:CW74, ISNUMBER(BK74:CW74))),
  CW74
)"),"N/A")</f>
        <v>N/A</v>
      </c>
      <c r="CY74" s="104" t="str">
        <f>IFERROR(VLOOKUP($B74,'LOD 300 - COLO2'!$B:S,18,FALSE),"N/A")</f>
        <v>N/A</v>
      </c>
      <c r="CZ74" s="117" t="str">
        <f>IFERROR(VLOOKUP($B74,'LOD 300 - COLO2'!$B:V,21,FALSE),"N/A")</f>
        <v>N/A</v>
      </c>
      <c r="DA74" s="117" t="str">
        <f>IFERROR(VLOOKUP($B74,'LOD 300 - COLO2'!$B:Y,24,FALSE),"N/A")</f>
        <v>N/A</v>
      </c>
      <c r="DB74" s="117" t="str">
        <f>IFERROR(VLOOKUP($B74,'LOD 300 - COLO2'!$B:AB,27,FALSE),"N/A")</f>
        <v>N/A</v>
      </c>
      <c r="DC74" s="92" t="str">
        <f>IFERROR(VLOOKUP($B74,'LOD 300 - COLO2'!$B:AE,30,FALSE),"N/A")</f>
        <v>N/A</v>
      </c>
      <c r="DD74" s="120" t="str">
        <f>IFERROR(VLOOKUP($B74,'LOD 300 - COLO2'!$B:AH,33,FALSE),"N/A")</f>
        <v>N/A</v>
      </c>
      <c r="DE74" s="117" t="str">
        <f>IFERROR(VLOOKUP($B74,'LOD 300 - COLO2'!$B:AK,36,FALSE),"N/A")</f>
        <v>N/A</v>
      </c>
      <c r="DF74" s="117" t="str">
        <f>IFERROR(VLOOKUP($B74,'LOD 300 - COLO2'!$B:AN,39,FALSE),"N/A")</f>
        <v>N/A</v>
      </c>
      <c r="DG74" s="119" t="str">
        <f>IFERROR(VLOOKUP($B74,'LOD 300 - COLO2'!$B:AQ,42,FALSE),"N/A")</f>
        <v>N/A</v>
      </c>
      <c r="DH74" s="87" t="str">
        <f>IFERROR(VLOOKUP($B74,'LOD 300 - COLO2'!$B:AT,45,FALSE),"N/A")</f>
        <v>N/A</v>
      </c>
      <c r="DI74" s="94" t="str">
        <f>IFERROR(VLOOKUP($B74,'LOD 300 - COLO2'!$B:AW,48,FALSE),"N/A")</f>
        <v>N/A</v>
      </c>
      <c r="DJ74" s="95" t="str">
        <f>IFERROR(VLOOKUP($B74,'LOD 300 - COLO2'!$B:AZ,51,FALSE),"N/A")</f>
        <v>N/A</v>
      </c>
      <c r="DK74" s="86" t="str">
        <f>IFERROR(VLOOKUP($B74,'LOD 300 - COLO2'!$B:BC,54,FALSE),"N/A")</f>
        <v>N/A</v>
      </c>
      <c r="DL74" s="86" t="str">
        <f>IFERROR(VLOOKUP($B74,'LOD 300 - COLO2'!$B:BF,57,FALSE),"N/A")</f>
        <v>N/A</v>
      </c>
      <c r="DM74" s="86" t="str">
        <f>IFERROR(VLOOKUP($B74,'LOD 300 - COLO2'!$B:BI,60,FALSE),"N/A")</f>
        <v>N/A</v>
      </c>
      <c r="DN74" s="86" t="str">
        <f>IFERROR(VLOOKUP($B74,'LOD 300 - COLO2'!$B:BL,63,FALSE),"N/A")</f>
        <v>N/A</v>
      </c>
      <c r="DO74" s="86" t="str">
        <f>IFERROR(VLOOKUP($B74,'LOD 300 - COLO2'!$B:BO,66,FALSE),"N/A")</f>
        <v>N/A</v>
      </c>
      <c r="DP74" s="87" t="str">
        <f>IFERROR(VLOOKUP($B74,'LOD 300 - COLO2'!$B:BR,69,FALSE),"N/A")</f>
        <v>N/A</v>
      </c>
      <c r="DQ74" s="87" t="str">
        <f>IFERROR(VLOOKUP($B74,'LOD 300 - COLO2'!$B:BU,72,FALSE),"N/A")</f>
        <v>N/A</v>
      </c>
      <c r="DR74" s="87" t="str">
        <f>IFERROR(VLOOKUP($B74,'LOD 300 - COLO2'!$B:BX,75,FALSE),"N/A")</f>
        <v>N/A</v>
      </c>
      <c r="DS74" s="98" t="str">
        <f>IFERROR(VLOOKUP($B74,'LOD 300 - COLO2'!$B:CA,78,FALSE),"N/A")</f>
        <v>N/A</v>
      </c>
      <c r="DT74" s="98" t="str">
        <f>IFERROR(VLOOKUP($B74,'LOD 300 - COLO2'!$B:CD,81,FALSE),"N/A")</f>
        <v>N/A</v>
      </c>
      <c r="DU74" s="98" t="str">
        <f>IFERROR(VLOOKUP($B74,'LOD 300 - COLO2'!$B:CG,84,FALSE),"N/A")</f>
        <v>N/A</v>
      </c>
      <c r="DV74" s="98" t="str">
        <f>IFERROR(VLOOKUP($B74,'LOD 300 - COLO2'!$B:CJ,87,FALSE),"N/A")</f>
        <v>N/A</v>
      </c>
      <c r="DW74" s="98" t="str">
        <f>IFERROR(VLOOKUP($B74,'LOD 300 - COLO2'!$B:CM,90,FALSE),"N/A")</f>
        <v>N/A</v>
      </c>
      <c r="DX74" s="98" t="str">
        <f>IFERROR(VLOOKUP($B74,'LOD 300 - COLO2'!$B:CP,93,FALSE),"N/A")</f>
        <v>N/A</v>
      </c>
      <c r="DY74" s="87" t="str">
        <f>IFERROR(VLOOKUP($B74,'LOD 300 - COLO2'!$B:CS,96,FALSE),"N/A")</f>
        <v>N/A</v>
      </c>
      <c r="DZ74" s="87" t="str">
        <f>IFERROR(VLOOKUP($B74,'LOD 300 - COLO2'!$B:CV,99,FALSE),"N/A")</f>
        <v>N/A</v>
      </c>
      <c r="EA74" s="87" t="str">
        <f>IFERROR(VLOOKUP($B74,'LOD 300 - COLO2'!$B:DB,105,FALSE),"N/A")</f>
        <v>N/A</v>
      </c>
      <c r="EB74" s="87" t="str">
        <f>IFERROR(VLOOKUP($B74,'LOD 300 - COLO2'!$B:DB,105,FALSE),"N/A")</f>
        <v>N/A</v>
      </c>
      <c r="EC74" s="87" t="str">
        <f>IFERROR(VLOOKUP($B74,'LOD 300 - COLO2'!$B:DE,108,FALSE),"N/A")</f>
        <v>N/A</v>
      </c>
      <c r="ED74" s="87" t="str">
        <f>IFERROR(VLOOKUP($B74,'LOD 300 - COLO2'!$B:DH,111,FALSE),"N/A")</f>
        <v>N/A</v>
      </c>
      <c r="EE74" s="87" t="str">
        <f>IFERROR(VLOOKUP($B74,'LOD 300 - COLO2'!$B:DK,114,FALSE),"N/A")</f>
        <v>N/A</v>
      </c>
      <c r="EF74" s="87" t="str">
        <f>IFERROR(VLOOKUP($B74,'LOD 300 - COLO2'!$B:DN,117,FALSE),"N/A")</f>
        <v>N/A</v>
      </c>
      <c r="EG74" s="87" t="str">
        <f>IFERROR(VLOOKUP($B74,'LOD 300 - COLO2'!$B:DQ,120,FALSE),"N/A")</f>
        <v>N/A</v>
      </c>
      <c r="EH74" s="99" t="str">
        <f>IFERROR(__xludf.DUMMYFUNCTION("IFERROR(
  MAX(FILTER(CZ74:EG74, ISNUMBER(CZ74:EG74))),
  EG74
)"),"N/A")</f>
        <v>N/A</v>
      </c>
      <c r="EI74" s="100" t="str">
        <f>IFERROR(VLOOKUP($B74,'LOD 300 - COLO3'!$B:R,17,FALSE),"N/A")</f>
        <v>N/A</v>
      </c>
      <c r="EJ74" s="127" t="str">
        <f>IFERROR(VLOOKUP($B74,'LOD 300 - COLO3'!$B:U,20,FALSE),"N/A")</f>
        <v>N/A</v>
      </c>
      <c r="EK74" s="127" t="str">
        <f>IFERROR(VLOOKUP($B74,'LOD 300 - COLO3'!$B:X,23,FALSE),"N/A")</f>
        <v>N/A</v>
      </c>
      <c r="EL74" s="127" t="str">
        <f>IFERROR(VLOOKUP($B74,'LOD 300 - COLO3'!$B:AA,26,FALSE),"N/A")</f>
        <v>N/A</v>
      </c>
      <c r="EM74" s="127" t="str">
        <f>IFERROR(VLOOKUP($B74,'LOD 300 - COLO3'!$B:AD,29,FALSE),"N/A")</f>
        <v>N/A</v>
      </c>
      <c r="EN74" s="127" t="str">
        <f>IFERROR(VLOOKUP($B74,'LOD 300 - COLO3'!$B:AG,32,FALSE),"N/A")</f>
        <v>N/A</v>
      </c>
      <c r="EO74" s="127" t="str">
        <f>IFERROR(VLOOKUP($B74,'LOD 300 - COLO3'!$B:AJ,35,FALSE),"N/A")</f>
        <v>N/A</v>
      </c>
      <c r="EP74" s="100" t="str">
        <f>IFERROR(VLOOKUP($B74,'LOD 300 - COLO3'!$B:AM,38,FALSE),"N/A")</f>
        <v>N/A</v>
      </c>
      <c r="EQ74" s="100" t="str">
        <f>IFERROR(VLOOKUP($B74,'LOD 300 - COLO3'!$B:AP,41,FALSE),"N/A")</f>
        <v>N/A</v>
      </c>
      <c r="ER74" s="100" t="str">
        <f>IFERROR(VLOOKUP($B74,'LOD 300 - COLO3'!$B:AS,44,FALSE),"N/A")</f>
        <v>N/A</v>
      </c>
      <c r="ES74" s="100" t="str">
        <f>IFERROR(VLOOKUP($B74,'LOD 300 - COLO3'!$B:AV,47,FALSE),"N/A")</f>
        <v>N/A</v>
      </c>
      <c r="ET74" s="100" t="str">
        <f>IFERROR(VLOOKUP($B74,'LOD 300 - COLO3'!$B:AY,50,FALSE),"N/A")</f>
        <v>N/A</v>
      </c>
      <c r="EU74" s="100" t="str">
        <f>IFERROR(VLOOKUP($B74,'LOD 300 - COLO3'!$B:BB,53,FALSE),"N/A")</f>
        <v>N/A</v>
      </c>
      <c r="EV74" s="100" t="str">
        <f>IFERROR(VLOOKUP($B74,'LOD 300 - COLO3'!$B:BE,56,FALSE),"N/A")</f>
        <v>N/A</v>
      </c>
      <c r="EW74" s="100" t="str">
        <f>IFERROR(VLOOKUP($B74,'LOD 300 - COLO3'!$B:BL,59,FALSE),"N/A")</f>
        <v>N/A</v>
      </c>
      <c r="EX74" s="100" t="str">
        <f>IFERROR(VLOOKUP($B74,'LOD 300 - COLO3'!$B:BO,62,FALSE),"N/A")</f>
        <v>N/A</v>
      </c>
      <c r="EY74" s="103" t="str">
        <f>IFERROR(__xludf.DUMMYFUNCTION("IFERROR(
  MAX(FILTER(EI74:EX74, ISNUMBER(EI74:EX74))),
  EX74
)"),"N/A")</f>
        <v>N/A</v>
      </c>
      <c r="EZ74" s="104" t="str">
        <f>IFERROR(VLOOKUP($B74,'LOD 300 - COLO4'!$B:BT,17,FALSE),"N/A")</f>
        <v>N/A</v>
      </c>
      <c r="FA74" s="103" t="str">
        <f>IFERROR(__xludf.DUMMYFUNCTION("IFERROR(
  MAX(FILTER(EZ74, ISNUMBER(EZ74))),
  EZ74
)"),"N/A")</f>
        <v>N/A</v>
      </c>
      <c r="FB74" s="121">
        <f>IFERROR(VLOOKUP($B74,'LOD 300 - SITE'!$B:S,18,FALSE),"N/A")</f>
        <v>0.33</v>
      </c>
      <c r="FC74" s="122">
        <f>IFERROR(VLOOKUP($B74,'LOD 300 - SITE'!$B:V,21,FALSE),"N/A")</f>
        <v>1</v>
      </c>
      <c r="FD74" s="122">
        <f>IFERROR(VLOOKUP($B74,'LOD 300 - SITE'!$B:Y,24,FALSE),"N/A")</f>
        <v>1</v>
      </c>
      <c r="FE74" s="122">
        <f>IFERROR(VLOOKUP($B74,'LOD 300 - SITE'!$B:AB,27,FALSE),"N/A")</f>
        <v>1</v>
      </c>
      <c r="FF74" s="122">
        <f>IFERROR(VLOOKUP($B74,'LOD 300 - SITE'!$B:AE,30,FALSE),"N/A")</f>
        <v>1</v>
      </c>
      <c r="FG74" s="122">
        <f>IFERROR(VLOOKUP($B74,'LOD 300 - SITE'!$B:AH,33,FALSE),"N/A")</f>
        <v>1</v>
      </c>
      <c r="FH74" s="122">
        <f>IFERROR(VLOOKUP($B74,'LOD 300 - SITE'!$B:AK,36,FALSE),"N/A")</f>
        <v>1</v>
      </c>
      <c r="FI74" s="122">
        <f>IFERROR(VLOOKUP($B74,'LOD 300 - SITE'!$B:AN,39,FALSE),"N/A")</f>
        <v>1</v>
      </c>
      <c r="FJ74" s="122">
        <f>IFERROR(VLOOKUP($B74,'LOD 300 - SITE'!$B:AQ,42,FALSE),"N/A")</f>
        <v>1</v>
      </c>
      <c r="FK74" s="122">
        <f>IFERROR(VLOOKUP($B74,'LOD 300 - SITE'!$B:AT,45,FALSE),"N/A")</f>
        <v>1</v>
      </c>
      <c r="FL74" s="123">
        <f>IFERROR(VLOOKUP($B74,'LOD 300 - SITE'!$B:AW,48,FALSE),"N/A")</f>
        <v>1</v>
      </c>
      <c r="FM74" s="87">
        <f>IFERROR(VLOOKUP($B74,'LOD 300 - SITE'!$B:AZ,51,FALSE),"N/A")</f>
        <v>1</v>
      </c>
      <c r="FN74" s="94">
        <f>IFERROR(VLOOKUP($B74,'LOD 300 - SITE'!$B:BC,54,FALSE),"N/A")</f>
        <v>1</v>
      </c>
      <c r="FO74" s="95">
        <f>IFERROR(VLOOKUP($B74,'LOD 300 - SITE'!$B:BF,57,FALSE),"N/A")</f>
        <v>1</v>
      </c>
      <c r="FP74" s="86">
        <f>IFERROR(VLOOKUP($B74,'LOD 300 - SITE'!$B:BI,60,FALSE),"N/A")</f>
        <v>1</v>
      </c>
      <c r="FQ74" s="86">
        <f>IFERROR(VLOOKUP($B74,'LOD 300 - SITE'!$B:BL,63,FALSE),"N/A")</f>
        <v>1</v>
      </c>
      <c r="FR74" s="86">
        <f>IFERROR(VLOOKUP($B74,'LOD 300 - SITE'!$B:BO,66,FALSE),"N/A")</f>
        <v>1</v>
      </c>
      <c r="FS74" s="86">
        <f>IFERROR(VLOOKUP($B74,'LOD 300 - SITE'!$B:BR,69,FALSE),"N/A")</f>
        <v>1</v>
      </c>
      <c r="FT74" s="86">
        <f>IFERROR(VLOOKUP($B74,'LOD 300 - SITE'!$B:BU,72,FALSE),"N/A")</f>
        <v>1</v>
      </c>
      <c r="FU74" s="86">
        <f>IFERROR(VLOOKUP($B74,'LOD 300 - SITE'!$B:BX,75,FALSE),"N/A")</f>
        <v>1</v>
      </c>
      <c r="FV74" s="86">
        <f>IFERROR(VLOOKUP($B74,'LOD 300 - SITE'!$B:CA,78,FALSE),"N/A")</f>
        <v>1</v>
      </c>
      <c r="FW74" s="87">
        <f>IFERROR(VLOOKUP($B74,'LOD 300 - SITE'!$B:CD,81,FALSE),"N/A")</f>
        <v>1</v>
      </c>
      <c r="FX74" s="108">
        <f>IFERROR(VLOOKUP($B74,'LOD 300 - SITE'!$B:CG,84,FALSE),"N/A")</f>
        <v>1</v>
      </c>
      <c r="FY74" s="108">
        <f>IFERROR(VLOOKUP($B74,'LOD 300 - SITE'!$B:CJ,87,FALSE),"N/A")</f>
        <v>1</v>
      </c>
      <c r="FZ74" s="108">
        <f>IFERROR(VLOOKUP($B74,'LOD 300 - SITE'!$B:CM,90,FALSE),"N/A")</f>
        <v>1</v>
      </c>
      <c r="GA74" s="108">
        <f>IFERROR(VLOOKUP($B74,'LOD 300 - SITE'!$B:CP,93,FALSE),"N/A")</f>
        <v>1</v>
      </c>
      <c r="GB74" s="108">
        <f>IFERROR(VLOOKUP($B74,'LOD 300 - SITE'!$B:CS,96,FALSE),"N/A")</f>
        <v>1</v>
      </c>
      <c r="GC74" s="109">
        <f>IFERROR(VLOOKUP($B74,'LOD 300 - SITE'!$B:CV,99,FALSE),"N/A")</f>
        <v>1</v>
      </c>
      <c r="GD74" s="87">
        <f>IFERROR(VLOOKUP($B74,'LOD 300 - SITE'!$B:CY,102,FALSE),"N/A")</f>
        <v>1</v>
      </c>
      <c r="GE74" s="87">
        <f>IFERROR(VLOOKUP($B74,'LOD 300 - SITE'!$B:DB,105,FALSE),"N/A")</f>
        <v>1</v>
      </c>
      <c r="GF74" s="87">
        <f>IFERROR(VLOOKUP($B74,'LOD 300 - SITE'!$B:DE,108,FALSE),"N/A")</f>
        <v>1</v>
      </c>
      <c r="GG74" s="87">
        <f>IFERROR(VLOOKUP($B74,'LOD 300 - SITE'!$B:DH,111,FALSE),"N/A")</f>
        <v>1</v>
      </c>
      <c r="GH74" s="87">
        <f>IFERROR(VLOOKUP($B74,'LOD 300 - SITE'!$B:DK,114,FALSE),"N/A")</f>
        <v>1</v>
      </c>
      <c r="GI74" s="87">
        <f>IFERROR(VLOOKUP($B74,'LOD 300 - SITE'!$B:DN,117,FALSE),"N/A")</f>
        <v>1</v>
      </c>
      <c r="GJ74" s="87">
        <f>IFERROR(VLOOKUP($B74,'LOD 300 - SITE'!$B:DQ,120,FALSE),"N/A")</f>
        <v>1</v>
      </c>
      <c r="GK74" s="87">
        <f>IFERROR(VLOOKUP($B74,'LOD 300 - SITE'!$B:DT,123,FALSE),"N/A")</f>
        <v>1</v>
      </c>
      <c r="GL74" s="87">
        <f>IFERROR(VLOOKUP($B74,'LOD 300 - SITE'!$B:DW,126,FALSE),"N/A")</f>
        <v>1</v>
      </c>
      <c r="GM74" s="110">
        <f>IFERROR(__xludf.DUMMYFUNCTION("IFERROR(
  MAX(FILTER(FB74:GL74, ISNUMBER(FB74:GL74))),
  GL74
)"),1.0)</f>
        <v>1</v>
      </c>
      <c r="GN74" s="135"/>
      <c r="GO74" s="135"/>
      <c r="GP74" s="135"/>
    </row>
    <row r="75" ht="15.75" customHeight="1" outlineLevel="1">
      <c r="A75" s="60">
        <v>78.0</v>
      </c>
      <c r="B75" s="140" t="s">
        <v>250</v>
      </c>
      <c r="C75" s="70" t="s">
        <v>251</v>
      </c>
      <c r="D75" s="71" t="s">
        <v>85</v>
      </c>
      <c r="E75" s="146" t="s">
        <v>169</v>
      </c>
      <c r="F75" s="13">
        <v>1112.0</v>
      </c>
      <c r="G75" s="139" t="s">
        <v>170</v>
      </c>
      <c r="H75" s="139">
        <v>1129.0</v>
      </c>
      <c r="I75" s="74" t="str">
        <f>IFERROR(VLOOKUP(C72:C214,'R22 RELATÓRIO ACC'!B:F,5,FALSE),"NOT PUBLISHED")</f>
        <v>V30</v>
      </c>
      <c r="J75" s="74" t="str">
        <f>IFERROR(VLOOKUP(C72:C214,'R22 RELATÓRIO ACC'!B:P,15,FALSE),"NOT PUBLISHED")</f>
        <v>24/03/2026</v>
      </c>
      <c r="K75" s="141" t="str">
        <f>IFERROR(VLOOKUP(B72:B262,'RELATÓRIO ACC'!B:F,5,FALSE),"NOT PUBLISHED")</f>
        <v>V2</v>
      </c>
      <c r="L75" s="142" t="str">
        <f>IFERROR(VLOOKUP(B72:B262,'RELATÓRIO ACC'!B:P,15,FALSE),"NOT PUBLISHED")</f>
        <v>13/07/2026</v>
      </c>
      <c r="M75" s="76" t="str">
        <f>IF(OR($D75="UTLS",$D75="GUAR",$D75="STIR",$D75="PUMP",$D75="SITE"),
   VLOOKUP($B75,'LOD 300 - SITE'!B:M,12,FALSE),
   VLOOKUP($B75,'LOD 300 - ADMN'!B:M,12,FALSE)
)</f>
        <v>V22</v>
      </c>
      <c r="N75" s="77" t="str">
        <f>IF(OR($D75="UTLS",$D75="GUAR",$D75="STIR",$D75="PUMP",$D75="SITE"),
   VLOOKUP($B75,'LOD 300 - SITE'!B:N,13,FALSE),
   VLOOKUP($B75,'LOD 300 - ADMN'!B:N,13,FALSE)
)</f>
        <v>31/10/2025</v>
      </c>
      <c r="O75" s="78" t="str">
        <f>IF(OR($D75="UTLS",$D75="GUAR",$D75="STIR",$D75="PUMP",$D75="SITE"),
   VLOOKUP($B75,'LOD 300 - SITE'!B:O,14,FALSE),
   VLOOKUP($B75,'LOD 300 - ADMN'!B:O,14,FALSE)
)</f>
        <v>R22</v>
      </c>
      <c r="P75" s="79" t="str">
        <f>IF(OR($D75="C345",$D75="C12A",$D75="DATA"),
   VLOOKUP($B75,'LOD 300 - COLO3'!B:M,12,FALSE),"N/A")</f>
        <v>V1</v>
      </c>
      <c r="Q75" s="77">
        <f>IF(OR($D75="C345",$D75="C12A",$D75="DATA"),
   VLOOKUP($B75,'LOD 300 - COLO3'!B:N,13,FALSE),"N/A")</f>
        <v>46161</v>
      </c>
      <c r="R75" s="76" t="str">
        <f>IF(OR($D75="C345",$D75="C12A",$D75="DATA"),
   VLOOKUP($B75,'LOD 300 - COLO3'!B:O,14,FALSE),"N/A")</f>
        <v>R24</v>
      </c>
      <c r="S75" s="79" t="str">
        <f>IF(OR($D75="C345",$D75="C12A",$D75="DATA"),
   VLOOKUP($B75,'LOD 300 - COLO4'!B:M,12,FALSE),"N/A")</f>
        <v>N/A</v>
      </c>
      <c r="T75" s="76" t="str">
        <f>IF(OR($D75="C345",$D75="C12A",$D75="DATA"),
   VLOOKUP($B75,'LOD 300 - COLO4'!B:T,13,FALSE),"N/A")</f>
        <v>N/A</v>
      </c>
      <c r="U75" s="81">
        <f>IF(OR($D75="C345",$D75="C12A",$D75="DATA"),
   VLOOKUP($B75,'LOD 300 - COLO4'!B:U,17,FALSE),"N/A")</f>
        <v>0</v>
      </c>
      <c r="V75" s="126" t="s">
        <v>102</v>
      </c>
      <c r="W75" s="144">
        <f>IFERROR(VLOOKUP($B75,'LOD 300 - ADMN'!$B:S,18,FALSE),"N/A")</f>
        <v>0.51</v>
      </c>
      <c r="X75" s="122">
        <f>IFERROR(VLOOKUP($B75,'LOD 300 - ADMN'!$B:V,21,FALSE),"N/A")</f>
        <v>0.53</v>
      </c>
      <c r="Y75" s="122">
        <f>IFERROR(VLOOKUP($B75,'LOD 300 - ADMN'!$B:Y,24,FALSE),"N/A")</f>
        <v>1</v>
      </c>
      <c r="Z75" s="122">
        <f>IFERROR(VLOOKUP($B75,'LOD 300 - ADMN'!$B:AB,27,FALSE),"N/A")</f>
        <v>1</v>
      </c>
      <c r="AA75" s="122">
        <f>IFERROR(VLOOKUP($B75,'LOD 300 - ADMN'!$B:AE,30,FALSE),"N/A")</f>
        <v>1</v>
      </c>
      <c r="AB75" s="145">
        <f>IFERROR(VLOOKUP($B75,'LOD 300 - ADMN'!$B:AH,33,FALSE),"N/A")</f>
        <v>1</v>
      </c>
      <c r="AC75" s="145">
        <f>IFERROR(VLOOKUP($B75,'LOD 300 - ADMN'!$B:AK,36,FALSE),"N/A")</f>
        <v>1</v>
      </c>
      <c r="AD75" s="122">
        <f>IFERROR(VLOOKUP($B75,'LOD 300 - ADMN'!$B:AN,39,FALSE),"N/A")</f>
        <v>1</v>
      </c>
      <c r="AE75" s="122">
        <f>IFERROR(VLOOKUP($B75,'LOD 300 - ADMN'!$B:AQ,42,FALSE),"N/A")</f>
        <v>1</v>
      </c>
      <c r="AF75" s="122">
        <f>IFERROR(VLOOKUP($B75,'LOD 300 - ADMN'!$B:AT,45,FALSE),"N/A")</f>
        <v>1</v>
      </c>
      <c r="AG75" s="122">
        <f>IFERROR(VLOOKUP($B75,'LOD 300 - ADMN'!$B:AW,48,FALSE),"N/A")</f>
        <v>1</v>
      </c>
      <c r="AH75" s="122">
        <f>IFERROR(VLOOKUP($B75,'LOD 300 - ADMN'!$B:AZ,51,FALSE),"N/A")</f>
        <v>1</v>
      </c>
      <c r="AI75" s="122">
        <f>IFERROR(VLOOKUP($B75,'LOD 300 - ADMN'!$B:BC,54,FALSE),"N/A")</f>
        <v>1</v>
      </c>
      <c r="AJ75" s="87">
        <f>IFERROR(VLOOKUP($B75,'LOD 300 - ADMN'!$B:BF,57,FALSE),"N/A")</f>
        <v>1</v>
      </c>
      <c r="AK75" s="87">
        <f>IFERROR(VLOOKUP($B75,'LOD 300 - ADMN'!$B:EP,60,FALSE),"N/A")</f>
        <v>1</v>
      </c>
      <c r="AL75" s="87">
        <f>IFERROR(VLOOKUP($B75,'LOD 300 - ADMN'!$B:EQ,63,FALSE),"N/A")</f>
        <v>1</v>
      </c>
      <c r="AM75" s="87">
        <f>IFERROR(VLOOKUP($B75,'LOD 300 - ADMN'!$B:BO,66,FALSE),"N/A")</f>
        <v>1</v>
      </c>
      <c r="AN75" s="87">
        <f>IFERROR(VLOOKUP($B75,'LOD 300 - ADMN'!$B:BR,69,FALSE),"N/A")</f>
        <v>1</v>
      </c>
      <c r="AO75" s="87">
        <f>IFERROR(VLOOKUP($B75,'LOD 300 - ADMN'!$B:BU,72,FALSE),"N/A")</f>
        <v>1</v>
      </c>
      <c r="AP75" s="87">
        <f>IFERROR(VLOOKUP($B75,'LOD 300 - ADMN'!$B:BX,75,FALSE),"N/A")</f>
        <v>1</v>
      </c>
      <c r="AQ75" s="87">
        <f>IFERROR(VLOOKUP($B75,'LOD 300 - ADMN'!$B:CA,78,FALSE),"N/A")</f>
        <v>1</v>
      </c>
      <c r="AR75" s="87">
        <f>IFERROR(VLOOKUP($B75,'LOD 300 - ADMN'!$B:CD,81,FALSE),"N/A")</f>
        <v>1</v>
      </c>
      <c r="AS75" s="87">
        <f>IFERROR(VLOOKUP($B75,'LOD 300 - ADMN'!$B:CG,84,FALSE),"N/A")</f>
        <v>1</v>
      </c>
      <c r="AT75" s="87">
        <f>IFERROR(VLOOKUP($B75,'LOD 300 - ADMN'!$B:CJ,87,FALSE),"N/A")</f>
        <v>1</v>
      </c>
      <c r="AU75" s="88">
        <f>IFERROR(VLOOKUP($B75,'LOD 300 - ADMN'!$B:CM,90,FALSE),"N/A")</f>
        <v>1</v>
      </c>
      <c r="AV75" s="88">
        <f>IFERROR(VLOOKUP($B75,'LOD 300 - ADMN'!$B:CP,93,FALSE),"N/A")</f>
        <v>1</v>
      </c>
      <c r="AW75" s="88">
        <f>IFERROR(VLOOKUP($B75,'LOD 300 - ADMN'!$B:CS,96,FALSE),"N/A")</f>
        <v>1</v>
      </c>
      <c r="AX75" s="88">
        <f>IFERROR(VLOOKUP($B75,'LOD 300 - ADMN'!$B:CV,99,FALSE),"N/A")</f>
        <v>1</v>
      </c>
      <c r="AY75" s="88">
        <f>IFERROR(VLOOKUP($B75,'LOD 300 - ADMN'!$B:CY,102,FALSE),"N/A")</f>
        <v>1</v>
      </c>
      <c r="AZ75" s="88">
        <f>IFERROR(VLOOKUP($B75,'LOD 300 - ADMN'!$B:DB,105,FALSE),"N/A")</f>
        <v>1</v>
      </c>
      <c r="BA75" s="87">
        <f>IFERROR(VLOOKUP($B75,'LOD 300 - ADMN'!$B:DE,108,FALSE),"N/A")</f>
        <v>1</v>
      </c>
      <c r="BB75" s="87">
        <f>IFERROR(VLOOKUP($B75,'LOD 300 - ADMN'!$B:DH,111,FALSE),"N/A")</f>
        <v>1</v>
      </c>
      <c r="BC75" s="87">
        <f>IFERROR(VLOOKUP($B75,'LOD 300 - ADMN'!$B:DK,114,FALSE),"N/A")</f>
        <v>1</v>
      </c>
      <c r="BD75" s="87">
        <f>IFERROR(VLOOKUP($B75,'LOD 300 - ADMN'!$B:DN,117,FALSE),"N/A")</f>
        <v>1</v>
      </c>
      <c r="BE75" s="87">
        <f>IFERROR(VLOOKUP($B75,'LOD 300 - ADMN'!$B:DQ,120,FALSE),"N/A")</f>
        <v>1</v>
      </c>
      <c r="BF75" s="87">
        <f>IFERROR(VLOOKUP($B75,'LOD 300 - ADMN'!$B:DT,123,FALSE),"N/A")</f>
        <v>1</v>
      </c>
      <c r="BG75" s="87">
        <f>IFERROR(VLOOKUP($B75,'LOD 300 - ADMN'!$B:DW,126,FALSE),"N/A")</f>
        <v>1</v>
      </c>
      <c r="BH75" s="87">
        <f>IFERROR(VLOOKUP($B75,'LOD 300 - ADMN'!$B:DZ,129,FALSE),"N/A")</f>
        <v>1</v>
      </c>
      <c r="BI75" s="87">
        <f>IFERROR(VLOOKUP($B75,'LOD 300 - ADMN'!$B:EC,132,FALSE),"N/A")</f>
        <v>1</v>
      </c>
      <c r="BJ75" s="90">
        <f>IFERROR(__xludf.DUMMYFUNCTION("IFERROR(
  MAX(FILTER(X75:BI75, ISNUMBER(X75:BI75))),
  BI75
)"),1.0)</f>
        <v>1</v>
      </c>
      <c r="BK75" s="91">
        <f>IFERROR(VLOOKUP($B75,'LOD 300 - COLO1'!$B:S,18,FALSE),"N/A")</f>
        <v>0.37</v>
      </c>
      <c r="BL75" s="92">
        <f>IFERROR(VLOOKUP($B75,'LOD 300 - COLO1'!$B:V,21,FALSE),"N/A")</f>
        <v>0.33</v>
      </c>
      <c r="BM75" s="92">
        <f>IFERROR(VLOOKUP($B75,'LOD 300 - COLO1'!$B:Y,24,FALSE),"N/A")</f>
        <v>1</v>
      </c>
      <c r="BN75" s="92">
        <f>IFERROR(VLOOKUP($B75,'LOD 300 - COLO1'!$B:AB,27,FALSE),"N/A")</f>
        <v>1</v>
      </c>
      <c r="BO75" s="92">
        <f>IFERROR(VLOOKUP($B75,'LOD 300 - COLO1'!$B:AE,30,FALSE),"N/A")</f>
        <v>1</v>
      </c>
      <c r="BP75" s="92">
        <f>IFERROR(VLOOKUP($B75,'LOD 300 - COLO1'!$B:AH,33,FALSE),"N/A")</f>
        <v>1</v>
      </c>
      <c r="BQ75" s="92">
        <f>IFERROR(VLOOKUP($B75,'LOD 300 - COLO1'!$B:AK,36,FALSE),"N/A")</f>
        <v>1</v>
      </c>
      <c r="BR75" s="92">
        <f>IFERROR(VLOOKUP($B75,'LOD 300 - COLO1'!$B:AN,39,FALSE),"N/A")</f>
        <v>1</v>
      </c>
      <c r="BS75" s="92">
        <f>IFERROR(VLOOKUP($B75,'LOD 300 - COLO1'!$B:AQ,42,FALSE),"N/A")</f>
        <v>1</v>
      </c>
      <c r="BT75" s="92">
        <f>IFERROR(VLOOKUP($B75,'LOD 300 - COLO1'!$B:AT,45,FALSE),"N/A")</f>
        <v>1</v>
      </c>
      <c r="BU75" s="92">
        <f>IFERROR(VLOOKUP($B75,'LOD 300 - COLO1'!$B:AW,48,FALSE),"N/A")</f>
        <v>1</v>
      </c>
      <c r="BV75" s="92">
        <f>IFERROR(VLOOKUP($B75,'LOD 300 - COLO1'!$B:AZ,51,FALSE),"N/A")</f>
        <v>1</v>
      </c>
      <c r="BW75" s="92">
        <f>IFERROR(VLOOKUP($B75,'LOD 300 - COLO1'!$B:BC,54,FALSE),"N/A")</f>
        <v>1</v>
      </c>
      <c r="BX75" s="94">
        <f>IFERROR(VLOOKUP($B75,'LOD 300 - COLO1'!$B:BF,57,FALSE),"N/A")</f>
        <v>1</v>
      </c>
      <c r="BY75" s="94">
        <f>IFERROR(VLOOKUP($B75,'LOD 300 - COLO1'!$B:BI,60,FALSE),"N/A")</f>
        <v>1</v>
      </c>
      <c r="BZ75" s="95">
        <f>IFERROR(VLOOKUP($B75,'LOD 300 - COLO1'!$B:BL,63,FALSE),"N/A")</f>
        <v>1</v>
      </c>
      <c r="CA75" s="86">
        <f>IFERROR(VLOOKUP($B75,'LOD 300 - COLO1'!$B:BO,66,FALSE),"N/A")</f>
        <v>1</v>
      </c>
      <c r="CB75" s="86">
        <f>IFERROR(VLOOKUP($B75,'LOD 300 - COLO1'!$B:BR,69,FALSE),"N/A")</f>
        <v>1</v>
      </c>
      <c r="CC75" s="86">
        <f>IFERROR(VLOOKUP($B75,'LOD 300 - COLO1'!$B:BU,72,FALSE),"N/A")</f>
        <v>1</v>
      </c>
      <c r="CD75" s="86">
        <f>IFERROR(VLOOKUP($B75,'LOD 300 - COLO1'!$B:BX,75,FALSE),"N/A")</f>
        <v>1</v>
      </c>
      <c r="CE75" s="86">
        <f>IFERROR(VLOOKUP($B75,'LOD 300 - COLO1'!$B:CA,78,FALSE),"N/A")</f>
        <v>1</v>
      </c>
      <c r="CF75" s="87">
        <f>IFERROR(VLOOKUP($B75,'LOD 300 - COLO1'!$B:CD,81,FALSE),"N/A")</f>
        <v>1</v>
      </c>
      <c r="CG75" s="86">
        <f>IFERROR(VLOOKUP($B75,'LOD 300 - COLO1'!$B:CG,84,FALSE),"N/A")</f>
        <v>1</v>
      </c>
      <c r="CH75" s="87">
        <f>IFERROR(VLOOKUP($B75,'LOD 300 - COLO1'!$B:CJ,87,FALSE),"N/A")</f>
        <v>1</v>
      </c>
      <c r="CI75" s="88">
        <f>IFERROR(VLOOKUP($B75,'LOD 300 - COLO1'!$B:CM,90,FALSE),"N/A")</f>
        <v>1</v>
      </c>
      <c r="CJ75" s="88">
        <f>IFERROR(VLOOKUP($B75,'LOD 300 - COLO1'!$B:CP,93,FALSE),"N/A")</f>
        <v>1</v>
      </c>
      <c r="CK75" s="88">
        <f>IFERROR(VLOOKUP($B75,'LOD 300 - COLO1'!$B:CS,96,FALSE),"N/A")</f>
        <v>1</v>
      </c>
      <c r="CL75" s="88">
        <f>IFERROR(VLOOKUP($B75,'LOD 300 - COLO1'!$B:CV,99,FALSE),"N/A")</f>
        <v>1</v>
      </c>
      <c r="CM75" s="88">
        <f>IFERROR(VLOOKUP($B75,'LOD 300 - COLO1'!$B:CY,102,FALSE),"N/A")</f>
        <v>1</v>
      </c>
      <c r="CN75" s="89">
        <f>IFERROR(VLOOKUP($B75,'LOD 300 - COLO1'!$B:DB,105,FALSE),"N/A")</f>
        <v>1</v>
      </c>
      <c r="CO75" s="87">
        <f>IFERROR(VLOOKUP($B75,'LOD 300 - COLO1'!$B:EE,108,FALSE),"N/A")</f>
        <v>1</v>
      </c>
      <c r="CP75" s="87">
        <f>IFERROR(VLOOKUP($B75,'LOD 300 - COLO1'!$B:EH,111,FALSE),"N/A")</f>
        <v>1</v>
      </c>
      <c r="CQ75" s="87">
        <f>IFERROR(VLOOKUP($B75,'LOD 300 - COLO1'!$B:EK,114,FALSE),"N/A")</f>
        <v>1</v>
      </c>
      <c r="CR75" s="87">
        <f>IFERROR(VLOOKUP($B75,'LOD 300 - COLO1'!$B:EN,117,FALSE),"N/A")</f>
        <v>1</v>
      </c>
      <c r="CS75" s="87">
        <f>IFERROR(VLOOKUP($B75,'LOD 300 - COLO1'!$B:EQ,120,FALSE),"N/A")</f>
        <v>1</v>
      </c>
      <c r="CT75" s="87">
        <f>IFERROR(VLOOKUP($B75,'LOD 300 - COLO1'!$B:ET,123,FALSE),"N/A")</f>
        <v>1</v>
      </c>
      <c r="CU75" s="87">
        <f>IFERROR(VLOOKUP($B75,'LOD 300 - COLO1'!$B:EW,126,FALSE),"N/A")</f>
        <v>1</v>
      </c>
      <c r="CV75" s="87">
        <f>IFERROR(VLOOKUP($B75,'LOD 300 - COLO1'!$B:EZ,129,FALSE),"N/A")</f>
        <v>1</v>
      </c>
      <c r="CW75" s="87">
        <f>IFERROR(VLOOKUP($B75,'LOD 300 - COLO1'!$B:FC,132,FALSE),"N/A")</f>
        <v>1</v>
      </c>
      <c r="CX75" s="96">
        <f>IFERROR(__xludf.DUMMYFUNCTION("IFERROR(
  MAX(FILTER(BK75:CW75, ISNUMBER(BK75:CW75))),
  CW75
)"),1.0)</f>
        <v>1</v>
      </c>
      <c r="CY75" s="104">
        <f>IFERROR(VLOOKUP($B75,'LOD 300 - COLO2'!$B:S,18,FALSE),"N/A")</f>
        <v>0.68</v>
      </c>
      <c r="CZ75" s="117" t="str">
        <f>IFERROR(VLOOKUP($B75,'LOD 300 - COLO2'!$B:V,21,FALSE),"N/A")</f>
        <v>OUTDATED MODEL</v>
      </c>
      <c r="DA75" s="117" t="str">
        <f>IFERROR(VLOOKUP($B75,'LOD 300 - COLO2'!$B:Y,24,FALSE),"N/A")</f>
        <v>OUTDATED MODEL</v>
      </c>
      <c r="DB75" s="117">
        <f>IFERROR(VLOOKUP($B75,'LOD 300 - COLO2'!$B:AB,27,FALSE),"N/A")</f>
        <v>0.97</v>
      </c>
      <c r="DC75" s="92" t="str">
        <f>IFERROR(VLOOKUP($B75,'LOD 300 - COLO2'!$B:AE,30,FALSE),"N/A")</f>
        <v>OUTDATED MODEL</v>
      </c>
      <c r="DD75" s="120">
        <f>IFERROR(VLOOKUP($B75,'LOD 300 - COLO2'!$B:AH,33,FALSE),"N/A")</f>
        <v>1</v>
      </c>
      <c r="DE75" s="117">
        <f>IFERROR(VLOOKUP($B75,'LOD 300 - COLO2'!$B:AK,36,FALSE),"N/A")</f>
        <v>1</v>
      </c>
      <c r="DF75" s="117">
        <f>IFERROR(VLOOKUP($B75,'LOD 300 - COLO2'!$B:AN,39,FALSE),"N/A")</f>
        <v>1</v>
      </c>
      <c r="DG75" s="119">
        <f>IFERROR(VLOOKUP($B75,'LOD 300 - COLO2'!$B:AQ,42,FALSE),"N/A")</f>
        <v>1</v>
      </c>
      <c r="DH75" s="87">
        <f>IFERROR(VLOOKUP($B75,'LOD 300 - COLO2'!$B:AT,45,FALSE),"N/A")</f>
        <v>1</v>
      </c>
      <c r="DI75" s="94">
        <f>IFERROR(VLOOKUP($B75,'LOD 300 - COLO2'!$B:AW,48,FALSE),"N/A")</f>
        <v>1</v>
      </c>
      <c r="DJ75" s="95">
        <f>IFERROR(VLOOKUP($B75,'LOD 300 - COLO2'!$B:AZ,51,FALSE),"N/A")</f>
        <v>1</v>
      </c>
      <c r="DK75" s="86">
        <f>IFERROR(VLOOKUP($B75,'LOD 300 - COLO2'!$B:BC,54,FALSE),"N/A")</f>
        <v>1</v>
      </c>
      <c r="DL75" s="86">
        <f>IFERROR(VLOOKUP($B75,'LOD 300 - COLO2'!$B:BF,57,FALSE),"N/A")</f>
        <v>1</v>
      </c>
      <c r="DM75" s="86">
        <f>IFERROR(VLOOKUP($B75,'LOD 300 - COLO2'!$B:BI,60,FALSE),"N/A")</f>
        <v>1</v>
      </c>
      <c r="DN75" s="86">
        <f>IFERROR(VLOOKUP($B75,'LOD 300 - COLO2'!$B:BL,63,FALSE),"N/A")</f>
        <v>1</v>
      </c>
      <c r="DO75" s="86">
        <f>IFERROR(VLOOKUP($B75,'LOD 300 - COLO2'!$B:BO,66,FALSE),"N/A")</f>
        <v>1</v>
      </c>
      <c r="DP75" s="87">
        <f>IFERROR(VLOOKUP($B75,'LOD 300 - COLO2'!$B:BR,69,FALSE),"N/A")</f>
        <v>1</v>
      </c>
      <c r="DQ75" s="87">
        <f>IFERROR(VLOOKUP($B75,'LOD 300 - COLO2'!$B:BU,72,FALSE),"N/A")</f>
        <v>1</v>
      </c>
      <c r="DR75" s="87">
        <f>IFERROR(VLOOKUP($B75,'LOD 300 - COLO2'!$B:BX,75,FALSE),"N/A")</f>
        <v>1</v>
      </c>
      <c r="DS75" s="98">
        <f>IFERROR(VLOOKUP($B75,'LOD 300 - COLO2'!$B:CA,78,FALSE),"N/A")</f>
        <v>1</v>
      </c>
      <c r="DT75" s="98">
        <f>IFERROR(VLOOKUP($B75,'LOD 300 - COLO2'!$B:CD,81,FALSE),"N/A")</f>
        <v>1</v>
      </c>
      <c r="DU75" s="98">
        <f>IFERROR(VLOOKUP($B75,'LOD 300 - COLO2'!$B:CG,84,FALSE),"N/A")</f>
        <v>1</v>
      </c>
      <c r="DV75" s="98">
        <f>IFERROR(VLOOKUP($B75,'LOD 300 - COLO2'!$B:CJ,87,FALSE),"N/A")</f>
        <v>1</v>
      </c>
      <c r="DW75" s="98">
        <f>IFERROR(VLOOKUP($B75,'LOD 300 - COLO2'!$B:CM,90,FALSE),"N/A")</f>
        <v>1</v>
      </c>
      <c r="DX75" s="98">
        <f>IFERROR(VLOOKUP($B75,'LOD 300 - COLO2'!$B:CP,93,FALSE),"N/A")</f>
        <v>1</v>
      </c>
      <c r="DY75" s="87">
        <f>IFERROR(VLOOKUP($B75,'LOD 300 - COLO2'!$B:CS,96,FALSE),"N/A")</f>
        <v>1</v>
      </c>
      <c r="DZ75" s="87">
        <f>IFERROR(VLOOKUP($B75,'LOD 300 - COLO2'!$B:CV,99,FALSE),"N/A")</f>
        <v>1</v>
      </c>
      <c r="EA75" s="87">
        <f>IFERROR(VLOOKUP($B75,'LOD 300 - COLO2'!$B:DB,105,FALSE),"N/A")</f>
        <v>1</v>
      </c>
      <c r="EB75" s="87">
        <f>IFERROR(VLOOKUP($B75,'LOD 300 - COLO2'!$B:DB,105,FALSE),"N/A")</f>
        <v>1</v>
      </c>
      <c r="EC75" s="87">
        <f>IFERROR(VLOOKUP($B75,'LOD 300 - COLO2'!$B:DE,108,FALSE),"N/A")</f>
        <v>1</v>
      </c>
      <c r="ED75" s="87">
        <f>IFERROR(VLOOKUP($B75,'LOD 300 - COLO2'!$B:DH,111,FALSE),"N/A")</f>
        <v>1</v>
      </c>
      <c r="EE75" s="87">
        <f>IFERROR(VLOOKUP($B75,'LOD 300 - COLO2'!$B:DK,114,FALSE),"N/A")</f>
        <v>1</v>
      </c>
      <c r="EF75" s="87">
        <f>IFERROR(VLOOKUP($B75,'LOD 300 - COLO2'!$B:DN,117,FALSE),"N/A")</f>
        <v>1</v>
      </c>
      <c r="EG75" s="87">
        <f>IFERROR(VLOOKUP($B75,'LOD 300 - COLO2'!$B:DQ,120,FALSE),"N/A")</f>
        <v>1</v>
      </c>
      <c r="EH75" s="99">
        <f>IFERROR(__xludf.DUMMYFUNCTION("IFERROR(
  MAX(FILTER(CZ75:EG75, ISNUMBER(CZ75:EG75))),
  EG75
)"),1.0)</f>
        <v>1</v>
      </c>
      <c r="EI75" s="100">
        <f>IFERROR(VLOOKUP($B75,'LOD 300 - COLO3'!$B:R,17,FALSE),"N/A")</f>
        <v>0</v>
      </c>
      <c r="EJ75" s="127" t="str">
        <f>IFERROR(VLOOKUP($B75,'LOD 300 - COLO3'!$B:U,20,FALSE),"N/A")</f>
        <v>NEXT ROUND</v>
      </c>
      <c r="EK75" s="127">
        <f>IFERROR(VLOOKUP($B75,'LOD 300 - COLO3'!$B:X,23,FALSE),"N/A")</f>
        <v>0.92</v>
      </c>
      <c r="EL75" s="127" t="str">
        <f>IFERROR(VLOOKUP($B75,'LOD 300 - COLO3'!$B:AA,26,FALSE),"N/A")</f>
        <v>OUTDATED MODEL</v>
      </c>
      <c r="EM75" s="127" t="str">
        <f>IFERROR(VLOOKUP($B75,'LOD 300 - COLO3'!$B:AD,29,FALSE),"N/A")</f>
        <v>OUTDATED MODEL</v>
      </c>
      <c r="EN75" s="127" t="str">
        <f>IFERROR(VLOOKUP($B75,'LOD 300 - COLO3'!$B:AG,32,FALSE),"N/A")</f>
        <v>OUTDATED MODEL</v>
      </c>
      <c r="EO75" s="127" t="str">
        <f>IFERROR(VLOOKUP($B75,'LOD 300 - COLO3'!$B:AJ,35,FALSE),"N/A")</f>
        <v>OUTDATED MODEL</v>
      </c>
      <c r="EP75" s="100" t="str">
        <f>IFERROR(VLOOKUP($B75,'LOD 300 - COLO3'!$B:AM,38,FALSE),"N/A")</f>
        <v>IMPROPER</v>
      </c>
      <c r="EQ75" s="100" t="str">
        <f>IFERROR(VLOOKUP($B75,'LOD 300 - COLO3'!$B:AP,41,FALSE),"N/A")</f>
        <v>OUTDATED MODEL</v>
      </c>
      <c r="ER75" s="100" t="str">
        <f>IFERROR(VLOOKUP($B75,'LOD 300 - COLO3'!$B:AS,44,FALSE),"N/A")</f>
        <v>OUTDATED MODEL</v>
      </c>
      <c r="ES75" s="100" t="str">
        <f>IFERROR(VLOOKUP($B75,'LOD 300 - COLO3'!$B:AV,47,FALSE),"N/A")</f>
        <v>IMPROPER</v>
      </c>
      <c r="ET75" s="100" t="str">
        <f>IFERROR(VLOOKUP($B75,'LOD 300 - COLO3'!$B:AY,50,FALSE),"N/A")</f>
        <v>OUTDATED MODEL</v>
      </c>
      <c r="EU75" s="100" t="str">
        <f>IFERROR(VLOOKUP($B75,'LOD 300 - COLO3'!$B:BB,53,FALSE),"N/A")</f>
        <v>OUTDATED MODEL</v>
      </c>
      <c r="EV75" s="100" t="str">
        <f>IFERROR(VLOOKUP($B75,'LOD 300 - COLO3'!$B:BE,56,FALSE),"N/A")</f>
        <v>OUTDATED MODEL</v>
      </c>
      <c r="EW75" s="100">
        <f>IFERROR(VLOOKUP($B75,'LOD 300 - COLO3'!$B:BL,59,FALSE),"N/A")</f>
        <v>1</v>
      </c>
      <c r="EX75" s="100">
        <f>IFERROR(VLOOKUP($B75,'LOD 300 - COLO3'!$B:BO,62,FALSE),"N/A")</f>
        <v>1</v>
      </c>
      <c r="EY75" s="103">
        <f>IFERROR(__xludf.DUMMYFUNCTION("IFERROR(
  MAX(FILTER(EI75:EX75, ISNUMBER(EI75:EX75))),
  EX75
)"),1.0)</f>
        <v>1</v>
      </c>
      <c r="EZ75" s="104">
        <f>IFERROR(VLOOKUP($B75,'LOD 300 - COLO4'!$B:BT,17,FALSE),"N/A")</f>
        <v>0</v>
      </c>
      <c r="FA75" s="103">
        <f>IFERROR(__xludf.DUMMYFUNCTION("IFERROR(
  MAX(FILTER(EZ75, ISNUMBER(EZ75))),
  EZ75
)"),0.0)</f>
        <v>0</v>
      </c>
      <c r="FB75" s="121" t="str">
        <f>IFERROR(VLOOKUP($B75,'LOD 300 - SITE'!$B:S,18,FALSE),"N/A")</f>
        <v>N/A</v>
      </c>
      <c r="FC75" s="122" t="str">
        <f>IFERROR(VLOOKUP($B75,'LOD 300 - SITE'!$B:V,21,FALSE),"N/A")</f>
        <v>N/A</v>
      </c>
      <c r="FD75" s="122" t="str">
        <f>IFERROR(VLOOKUP($B75,'LOD 300 - SITE'!$B:Y,24,FALSE),"N/A")</f>
        <v>N/A</v>
      </c>
      <c r="FE75" s="122" t="str">
        <f>IFERROR(VLOOKUP($B75,'LOD 300 - SITE'!$B:AB,27,FALSE),"N/A")</f>
        <v>N/A</v>
      </c>
      <c r="FF75" s="122" t="str">
        <f>IFERROR(VLOOKUP($B75,'LOD 300 - SITE'!$B:AE,30,FALSE),"N/A")</f>
        <v>N/A</v>
      </c>
      <c r="FG75" s="122" t="str">
        <f>IFERROR(VLOOKUP($B75,'LOD 300 - SITE'!$B:AH,33,FALSE),"N/A")</f>
        <v>N/A</v>
      </c>
      <c r="FH75" s="122" t="str">
        <f>IFERROR(VLOOKUP($B75,'LOD 300 - SITE'!$B:AK,36,FALSE),"N/A")</f>
        <v>N/A</v>
      </c>
      <c r="FI75" s="122" t="str">
        <f>IFERROR(VLOOKUP($B75,'LOD 300 - SITE'!$B:AN,39,FALSE),"N/A")</f>
        <v>N/A</v>
      </c>
      <c r="FJ75" s="122" t="str">
        <f>IFERROR(VLOOKUP($B75,'LOD 300 - SITE'!$B:AQ,42,FALSE),"N/A")</f>
        <v>N/A</v>
      </c>
      <c r="FK75" s="122" t="str">
        <f>IFERROR(VLOOKUP($B75,'LOD 300 - SITE'!$B:AT,45,FALSE),"N/A")</f>
        <v>N/A</v>
      </c>
      <c r="FL75" s="123" t="str">
        <f>IFERROR(VLOOKUP($B75,'LOD 300 - SITE'!$B:AW,48,FALSE),"N/A")</f>
        <v>N/A</v>
      </c>
      <c r="FM75" s="87" t="str">
        <f>IFERROR(VLOOKUP($B75,'LOD 300 - SITE'!$B:AZ,51,FALSE),"N/A")</f>
        <v>N/A</v>
      </c>
      <c r="FN75" s="94" t="str">
        <f>IFERROR(VLOOKUP($B75,'LOD 300 - SITE'!$B:BC,54,FALSE),"N/A")</f>
        <v>N/A</v>
      </c>
      <c r="FO75" s="95" t="str">
        <f>IFERROR(VLOOKUP($B75,'LOD 300 - SITE'!$B:BF,57,FALSE),"N/A")</f>
        <v>N/A</v>
      </c>
      <c r="FP75" s="86" t="str">
        <f>IFERROR(VLOOKUP($B75,'LOD 300 - SITE'!$B:BI,60,FALSE),"N/A")</f>
        <v>N/A</v>
      </c>
      <c r="FQ75" s="86" t="str">
        <f>IFERROR(VLOOKUP($B75,'LOD 300 - SITE'!$B:BL,63,FALSE),"N/A")</f>
        <v>N/A</v>
      </c>
      <c r="FR75" s="86" t="str">
        <f>IFERROR(VLOOKUP($B75,'LOD 300 - SITE'!$B:BO,66,FALSE),"N/A")</f>
        <v>N/A</v>
      </c>
      <c r="FS75" s="86" t="str">
        <f>IFERROR(VLOOKUP($B75,'LOD 300 - SITE'!$B:BR,69,FALSE),"N/A")</f>
        <v>N/A</v>
      </c>
      <c r="FT75" s="86" t="str">
        <f>IFERROR(VLOOKUP($B75,'LOD 300 - SITE'!$B:BU,72,FALSE),"N/A")</f>
        <v>N/A</v>
      </c>
      <c r="FU75" s="86" t="str">
        <f>IFERROR(VLOOKUP($B75,'LOD 300 - SITE'!$B:BX,75,FALSE),"N/A")</f>
        <v>N/A</v>
      </c>
      <c r="FV75" s="86" t="str">
        <f>IFERROR(VLOOKUP($B75,'LOD 300 - SITE'!$B:CA,78,FALSE),"N/A")</f>
        <v>N/A</v>
      </c>
      <c r="FW75" s="87" t="str">
        <f>IFERROR(VLOOKUP($B75,'LOD 300 - SITE'!$B:CD,81,FALSE),"N/A")</f>
        <v>N/A</v>
      </c>
      <c r="FX75" s="108" t="str">
        <f>IFERROR(VLOOKUP($B75,'LOD 300 - SITE'!$B:CG,84,FALSE),"N/A")</f>
        <v>N/A</v>
      </c>
      <c r="FY75" s="108" t="str">
        <f>IFERROR(VLOOKUP($B75,'LOD 300 - SITE'!$B:CJ,87,FALSE),"N/A")</f>
        <v>N/A</v>
      </c>
      <c r="FZ75" s="108" t="str">
        <f>IFERROR(VLOOKUP($B75,'LOD 300 - SITE'!$B:CM,90,FALSE),"N/A")</f>
        <v>N/A</v>
      </c>
      <c r="GA75" s="108" t="str">
        <f>IFERROR(VLOOKUP($B75,'LOD 300 - SITE'!$B:CP,93,FALSE),"N/A")</f>
        <v>N/A</v>
      </c>
      <c r="GB75" s="108" t="str">
        <f>IFERROR(VLOOKUP($B75,'LOD 300 - SITE'!$B:CS,96,FALSE),"N/A")</f>
        <v>N/A</v>
      </c>
      <c r="GC75" s="109" t="str">
        <f>IFERROR(VLOOKUP($B75,'LOD 300 - SITE'!$B:CV,99,FALSE),"N/A")</f>
        <v>N/A</v>
      </c>
      <c r="GD75" s="87" t="str">
        <f>IFERROR(VLOOKUP($B75,'LOD 300 - SITE'!$B:CY,102,FALSE),"N/A")</f>
        <v>N/A</v>
      </c>
      <c r="GE75" s="87" t="str">
        <f>IFERROR(VLOOKUP($B75,'LOD 300 - SITE'!$B:DB,105,FALSE),"N/A")</f>
        <v>N/A</v>
      </c>
      <c r="GF75" s="87" t="str">
        <f>IFERROR(VLOOKUP($B75,'LOD 300 - SITE'!$B:DE,108,FALSE),"N/A")</f>
        <v>N/A</v>
      </c>
      <c r="GG75" s="87" t="str">
        <f>IFERROR(VLOOKUP($B75,'LOD 300 - SITE'!$B:DH,111,FALSE),"N/A")</f>
        <v>N/A</v>
      </c>
      <c r="GH75" s="87" t="str">
        <f>IFERROR(VLOOKUP($B75,'LOD 300 - SITE'!$B:DK,114,FALSE),"N/A")</f>
        <v>N/A</v>
      </c>
      <c r="GI75" s="87" t="str">
        <f>IFERROR(VLOOKUP($B75,'LOD 300 - SITE'!$B:DN,117,FALSE),"N/A")</f>
        <v>N/A</v>
      </c>
      <c r="GJ75" s="87" t="str">
        <f>IFERROR(VLOOKUP($B75,'LOD 300 - SITE'!$B:DQ,120,FALSE),"N/A")</f>
        <v>N/A</v>
      </c>
      <c r="GK75" s="87" t="str">
        <f>IFERROR(VLOOKUP($B75,'LOD 300 - SITE'!$B:DT,123,FALSE),"N/A")</f>
        <v>N/A</v>
      </c>
      <c r="GL75" s="87" t="str">
        <f>IFERROR(VLOOKUP($B75,'LOD 300 - SITE'!$B:DW,126,FALSE),"N/A")</f>
        <v>N/A</v>
      </c>
      <c r="GM75" s="110" t="str">
        <f>IFERROR(__xludf.DUMMYFUNCTION("IFERROR(
  MAX(FILTER(FB75:GL75, ISNUMBER(FB75:GL75))),
  GL75
)"),"N/A")</f>
        <v>N/A</v>
      </c>
      <c r="GN75" s="111"/>
      <c r="GO75" s="111"/>
      <c r="GP75" s="111"/>
    </row>
    <row r="76" ht="15.0" customHeight="1" outlineLevel="1">
      <c r="A76" s="60">
        <v>79.0</v>
      </c>
      <c r="B76" s="140" t="s">
        <v>252</v>
      </c>
      <c r="C76" s="70" t="s">
        <v>253</v>
      </c>
      <c r="D76" s="71" t="s">
        <v>90</v>
      </c>
      <c r="E76" s="146" t="s">
        <v>169</v>
      </c>
      <c r="F76" s="13">
        <v>1112.0</v>
      </c>
      <c r="G76" s="139" t="s">
        <v>169</v>
      </c>
      <c r="H76" s="139">
        <v>1112.0</v>
      </c>
      <c r="I76" s="74" t="str">
        <f>IFERROR(VLOOKUP(C73:C215,'R22 RELATÓRIO ACC'!B:F,5,FALSE),"NOT PUBLISHED")</f>
        <v>V14</v>
      </c>
      <c r="J76" s="74" t="str">
        <f>IFERROR(VLOOKUP(C73:C215,'R22 RELATÓRIO ACC'!B:P,15,FALSE),"NOT PUBLISHED")</f>
        <v>03/03/2026</v>
      </c>
      <c r="K76" s="141" t="str">
        <f>IFERROR(VLOOKUP(B73:B263,'RELATÓRIO ACC'!B:F,5,FALSE),"NOT PUBLISHED")</f>
        <v>V4</v>
      </c>
      <c r="L76" s="142" t="str">
        <f>IFERROR(VLOOKUP(B73:B263,'RELATÓRIO ACC'!B:P,15,FALSE),"NOT PUBLISHED")</f>
        <v>13/07/2026</v>
      </c>
      <c r="M76" s="76" t="str">
        <f>IF(OR($D76="UTLS",$D76="GUAR",$D76="STIR",$D76="PUMP",$D76="SITE"),
   VLOOKUP($B76,'LOD 300 - SITE'!B:M,12,FALSE),
   VLOOKUP($B76,'LOD 300 - ADMN'!B:M,12,FALSE)
)</f>
        <v>V8</v>
      </c>
      <c r="N76" s="77">
        <f>IF(OR($D76="UTLS",$D76="GUAR",$D76="STIR",$D76="PUMP",$D76="SITE"),
   VLOOKUP($B76,'LOD 300 - SITE'!B:N,13,FALSE),
   VLOOKUP($B76,'LOD 300 - ADMN'!B:N,13,FALSE)
)</f>
        <v>45915</v>
      </c>
      <c r="O76" s="114" t="str">
        <f>IF(OR($D76="UTLS",$D76="GUAR",$D76="STIR",$D76="PUMP",$D76="SITE"),
   VLOOKUP($B76,'LOD 300 - SITE'!B:O,14,FALSE),
   VLOOKUP($B76,'LOD 300 - ADMN'!B:O,14,FALSE)
)</f>
        <v>R22</v>
      </c>
      <c r="P76" s="79" t="str">
        <f>IF(OR($D76="C345",$D76="C12A",$D76="DATA"),
   VLOOKUP($B76,'LOD 300 - COLO3'!B:M,12,FALSE),"N/A")</f>
        <v>N/A</v>
      </c>
      <c r="Q76" s="76" t="str">
        <f>IF(OR($D76="C345",$D76="C12A",$D76="DATA"),
   VLOOKUP($B76,'LOD 300 - COLO3'!B:N,13,FALSE),"N/A")</f>
        <v>N/A</v>
      </c>
      <c r="R76" s="76" t="str">
        <f>IF(OR($D76="C345",$D76="C12A",$D76="DATA"),
   VLOOKUP($B76,'LOD 300 - COLO3'!B:O,14,FALSE),"N/A")</f>
        <v>N/A</v>
      </c>
      <c r="S76" s="79" t="str">
        <f>IF(OR($D76="C345",$D76="C12A",$D76="DATA"),
   VLOOKUP($B76,'LOD 300 - COLO4'!B:M,12,FALSE),"N/A")</f>
        <v>N/A</v>
      </c>
      <c r="T76" s="76" t="str">
        <f>IF(OR($D76="C345",$D76="C12A",$D76="DATA"),
   VLOOKUP($B76,'LOD 300 - COLO4'!B:T,13,FALSE),"N/A")</f>
        <v>N/A</v>
      </c>
      <c r="U76" s="76" t="str">
        <f>IF(OR($D76="C345",$D76="C12A",$D76="DATA"),
   VLOOKUP($B76,'LOD 300 - COLO4'!B:U,17,FALSE),"N/A")</f>
        <v>N/A</v>
      </c>
      <c r="V76" s="126" t="s">
        <v>129</v>
      </c>
      <c r="W76" s="144" t="str">
        <f>IFERROR(VLOOKUP($B76,'LOD 300 - ADMN'!$B:S,18,FALSE),"N/A")</f>
        <v>N/A</v>
      </c>
      <c r="X76" s="122" t="str">
        <f>IFERROR(VLOOKUP($B76,'LOD 300 - ADMN'!$B:V,21,FALSE),"N/A")</f>
        <v>N/A</v>
      </c>
      <c r="Y76" s="122" t="str">
        <f>IFERROR(VLOOKUP($B76,'LOD 300 - ADMN'!$B:Y,24,FALSE),"N/A")</f>
        <v>N/A</v>
      </c>
      <c r="Z76" s="122" t="str">
        <f>IFERROR(VLOOKUP($B76,'LOD 300 - ADMN'!$B:AB,27,FALSE),"N/A")</f>
        <v>N/A</v>
      </c>
      <c r="AA76" s="122" t="str">
        <f>IFERROR(VLOOKUP($B76,'LOD 300 - ADMN'!$B:AE,30,FALSE),"N/A")</f>
        <v>N/A</v>
      </c>
      <c r="AB76" s="145" t="str">
        <f>IFERROR(VLOOKUP($B76,'LOD 300 - ADMN'!$B:AH,33,FALSE),"N/A")</f>
        <v>N/A</v>
      </c>
      <c r="AC76" s="145" t="str">
        <f>IFERROR(VLOOKUP($B76,'LOD 300 - ADMN'!$B:AK,36,FALSE),"N/A")</f>
        <v>N/A</v>
      </c>
      <c r="AD76" s="122" t="str">
        <f>IFERROR(VLOOKUP($B76,'LOD 300 - ADMN'!$B:AN,39,FALSE),"N/A")</f>
        <v>N/A</v>
      </c>
      <c r="AE76" s="122" t="str">
        <f>IFERROR(VLOOKUP($B76,'LOD 300 - ADMN'!$B:AQ,42,FALSE),"N/A")</f>
        <v>N/A</v>
      </c>
      <c r="AF76" s="122" t="str">
        <f>IFERROR(VLOOKUP($B76,'LOD 300 - ADMN'!$B:AT,45,FALSE),"N/A")</f>
        <v>N/A</v>
      </c>
      <c r="AG76" s="122" t="str">
        <f>IFERROR(VLOOKUP($B76,'LOD 300 - ADMN'!$B:AW,48,FALSE),"N/A")</f>
        <v>N/A</v>
      </c>
      <c r="AH76" s="122" t="str">
        <f>IFERROR(VLOOKUP($B76,'LOD 300 - ADMN'!$B:AZ,51,FALSE),"N/A")</f>
        <v>N/A</v>
      </c>
      <c r="AI76" s="122" t="str">
        <f>IFERROR(VLOOKUP($B76,'LOD 300 - ADMN'!$B:BC,54,FALSE),"N/A")</f>
        <v>N/A</v>
      </c>
      <c r="AJ76" s="87" t="str">
        <f>IFERROR(VLOOKUP($B76,'LOD 300 - ADMN'!$B:BF,57,FALSE),"N/A")</f>
        <v>N/A</v>
      </c>
      <c r="AK76" s="87" t="str">
        <f>IFERROR(VLOOKUP($B76,'LOD 300 - ADMN'!$B:EP,60,FALSE),"N/A")</f>
        <v>N/A</v>
      </c>
      <c r="AL76" s="87" t="str">
        <f>IFERROR(VLOOKUP($B76,'LOD 300 - ADMN'!$B:EQ,63,FALSE),"N/A")</f>
        <v>N/A</v>
      </c>
      <c r="AM76" s="87" t="str">
        <f>IFERROR(VLOOKUP($B76,'LOD 300 - ADMN'!$B:BO,66,FALSE),"N/A")</f>
        <v>N/A</v>
      </c>
      <c r="AN76" s="87" t="str">
        <f>IFERROR(VLOOKUP($B76,'LOD 300 - ADMN'!$B:BR,69,FALSE),"N/A")</f>
        <v>N/A</v>
      </c>
      <c r="AO76" s="87" t="str">
        <f>IFERROR(VLOOKUP($B76,'LOD 300 - ADMN'!$B:BU,72,FALSE),"N/A")</f>
        <v>N/A</v>
      </c>
      <c r="AP76" s="87" t="str">
        <f>IFERROR(VLOOKUP($B76,'LOD 300 - ADMN'!$B:BX,75,FALSE),"N/A")</f>
        <v>N/A</v>
      </c>
      <c r="AQ76" s="87" t="str">
        <f>IFERROR(VLOOKUP($B76,'LOD 300 - ADMN'!$B:CA,78,FALSE),"N/A")</f>
        <v>N/A</v>
      </c>
      <c r="AR76" s="87" t="str">
        <f>IFERROR(VLOOKUP($B76,'LOD 300 - ADMN'!$B:CD,81,FALSE),"N/A")</f>
        <v>N/A</v>
      </c>
      <c r="AS76" s="87" t="str">
        <f>IFERROR(VLOOKUP($B76,'LOD 300 - ADMN'!$B:CG,84,FALSE),"N/A")</f>
        <v>N/A</v>
      </c>
      <c r="AT76" s="87" t="str">
        <f>IFERROR(VLOOKUP($B76,'LOD 300 - ADMN'!$B:CJ,87,FALSE),"N/A")</f>
        <v>N/A</v>
      </c>
      <c r="AU76" s="88" t="str">
        <f>IFERROR(VLOOKUP($B76,'LOD 300 - ADMN'!$B:CM,90,FALSE),"N/A")</f>
        <v>N/A</v>
      </c>
      <c r="AV76" s="88" t="str">
        <f>IFERROR(VLOOKUP($B76,'LOD 300 - ADMN'!$B:CP,93,FALSE),"N/A")</f>
        <v>N/A</v>
      </c>
      <c r="AW76" s="88" t="str">
        <f>IFERROR(VLOOKUP($B76,'LOD 300 - ADMN'!$B:CS,96,FALSE),"N/A")</f>
        <v>N/A</v>
      </c>
      <c r="AX76" s="88" t="str">
        <f>IFERROR(VLOOKUP($B76,'LOD 300 - ADMN'!$B:CV,99,FALSE),"N/A")</f>
        <v>N/A</v>
      </c>
      <c r="AY76" s="88" t="str">
        <f>IFERROR(VLOOKUP($B76,'LOD 300 - ADMN'!$B:CY,102,FALSE),"N/A")</f>
        <v>N/A</v>
      </c>
      <c r="AZ76" s="88" t="str">
        <f>IFERROR(VLOOKUP($B76,'LOD 300 - ADMN'!$B:DB,105,FALSE),"N/A")</f>
        <v>N/A</v>
      </c>
      <c r="BA76" s="87" t="str">
        <f>IFERROR(VLOOKUP($B76,'LOD 300 - ADMN'!$B:DE,108,FALSE),"N/A")</f>
        <v>N/A</v>
      </c>
      <c r="BB76" s="87" t="str">
        <f>IFERROR(VLOOKUP($B76,'LOD 300 - ADMN'!$B:DH,111,FALSE),"N/A")</f>
        <v>N/A</v>
      </c>
      <c r="BC76" s="87" t="str">
        <f>IFERROR(VLOOKUP($B76,'LOD 300 - ADMN'!$B:DK,114,FALSE),"N/A")</f>
        <v>N/A</v>
      </c>
      <c r="BD76" s="87" t="str">
        <f>IFERROR(VLOOKUP($B76,'LOD 300 - ADMN'!$B:DN,117,FALSE),"N/A")</f>
        <v>N/A</v>
      </c>
      <c r="BE76" s="87" t="str">
        <f>IFERROR(VLOOKUP($B76,'LOD 300 - ADMN'!$B:DQ,120,FALSE),"N/A")</f>
        <v>N/A</v>
      </c>
      <c r="BF76" s="87" t="str">
        <f>IFERROR(VLOOKUP($B76,'LOD 300 - ADMN'!$B:DT,123,FALSE),"N/A")</f>
        <v>N/A</v>
      </c>
      <c r="BG76" s="87" t="str">
        <f>IFERROR(VLOOKUP($B76,'LOD 300 - ADMN'!$B:DW,126,FALSE),"N/A")</f>
        <v>N/A</v>
      </c>
      <c r="BH76" s="87" t="str">
        <f>IFERROR(VLOOKUP($B76,'LOD 300 - ADMN'!$B:DZ,129,FALSE),"N/A")</f>
        <v>N/A</v>
      </c>
      <c r="BI76" s="87" t="str">
        <f>IFERROR(VLOOKUP($B76,'LOD 300 - ADMN'!$B:EC,132,FALSE),"N/A")</f>
        <v>N/A</v>
      </c>
      <c r="BJ76" s="90" t="str">
        <f>IFERROR(__xludf.DUMMYFUNCTION("IFERROR(
  MAX(FILTER(X76:BI76, ISNUMBER(X76:BI76))),
  BI76
)"),"N/A")</f>
        <v>N/A</v>
      </c>
      <c r="BK76" s="91" t="str">
        <f>IFERROR(VLOOKUP($B76,'LOD 300 - COLO1'!$B:S,18,FALSE),"N/A")</f>
        <v>N/A</v>
      </c>
      <c r="BL76" s="92" t="str">
        <f>IFERROR(VLOOKUP($B76,'LOD 300 - COLO1'!$B:V,21,FALSE),"N/A")</f>
        <v>N/A</v>
      </c>
      <c r="BM76" s="92" t="str">
        <f>IFERROR(VLOOKUP($B76,'LOD 300 - COLO1'!$B:Y,24,FALSE),"N/A")</f>
        <v>N/A</v>
      </c>
      <c r="BN76" s="92" t="str">
        <f>IFERROR(VLOOKUP($B76,'LOD 300 - COLO1'!$B:AB,27,FALSE),"N/A")</f>
        <v>N/A</v>
      </c>
      <c r="BO76" s="92" t="str">
        <f>IFERROR(VLOOKUP($B76,'LOD 300 - COLO1'!$B:AE,30,FALSE),"N/A")</f>
        <v>N/A</v>
      </c>
      <c r="BP76" s="92" t="str">
        <f>IFERROR(VLOOKUP($B76,'LOD 300 - COLO1'!$B:AH,33,FALSE),"N/A")</f>
        <v>N/A</v>
      </c>
      <c r="BQ76" s="92" t="str">
        <f>IFERROR(VLOOKUP($B76,'LOD 300 - COLO1'!$B:AK,36,FALSE),"N/A")</f>
        <v>N/A</v>
      </c>
      <c r="BR76" s="92" t="str">
        <f>IFERROR(VLOOKUP($B76,'LOD 300 - COLO1'!$B:AN,39,FALSE),"N/A")</f>
        <v>N/A</v>
      </c>
      <c r="BS76" s="92" t="str">
        <f>IFERROR(VLOOKUP($B76,'LOD 300 - COLO1'!$B:AQ,42,FALSE),"N/A")</f>
        <v>N/A</v>
      </c>
      <c r="BT76" s="92" t="str">
        <f>IFERROR(VLOOKUP($B76,'LOD 300 - COLO1'!$B:AT,45,FALSE),"N/A")</f>
        <v>N/A</v>
      </c>
      <c r="BU76" s="92" t="str">
        <f>IFERROR(VLOOKUP($B76,'LOD 300 - COLO1'!$B:AW,48,FALSE),"N/A")</f>
        <v>N/A</v>
      </c>
      <c r="BV76" s="92" t="str">
        <f>IFERROR(VLOOKUP($B76,'LOD 300 - COLO1'!$B:AZ,51,FALSE),"N/A")</f>
        <v>N/A</v>
      </c>
      <c r="BW76" s="92" t="str">
        <f>IFERROR(VLOOKUP($B76,'LOD 300 - COLO1'!$B:BC,54,FALSE),"N/A")</f>
        <v>N/A</v>
      </c>
      <c r="BX76" s="94" t="str">
        <f>IFERROR(VLOOKUP($B76,'LOD 300 - COLO1'!$B:BF,57,FALSE),"N/A")</f>
        <v>N/A</v>
      </c>
      <c r="BY76" s="94" t="str">
        <f>IFERROR(VLOOKUP($B76,'LOD 300 - COLO1'!$B:BI,60,FALSE),"N/A")</f>
        <v>N/A</v>
      </c>
      <c r="BZ76" s="95" t="str">
        <f>IFERROR(VLOOKUP($B76,'LOD 300 - COLO1'!$B:BL,63,FALSE),"N/A")</f>
        <v>N/A</v>
      </c>
      <c r="CA76" s="86" t="str">
        <f>IFERROR(VLOOKUP($B76,'LOD 300 - COLO1'!$B:BO,66,FALSE),"N/A")</f>
        <v>N/A</v>
      </c>
      <c r="CB76" s="86" t="str">
        <f>IFERROR(VLOOKUP($B76,'LOD 300 - COLO1'!$B:BR,69,FALSE),"N/A")</f>
        <v>N/A</v>
      </c>
      <c r="CC76" s="86" t="str">
        <f>IFERROR(VLOOKUP($B76,'LOD 300 - COLO1'!$B:BU,72,FALSE),"N/A")</f>
        <v>N/A</v>
      </c>
      <c r="CD76" s="86" t="str">
        <f>IFERROR(VLOOKUP($B76,'LOD 300 - COLO1'!$B:BX,75,FALSE),"N/A")</f>
        <v>N/A</v>
      </c>
      <c r="CE76" s="86" t="str">
        <f>IFERROR(VLOOKUP($B76,'LOD 300 - COLO1'!$B:CA,78,FALSE),"N/A")</f>
        <v>N/A</v>
      </c>
      <c r="CF76" s="87" t="str">
        <f>IFERROR(VLOOKUP($B76,'LOD 300 - COLO1'!$B:CD,81,FALSE),"N/A")</f>
        <v>N/A</v>
      </c>
      <c r="CG76" s="86" t="str">
        <f>IFERROR(VLOOKUP($B76,'LOD 300 - COLO1'!$B:CG,84,FALSE),"N/A")</f>
        <v>N/A</v>
      </c>
      <c r="CH76" s="87" t="str">
        <f>IFERROR(VLOOKUP($B76,'LOD 300 - COLO1'!$B:CJ,87,FALSE),"N/A")</f>
        <v>N/A</v>
      </c>
      <c r="CI76" s="88" t="str">
        <f>IFERROR(VLOOKUP($B76,'LOD 300 - COLO1'!$B:CM,90,FALSE),"N/A")</f>
        <v>N/A</v>
      </c>
      <c r="CJ76" s="88" t="str">
        <f>IFERROR(VLOOKUP($B76,'LOD 300 - COLO1'!$B:CP,93,FALSE),"N/A")</f>
        <v>N/A</v>
      </c>
      <c r="CK76" s="88" t="str">
        <f>IFERROR(VLOOKUP($B76,'LOD 300 - COLO1'!$B:CS,96,FALSE),"N/A")</f>
        <v>N/A</v>
      </c>
      <c r="CL76" s="88" t="str">
        <f>IFERROR(VLOOKUP($B76,'LOD 300 - COLO1'!$B:CV,99,FALSE),"N/A")</f>
        <v>N/A</v>
      </c>
      <c r="CM76" s="88" t="str">
        <f>IFERROR(VLOOKUP($B76,'LOD 300 - COLO1'!$B:CY,102,FALSE),"N/A")</f>
        <v>N/A</v>
      </c>
      <c r="CN76" s="89" t="str">
        <f>IFERROR(VLOOKUP($B76,'LOD 300 - COLO1'!$B:DB,105,FALSE),"N/A")</f>
        <v>N/A</v>
      </c>
      <c r="CO76" s="87" t="str">
        <f>IFERROR(VLOOKUP($B76,'LOD 300 - COLO1'!$B:EE,108,FALSE),"N/A")</f>
        <v>N/A</v>
      </c>
      <c r="CP76" s="87" t="str">
        <f>IFERROR(VLOOKUP($B76,'LOD 300 - COLO1'!$B:EH,111,FALSE),"N/A")</f>
        <v>N/A</v>
      </c>
      <c r="CQ76" s="87" t="str">
        <f>IFERROR(VLOOKUP($B76,'LOD 300 - COLO1'!$B:EK,114,FALSE),"N/A")</f>
        <v>N/A</v>
      </c>
      <c r="CR76" s="87" t="str">
        <f>IFERROR(VLOOKUP($B76,'LOD 300 - COLO1'!$B:EN,117,FALSE),"N/A")</f>
        <v>N/A</v>
      </c>
      <c r="CS76" s="87" t="str">
        <f>IFERROR(VLOOKUP($B76,'LOD 300 - COLO1'!$B:EQ,120,FALSE),"N/A")</f>
        <v>N/A</v>
      </c>
      <c r="CT76" s="87" t="str">
        <f>IFERROR(VLOOKUP($B76,'LOD 300 - COLO1'!$B:ET,123,FALSE),"N/A")</f>
        <v>N/A</v>
      </c>
      <c r="CU76" s="87" t="str">
        <f>IFERROR(VLOOKUP($B76,'LOD 300 - COLO1'!$B:EW,126,FALSE),"N/A")</f>
        <v>N/A</v>
      </c>
      <c r="CV76" s="87" t="str">
        <f>IFERROR(VLOOKUP($B76,'LOD 300 - COLO1'!$B:EZ,129,FALSE),"N/A")</f>
        <v>N/A</v>
      </c>
      <c r="CW76" s="87" t="str">
        <f>IFERROR(VLOOKUP($B76,'LOD 300 - COLO1'!$B:FC,132,FALSE),"N/A")</f>
        <v>N/A</v>
      </c>
      <c r="CX76" s="96" t="str">
        <f>IFERROR(__xludf.DUMMYFUNCTION("IFERROR(
  MAX(FILTER(BK76:CW76, ISNUMBER(BK76:CW76))),
  CW76
)"),"N/A")</f>
        <v>N/A</v>
      </c>
      <c r="CY76" s="104" t="str">
        <f>IFERROR(VLOOKUP($B76,'LOD 300 - COLO2'!$B:S,18,FALSE),"N/A")</f>
        <v>N/A</v>
      </c>
      <c r="CZ76" s="117" t="str">
        <f>IFERROR(VLOOKUP($B76,'LOD 300 - COLO2'!$B:V,21,FALSE),"N/A")</f>
        <v>N/A</v>
      </c>
      <c r="DA76" s="117" t="str">
        <f>IFERROR(VLOOKUP($B76,'LOD 300 - COLO2'!$B:Y,24,FALSE),"N/A")</f>
        <v>N/A</v>
      </c>
      <c r="DB76" s="117" t="str">
        <f>IFERROR(VLOOKUP($B76,'LOD 300 - COLO2'!$B:AB,27,FALSE),"N/A")</f>
        <v>N/A</v>
      </c>
      <c r="DC76" s="92" t="str">
        <f>IFERROR(VLOOKUP($B76,'LOD 300 - COLO2'!$B:AE,30,FALSE),"N/A")</f>
        <v>N/A</v>
      </c>
      <c r="DD76" s="120" t="str">
        <f>IFERROR(VLOOKUP($B76,'LOD 300 - COLO2'!$B:AH,33,FALSE),"N/A")</f>
        <v>N/A</v>
      </c>
      <c r="DE76" s="117" t="str">
        <f>IFERROR(VLOOKUP($B76,'LOD 300 - COLO2'!$B:AK,36,FALSE),"N/A")</f>
        <v>N/A</v>
      </c>
      <c r="DF76" s="117" t="str">
        <f>IFERROR(VLOOKUP($B76,'LOD 300 - COLO2'!$B:AN,39,FALSE),"N/A")</f>
        <v>N/A</v>
      </c>
      <c r="DG76" s="119" t="str">
        <f>IFERROR(VLOOKUP($B76,'LOD 300 - COLO2'!$B:AQ,42,FALSE),"N/A")</f>
        <v>N/A</v>
      </c>
      <c r="DH76" s="87" t="str">
        <f>IFERROR(VLOOKUP($B76,'LOD 300 - COLO2'!$B:AT,45,FALSE),"N/A")</f>
        <v>N/A</v>
      </c>
      <c r="DI76" s="94" t="str">
        <f>IFERROR(VLOOKUP($B76,'LOD 300 - COLO2'!$B:AW,48,FALSE),"N/A")</f>
        <v>N/A</v>
      </c>
      <c r="DJ76" s="95" t="str">
        <f>IFERROR(VLOOKUP($B76,'LOD 300 - COLO2'!$B:AZ,51,FALSE),"N/A")</f>
        <v>N/A</v>
      </c>
      <c r="DK76" s="86" t="str">
        <f>IFERROR(VLOOKUP($B76,'LOD 300 - COLO2'!$B:BC,54,FALSE),"N/A")</f>
        <v>N/A</v>
      </c>
      <c r="DL76" s="86" t="str">
        <f>IFERROR(VLOOKUP($B76,'LOD 300 - COLO2'!$B:BF,57,FALSE),"N/A")</f>
        <v>N/A</v>
      </c>
      <c r="DM76" s="86" t="str">
        <f>IFERROR(VLOOKUP($B76,'LOD 300 - COLO2'!$B:BI,60,FALSE),"N/A")</f>
        <v>N/A</v>
      </c>
      <c r="DN76" s="86" t="str">
        <f>IFERROR(VLOOKUP($B76,'LOD 300 - COLO2'!$B:BL,63,FALSE),"N/A")</f>
        <v>N/A</v>
      </c>
      <c r="DO76" s="86" t="str">
        <f>IFERROR(VLOOKUP($B76,'LOD 300 - COLO2'!$B:BO,66,FALSE),"N/A")</f>
        <v>N/A</v>
      </c>
      <c r="DP76" s="87" t="str">
        <f>IFERROR(VLOOKUP($B76,'LOD 300 - COLO2'!$B:BR,69,FALSE),"N/A")</f>
        <v>N/A</v>
      </c>
      <c r="DQ76" s="87" t="str">
        <f>IFERROR(VLOOKUP($B76,'LOD 300 - COLO2'!$B:BU,72,FALSE),"N/A")</f>
        <v>N/A</v>
      </c>
      <c r="DR76" s="87" t="str">
        <f>IFERROR(VLOOKUP($B76,'LOD 300 - COLO2'!$B:BX,75,FALSE),"N/A")</f>
        <v>N/A</v>
      </c>
      <c r="DS76" s="98" t="str">
        <f>IFERROR(VLOOKUP($B76,'LOD 300 - COLO2'!$B:CA,78,FALSE),"N/A")</f>
        <v>N/A</v>
      </c>
      <c r="DT76" s="98" t="str">
        <f>IFERROR(VLOOKUP($B76,'LOD 300 - COLO2'!$B:CD,81,FALSE),"N/A")</f>
        <v>N/A</v>
      </c>
      <c r="DU76" s="98" t="str">
        <f>IFERROR(VLOOKUP($B76,'LOD 300 - COLO2'!$B:CG,84,FALSE),"N/A")</f>
        <v>N/A</v>
      </c>
      <c r="DV76" s="98" t="str">
        <f>IFERROR(VLOOKUP($B76,'LOD 300 - COLO2'!$B:CJ,87,FALSE),"N/A")</f>
        <v>N/A</v>
      </c>
      <c r="DW76" s="98" t="str">
        <f>IFERROR(VLOOKUP($B76,'LOD 300 - COLO2'!$B:CM,90,FALSE),"N/A")</f>
        <v>N/A</v>
      </c>
      <c r="DX76" s="98" t="str">
        <f>IFERROR(VLOOKUP($B76,'LOD 300 - COLO2'!$B:CP,93,FALSE),"N/A")</f>
        <v>N/A</v>
      </c>
      <c r="DY76" s="87" t="str">
        <f>IFERROR(VLOOKUP($B76,'LOD 300 - COLO2'!$B:CS,96,FALSE),"N/A")</f>
        <v>N/A</v>
      </c>
      <c r="DZ76" s="87" t="str">
        <f>IFERROR(VLOOKUP($B76,'LOD 300 - COLO2'!$B:CV,99,FALSE),"N/A")</f>
        <v>N/A</v>
      </c>
      <c r="EA76" s="87" t="str">
        <f>IFERROR(VLOOKUP($B76,'LOD 300 - COLO2'!$B:DB,105,FALSE),"N/A")</f>
        <v>N/A</v>
      </c>
      <c r="EB76" s="87" t="str">
        <f>IFERROR(VLOOKUP($B76,'LOD 300 - COLO2'!$B:DB,105,FALSE),"N/A")</f>
        <v>N/A</v>
      </c>
      <c r="EC76" s="87" t="str">
        <f>IFERROR(VLOOKUP($B76,'LOD 300 - COLO2'!$B:DE,108,FALSE),"N/A")</f>
        <v>N/A</v>
      </c>
      <c r="ED76" s="87" t="str">
        <f>IFERROR(VLOOKUP($B76,'LOD 300 - COLO2'!$B:DH,111,FALSE),"N/A")</f>
        <v>N/A</v>
      </c>
      <c r="EE76" s="87" t="str">
        <f>IFERROR(VLOOKUP($B76,'LOD 300 - COLO2'!$B:DK,114,FALSE),"N/A")</f>
        <v>N/A</v>
      </c>
      <c r="EF76" s="87" t="str">
        <f>IFERROR(VLOOKUP($B76,'LOD 300 - COLO2'!$B:DN,117,FALSE),"N/A")</f>
        <v>N/A</v>
      </c>
      <c r="EG76" s="87" t="str">
        <f>IFERROR(VLOOKUP($B76,'LOD 300 - COLO2'!$B:DQ,120,FALSE),"N/A")</f>
        <v>N/A</v>
      </c>
      <c r="EH76" s="99" t="str">
        <f>IFERROR(__xludf.DUMMYFUNCTION("IFERROR(
  MAX(FILTER(CZ76:EG76, ISNUMBER(CZ76:EG76))),
  EG76
)"),"N/A")</f>
        <v>N/A</v>
      </c>
      <c r="EI76" s="100" t="str">
        <f>IFERROR(VLOOKUP($B76,'LOD 300 - COLO3'!$B:R,17,FALSE),"N/A")</f>
        <v>N/A</v>
      </c>
      <c r="EJ76" s="127" t="str">
        <f>IFERROR(VLOOKUP($B76,'LOD 300 - COLO3'!$B:U,20,FALSE),"N/A")</f>
        <v>N/A</v>
      </c>
      <c r="EK76" s="127" t="str">
        <f>IFERROR(VLOOKUP($B76,'LOD 300 - COLO3'!$B:X,23,FALSE),"N/A")</f>
        <v>N/A</v>
      </c>
      <c r="EL76" s="127" t="str">
        <f>IFERROR(VLOOKUP($B76,'LOD 300 - COLO3'!$B:AA,26,FALSE),"N/A")</f>
        <v>N/A</v>
      </c>
      <c r="EM76" s="127" t="str">
        <f>IFERROR(VLOOKUP($B76,'LOD 300 - COLO3'!$B:AD,29,FALSE),"N/A")</f>
        <v>N/A</v>
      </c>
      <c r="EN76" s="127" t="str">
        <f>IFERROR(VLOOKUP($B76,'LOD 300 - COLO3'!$B:AG,32,FALSE),"N/A")</f>
        <v>N/A</v>
      </c>
      <c r="EO76" s="127" t="str">
        <f>IFERROR(VLOOKUP($B76,'LOD 300 - COLO3'!$B:AJ,35,FALSE),"N/A")</f>
        <v>N/A</v>
      </c>
      <c r="EP76" s="100" t="str">
        <f>IFERROR(VLOOKUP($B76,'LOD 300 - COLO3'!$B:AM,38,FALSE),"N/A")</f>
        <v>N/A</v>
      </c>
      <c r="EQ76" s="100" t="str">
        <f>IFERROR(VLOOKUP($B76,'LOD 300 - COLO3'!$B:AP,41,FALSE),"N/A")</f>
        <v>N/A</v>
      </c>
      <c r="ER76" s="100" t="str">
        <f>IFERROR(VLOOKUP($B76,'LOD 300 - COLO3'!$B:AS,44,FALSE),"N/A")</f>
        <v>N/A</v>
      </c>
      <c r="ES76" s="100" t="str">
        <f>IFERROR(VLOOKUP($B76,'LOD 300 - COLO3'!$B:AV,47,FALSE),"N/A")</f>
        <v>N/A</v>
      </c>
      <c r="ET76" s="100" t="str">
        <f>IFERROR(VLOOKUP($B76,'LOD 300 - COLO3'!$B:AY,50,FALSE),"N/A")</f>
        <v>N/A</v>
      </c>
      <c r="EU76" s="100" t="str">
        <f>IFERROR(VLOOKUP($B76,'LOD 300 - COLO3'!$B:BB,53,FALSE),"N/A")</f>
        <v>N/A</v>
      </c>
      <c r="EV76" s="100" t="str">
        <f>IFERROR(VLOOKUP($B76,'LOD 300 - COLO3'!$B:BE,56,FALSE),"N/A")</f>
        <v>N/A</v>
      </c>
      <c r="EW76" s="100" t="str">
        <f>IFERROR(VLOOKUP($B76,'LOD 300 - COLO3'!$B:BL,59,FALSE),"N/A")</f>
        <v>N/A</v>
      </c>
      <c r="EX76" s="100" t="str">
        <f>IFERROR(VLOOKUP($B76,'LOD 300 - COLO3'!$B:BO,62,FALSE),"N/A")</f>
        <v>N/A</v>
      </c>
      <c r="EY76" s="103" t="str">
        <f>IFERROR(__xludf.DUMMYFUNCTION("IFERROR(
  MAX(FILTER(EI76:EX76, ISNUMBER(EI76:EX76))),
  EX76
)"),"N/A")</f>
        <v>N/A</v>
      </c>
      <c r="EZ76" s="104" t="str">
        <f>IFERROR(VLOOKUP($B76,'LOD 300 - COLO4'!$B:BT,17,FALSE),"N/A")</f>
        <v>N/A</v>
      </c>
      <c r="FA76" s="103" t="str">
        <f>IFERROR(__xludf.DUMMYFUNCTION("IFERROR(
  MAX(FILTER(EZ76, ISNUMBER(EZ76))),
  EZ76
)"),"N/A")</f>
        <v>N/A</v>
      </c>
      <c r="FB76" s="121">
        <f>IFERROR(VLOOKUP($B76,'LOD 300 - SITE'!$B:S,18,FALSE),"N/A")</f>
        <v>0.55</v>
      </c>
      <c r="FC76" s="122">
        <f>IFERROR(VLOOKUP($B76,'LOD 300 - SITE'!$B:V,21,FALSE),"N/A")</f>
        <v>0.84</v>
      </c>
      <c r="FD76" s="122">
        <f>IFERROR(VLOOKUP($B76,'LOD 300 - SITE'!$B:Y,24,FALSE),"N/A")</f>
        <v>0.95</v>
      </c>
      <c r="FE76" s="122">
        <f>IFERROR(VLOOKUP($B76,'LOD 300 - SITE'!$B:AB,27,FALSE),"N/A")</f>
        <v>1</v>
      </c>
      <c r="FF76" s="122">
        <f>IFERROR(VLOOKUP($B76,'LOD 300 - SITE'!$B:AE,30,FALSE),"N/A")</f>
        <v>1</v>
      </c>
      <c r="FG76" s="122">
        <f>IFERROR(VLOOKUP($B76,'LOD 300 - SITE'!$B:AH,33,FALSE),"N/A")</f>
        <v>1</v>
      </c>
      <c r="FH76" s="122">
        <f>IFERROR(VLOOKUP($B76,'LOD 300 - SITE'!$B:AK,36,FALSE),"N/A")</f>
        <v>1</v>
      </c>
      <c r="FI76" s="122">
        <f>IFERROR(VLOOKUP($B76,'LOD 300 - SITE'!$B:AN,39,FALSE),"N/A")</f>
        <v>1</v>
      </c>
      <c r="FJ76" s="122">
        <f>IFERROR(VLOOKUP($B76,'LOD 300 - SITE'!$B:AQ,42,FALSE),"N/A")</f>
        <v>1</v>
      </c>
      <c r="FK76" s="122">
        <f>IFERROR(VLOOKUP($B76,'LOD 300 - SITE'!$B:AT,45,FALSE),"N/A")</f>
        <v>1</v>
      </c>
      <c r="FL76" s="123">
        <f>IFERROR(VLOOKUP($B76,'LOD 300 - SITE'!$B:AW,48,FALSE),"N/A")</f>
        <v>1</v>
      </c>
      <c r="FM76" s="87">
        <f>IFERROR(VLOOKUP($B76,'LOD 300 - SITE'!$B:AZ,51,FALSE),"N/A")</f>
        <v>1</v>
      </c>
      <c r="FN76" s="94">
        <f>IFERROR(VLOOKUP($B76,'LOD 300 - SITE'!$B:BC,54,FALSE),"N/A")</f>
        <v>1</v>
      </c>
      <c r="FO76" s="95">
        <f>IFERROR(VLOOKUP($B76,'LOD 300 - SITE'!$B:BF,57,FALSE),"N/A")</f>
        <v>1</v>
      </c>
      <c r="FP76" s="86">
        <f>IFERROR(VLOOKUP($B76,'LOD 300 - SITE'!$B:BI,60,FALSE),"N/A")</f>
        <v>1</v>
      </c>
      <c r="FQ76" s="86">
        <f>IFERROR(VLOOKUP($B76,'LOD 300 - SITE'!$B:BL,63,FALSE),"N/A")</f>
        <v>1</v>
      </c>
      <c r="FR76" s="86">
        <f>IFERROR(VLOOKUP($B76,'LOD 300 - SITE'!$B:BO,66,FALSE),"N/A")</f>
        <v>1</v>
      </c>
      <c r="FS76" s="86">
        <f>IFERROR(VLOOKUP($B76,'LOD 300 - SITE'!$B:BR,69,FALSE),"N/A")</f>
        <v>1</v>
      </c>
      <c r="FT76" s="86">
        <f>IFERROR(VLOOKUP($B76,'LOD 300 - SITE'!$B:BU,72,FALSE),"N/A")</f>
        <v>1</v>
      </c>
      <c r="FU76" s="86">
        <f>IFERROR(VLOOKUP($B76,'LOD 300 - SITE'!$B:BX,75,FALSE),"N/A")</f>
        <v>1</v>
      </c>
      <c r="FV76" s="86">
        <f>IFERROR(VLOOKUP($B76,'LOD 300 - SITE'!$B:CA,78,FALSE),"N/A")</f>
        <v>1</v>
      </c>
      <c r="FW76" s="87">
        <f>IFERROR(VLOOKUP($B76,'LOD 300 - SITE'!$B:CD,81,FALSE),"N/A")</f>
        <v>1</v>
      </c>
      <c r="FX76" s="108">
        <f>IFERROR(VLOOKUP($B76,'LOD 300 - SITE'!$B:CG,84,FALSE),"N/A")</f>
        <v>1</v>
      </c>
      <c r="FY76" s="108">
        <f>IFERROR(VLOOKUP($B76,'LOD 300 - SITE'!$B:CJ,87,FALSE),"N/A")</f>
        <v>1</v>
      </c>
      <c r="FZ76" s="108">
        <f>IFERROR(VLOOKUP($B76,'LOD 300 - SITE'!$B:CM,90,FALSE),"N/A")</f>
        <v>1</v>
      </c>
      <c r="GA76" s="108">
        <f>IFERROR(VLOOKUP($B76,'LOD 300 - SITE'!$B:CP,93,FALSE),"N/A")</f>
        <v>1</v>
      </c>
      <c r="GB76" s="108">
        <f>IFERROR(VLOOKUP($B76,'LOD 300 - SITE'!$B:CS,96,FALSE),"N/A")</f>
        <v>1</v>
      </c>
      <c r="GC76" s="109">
        <f>IFERROR(VLOOKUP($B76,'LOD 300 - SITE'!$B:CV,99,FALSE),"N/A")</f>
        <v>1</v>
      </c>
      <c r="GD76" s="87">
        <f>IFERROR(VLOOKUP($B76,'LOD 300 - SITE'!$B:CY,102,FALSE),"N/A")</f>
        <v>1</v>
      </c>
      <c r="GE76" s="87">
        <f>IFERROR(VLOOKUP($B76,'LOD 300 - SITE'!$B:DB,105,FALSE),"N/A")</f>
        <v>1</v>
      </c>
      <c r="GF76" s="87">
        <f>IFERROR(VLOOKUP($B76,'LOD 300 - SITE'!$B:DE,108,FALSE),"N/A")</f>
        <v>1</v>
      </c>
      <c r="GG76" s="87">
        <f>IFERROR(VLOOKUP($B76,'LOD 300 - SITE'!$B:DH,111,FALSE),"N/A")</f>
        <v>1</v>
      </c>
      <c r="GH76" s="87">
        <f>IFERROR(VLOOKUP($B76,'LOD 300 - SITE'!$B:DK,114,FALSE),"N/A")</f>
        <v>1</v>
      </c>
      <c r="GI76" s="87">
        <f>IFERROR(VLOOKUP($B76,'LOD 300 - SITE'!$B:DN,117,FALSE),"N/A")</f>
        <v>1</v>
      </c>
      <c r="GJ76" s="87">
        <f>IFERROR(VLOOKUP($B76,'LOD 300 - SITE'!$B:DQ,120,FALSE),"N/A")</f>
        <v>1</v>
      </c>
      <c r="GK76" s="87">
        <f>IFERROR(VLOOKUP($B76,'LOD 300 - SITE'!$B:DT,123,FALSE),"N/A")</f>
        <v>1</v>
      </c>
      <c r="GL76" s="87">
        <f>IFERROR(VLOOKUP($B76,'LOD 300 - SITE'!$B:DW,126,FALSE),"N/A")</f>
        <v>1</v>
      </c>
      <c r="GM76" s="110">
        <f>IFERROR(__xludf.DUMMYFUNCTION("IFERROR(
  MAX(FILTER(FB76:GL76, ISNUMBER(FB76:GL76))),
  GL76
)"),1.0)</f>
        <v>1</v>
      </c>
      <c r="GN76" s="68"/>
      <c r="GO76" s="68"/>
      <c r="GP76" s="68"/>
    </row>
    <row r="77" ht="15.0" customHeight="1" outlineLevel="1">
      <c r="A77" s="60">
        <v>80.0</v>
      </c>
      <c r="B77" s="140" t="s">
        <v>254</v>
      </c>
      <c r="C77" s="70" t="s">
        <v>255</v>
      </c>
      <c r="D77" s="71" t="s">
        <v>90</v>
      </c>
      <c r="E77" s="146" t="s">
        <v>256</v>
      </c>
      <c r="F77" s="13">
        <v>1118.0</v>
      </c>
      <c r="G77" s="139" t="s">
        <v>256</v>
      </c>
      <c r="H77" s="139">
        <v>1118.0</v>
      </c>
      <c r="I77" s="74" t="str">
        <f>IFERROR(VLOOKUP(C74:C216,'R22 RELATÓRIO ACC'!B:F,5,FALSE),"NOT PUBLISHED")</f>
        <v>V46</v>
      </c>
      <c r="J77" s="74" t="str">
        <f>IFERROR(VLOOKUP(C74:C216,'R22 RELATÓRIO ACC'!B:P,15,FALSE),"NOT PUBLISHED")</f>
        <v>24/04/2026</v>
      </c>
      <c r="K77" s="141" t="str">
        <f>IFERROR(VLOOKUP(B74:B264,'RELATÓRIO ACC'!B:F,5,FALSE),"NOT PUBLISHED")</f>
        <v>V2</v>
      </c>
      <c r="L77" s="142" t="str">
        <f>IFERROR(VLOOKUP(B74:B264,'RELATÓRIO ACC'!B:P,15,FALSE),"NOT PUBLISHED")</f>
        <v>15/06/2026</v>
      </c>
      <c r="M77" s="76" t="str">
        <f>IF(OR($D77="UTLS",$D77="GUAR",$D77="STIR",$D77="PUMP",$D77="SITE"),
   VLOOKUP($B77,'LOD 300 - SITE'!B:M,12,FALSE),
   VLOOKUP($B77,'LOD 300 - ADMN'!B:M,12,FALSE)
)</f>
        <v>V32</v>
      </c>
      <c r="N77" s="77" t="str">
        <f>IF(OR($D77="UTLS",$D77="GUAR",$D77="STIR",$D77="PUMP",$D77="SITE"),
   VLOOKUP($B77,'LOD 300 - SITE'!B:N,13,FALSE),
   VLOOKUP($B77,'LOD 300 - ADMN'!B:N,13,FALSE)
)</f>
        <v>16/09/2025</v>
      </c>
      <c r="O77" s="114" t="str">
        <f>IF(OR($D77="UTLS",$D77="GUAR",$D77="STIR",$D77="PUMP",$D77="SITE"),
   VLOOKUP($B77,'LOD 300 - SITE'!B:O,14,FALSE),
   VLOOKUP($B77,'LOD 300 - ADMN'!B:O,14,FALSE)
)</f>
        <v>R22</v>
      </c>
      <c r="P77" s="79" t="str">
        <f>IF(OR($D77="C345",$D77="C12A",$D77="DATA"),
   VLOOKUP($B77,'LOD 300 - COLO3'!B:M,12,FALSE),"N/A")</f>
        <v>N/A</v>
      </c>
      <c r="Q77" s="76" t="str">
        <f>IF(OR($D77="C345",$D77="C12A",$D77="DATA"),
   VLOOKUP($B77,'LOD 300 - COLO3'!B:N,13,FALSE),"N/A")</f>
        <v>N/A</v>
      </c>
      <c r="R77" s="76" t="str">
        <f>IF(OR($D77="C345",$D77="C12A",$D77="DATA"),
   VLOOKUP($B77,'LOD 300 - COLO3'!B:O,14,FALSE),"N/A")</f>
        <v>N/A</v>
      </c>
      <c r="S77" s="79" t="str">
        <f>IF(OR($D77="C345",$D77="C12A",$D77="DATA"),
   VLOOKUP($B77,'LOD 300 - COLO4'!B:M,12,FALSE),"N/A")</f>
        <v>N/A</v>
      </c>
      <c r="T77" s="76" t="str">
        <f>IF(OR($D77="C345",$D77="C12A",$D77="DATA"),
   VLOOKUP($B77,'LOD 300 - COLO4'!B:T,13,FALSE),"N/A")</f>
        <v>N/A</v>
      </c>
      <c r="U77" s="76" t="str">
        <f>IF(OR($D77="C345",$D77="C12A",$D77="DATA"),
   VLOOKUP($B77,'LOD 300 - COLO4'!B:U,17,FALSE),"N/A")</f>
        <v>N/A</v>
      </c>
      <c r="V77" s="153" t="s">
        <v>129</v>
      </c>
      <c r="W77" s="144" t="str">
        <f>IFERROR(VLOOKUP($B77,'LOD 300 - ADMN'!$B:S,18,FALSE),"N/A")</f>
        <v>N/A</v>
      </c>
      <c r="X77" s="122" t="str">
        <f>IFERROR(VLOOKUP($B77,'LOD 300 - ADMN'!$B:V,21,FALSE),"N/A")</f>
        <v>N/A</v>
      </c>
      <c r="Y77" s="122" t="str">
        <f>IFERROR(VLOOKUP($B77,'LOD 300 - ADMN'!$B:Y,24,FALSE),"N/A")</f>
        <v>N/A</v>
      </c>
      <c r="Z77" s="122" t="str">
        <f>IFERROR(VLOOKUP($B77,'LOD 300 - ADMN'!$B:AB,27,FALSE),"N/A")</f>
        <v>N/A</v>
      </c>
      <c r="AA77" s="122" t="str">
        <f>IFERROR(VLOOKUP($B77,'LOD 300 - ADMN'!$B:AE,30,FALSE),"N/A")</f>
        <v>N/A</v>
      </c>
      <c r="AB77" s="145" t="str">
        <f>IFERROR(VLOOKUP($B77,'LOD 300 - ADMN'!$B:AH,33,FALSE),"N/A")</f>
        <v>N/A</v>
      </c>
      <c r="AC77" s="145" t="str">
        <f>IFERROR(VLOOKUP($B77,'LOD 300 - ADMN'!$B:AK,36,FALSE),"N/A")</f>
        <v>N/A</v>
      </c>
      <c r="AD77" s="122" t="str">
        <f>IFERROR(VLOOKUP($B77,'LOD 300 - ADMN'!$B:AN,39,FALSE),"N/A")</f>
        <v>N/A</v>
      </c>
      <c r="AE77" s="122" t="str">
        <f>IFERROR(VLOOKUP($B77,'LOD 300 - ADMN'!$B:AQ,42,FALSE),"N/A")</f>
        <v>N/A</v>
      </c>
      <c r="AF77" s="122" t="str">
        <f>IFERROR(VLOOKUP($B77,'LOD 300 - ADMN'!$B:AT,45,FALSE),"N/A")</f>
        <v>N/A</v>
      </c>
      <c r="AG77" s="122" t="str">
        <f>IFERROR(VLOOKUP($B77,'LOD 300 - ADMN'!$B:AW,48,FALSE),"N/A")</f>
        <v>N/A</v>
      </c>
      <c r="AH77" s="122" t="str">
        <f>IFERROR(VLOOKUP($B77,'LOD 300 - ADMN'!$B:AZ,51,FALSE),"N/A")</f>
        <v>N/A</v>
      </c>
      <c r="AI77" s="122" t="str">
        <f>IFERROR(VLOOKUP($B77,'LOD 300 - ADMN'!$B:BC,54,FALSE),"N/A")</f>
        <v>N/A</v>
      </c>
      <c r="AJ77" s="87" t="str">
        <f>IFERROR(VLOOKUP($B77,'LOD 300 - ADMN'!$B:BF,57,FALSE),"N/A")</f>
        <v>N/A</v>
      </c>
      <c r="AK77" s="87" t="str">
        <f>IFERROR(VLOOKUP($B77,'LOD 300 - ADMN'!$B:EP,60,FALSE),"N/A")</f>
        <v>N/A</v>
      </c>
      <c r="AL77" s="87" t="str">
        <f>IFERROR(VLOOKUP($B77,'LOD 300 - ADMN'!$B:EQ,63,FALSE),"N/A")</f>
        <v>N/A</v>
      </c>
      <c r="AM77" s="87" t="str">
        <f>IFERROR(VLOOKUP($B77,'LOD 300 - ADMN'!$B:BO,66,FALSE),"N/A")</f>
        <v>N/A</v>
      </c>
      <c r="AN77" s="87" t="str">
        <f>IFERROR(VLOOKUP($B77,'LOD 300 - ADMN'!$B:BR,69,FALSE),"N/A")</f>
        <v>N/A</v>
      </c>
      <c r="AO77" s="87" t="str">
        <f>IFERROR(VLOOKUP($B77,'LOD 300 - ADMN'!$B:BU,72,FALSE),"N/A")</f>
        <v>N/A</v>
      </c>
      <c r="AP77" s="87" t="str">
        <f>IFERROR(VLOOKUP($B77,'LOD 300 - ADMN'!$B:BX,75,FALSE),"N/A")</f>
        <v>N/A</v>
      </c>
      <c r="AQ77" s="87" t="str">
        <f>IFERROR(VLOOKUP($B77,'LOD 300 - ADMN'!$B:CA,78,FALSE),"N/A")</f>
        <v>N/A</v>
      </c>
      <c r="AR77" s="87" t="str">
        <f>IFERROR(VLOOKUP($B77,'LOD 300 - ADMN'!$B:CD,81,FALSE),"N/A")</f>
        <v>N/A</v>
      </c>
      <c r="AS77" s="87" t="str">
        <f>IFERROR(VLOOKUP($B77,'LOD 300 - ADMN'!$B:CG,84,FALSE),"N/A")</f>
        <v>N/A</v>
      </c>
      <c r="AT77" s="87" t="str">
        <f>IFERROR(VLOOKUP($B77,'LOD 300 - ADMN'!$B:CJ,87,FALSE),"N/A")</f>
        <v>N/A</v>
      </c>
      <c r="AU77" s="88" t="str">
        <f>IFERROR(VLOOKUP($B77,'LOD 300 - ADMN'!$B:CM,90,FALSE),"N/A")</f>
        <v>N/A</v>
      </c>
      <c r="AV77" s="88" t="str">
        <f>IFERROR(VLOOKUP($B77,'LOD 300 - ADMN'!$B:CP,93,FALSE),"N/A")</f>
        <v>N/A</v>
      </c>
      <c r="AW77" s="88" t="str">
        <f>IFERROR(VLOOKUP($B77,'LOD 300 - ADMN'!$B:CS,96,FALSE),"N/A")</f>
        <v>N/A</v>
      </c>
      <c r="AX77" s="88" t="str">
        <f>IFERROR(VLOOKUP($B77,'LOD 300 - ADMN'!$B:CV,99,FALSE),"N/A")</f>
        <v>N/A</v>
      </c>
      <c r="AY77" s="88" t="str">
        <f>IFERROR(VLOOKUP($B77,'LOD 300 - ADMN'!$B:CY,102,FALSE),"N/A")</f>
        <v>N/A</v>
      </c>
      <c r="AZ77" s="88" t="str">
        <f>IFERROR(VLOOKUP($B77,'LOD 300 - ADMN'!$B:DB,105,FALSE),"N/A")</f>
        <v>N/A</v>
      </c>
      <c r="BA77" s="87" t="str">
        <f>IFERROR(VLOOKUP($B77,'LOD 300 - ADMN'!$B:DE,108,FALSE),"N/A")</f>
        <v>N/A</v>
      </c>
      <c r="BB77" s="87" t="str">
        <f>IFERROR(VLOOKUP($B77,'LOD 300 - ADMN'!$B:DH,111,FALSE),"N/A")</f>
        <v>N/A</v>
      </c>
      <c r="BC77" s="87" t="str">
        <f>IFERROR(VLOOKUP($B77,'LOD 300 - ADMN'!$B:DK,114,FALSE),"N/A")</f>
        <v>N/A</v>
      </c>
      <c r="BD77" s="87" t="str">
        <f>IFERROR(VLOOKUP($B77,'LOD 300 - ADMN'!$B:DN,117,FALSE),"N/A")</f>
        <v>N/A</v>
      </c>
      <c r="BE77" s="87" t="str">
        <f>IFERROR(VLOOKUP($B77,'LOD 300 - ADMN'!$B:DQ,120,FALSE),"N/A")</f>
        <v>N/A</v>
      </c>
      <c r="BF77" s="87" t="str">
        <f>IFERROR(VLOOKUP($B77,'LOD 300 - ADMN'!$B:DT,123,FALSE),"N/A")</f>
        <v>N/A</v>
      </c>
      <c r="BG77" s="87" t="str">
        <f>IFERROR(VLOOKUP($B77,'LOD 300 - ADMN'!$B:DW,126,FALSE),"N/A")</f>
        <v>N/A</v>
      </c>
      <c r="BH77" s="87" t="str">
        <f>IFERROR(VLOOKUP($B77,'LOD 300 - ADMN'!$B:DZ,129,FALSE),"N/A")</f>
        <v>N/A</v>
      </c>
      <c r="BI77" s="87" t="str">
        <f>IFERROR(VLOOKUP($B77,'LOD 300 - ADMN'!$B:EC,132,FALSE),"N/A")</f>
        <v>N/A</v>
      </c>
      <c r="BJ77" s="90" t="str">
        <f>IFERROR(__xludf.DUMMYFUNCTION("IFERROR(
  MAX(FILTER(X77:BI77, ISNUMBER(X77:BI77))),
  BI77
)"),"N/A")</f>
        <v>N/A</v>
      </c>
      <c r="BK77" s="91" t="str">
        <f>IFERROR(VLOOKUP($B77,'LOD 300 - COLO1'!$B:S,18,FALSE),"N/A")</f>
        <v>N/A</v>
      </c>
      <c r="BL77" s="92" t="str">
        <f>IFERROR(VLOOKUP($B77,'LOD 300 - COLO1'!$B:V,21,FALSE),"N/A")</f>
        <v>N/A</v>
      </c>
      <c r="BM77" s="92" t="str">
        <f>IFERROR(VLOOKUP($B77,'LOD 300 - COLO1'!$B:Y,24,FALSE),"N/A")</f>
        <v>N/A</v>
      </c>
      <c r="BN77" s="92" t="str">
        <f>IFERROR(VLOOKUP($B77,'LOD 300 - COLO1'!$B:AB,27,FALSE),"N/A")</f>
        <v>N/A</v>
      </c>
      <c r="BO77" s="92" t="str">
        <f>IFERROR(VLOOKUP($B77,'LOD 300 - COLO1'!$B:AE,30,FALSE),"N/A")</f>
        <v>N/A</v>
      </c>
      <c r="BP77" s="92" t="str">
        <f>IFERROR(VLOOKUP($B77,'LOD 300 - COLO1'!$B:AH,33,FALSE),"N/A")</f>
        <v>N/A</v>
      </c>
      <c r="BQ77" s="92" t="str">
        <f>IFERROR(VLOOKUP($B77,'LOD 300 - COLO1'!$B:AK,36,FALSE),"N/A")</f>
        <v>N/A</v>
      </c>
      <c r="BR77" s="92" t="str">
        <f>IFERROR(VLOOKUP($B77,'LOD 300 - COLO1'!$B:AN,39,FALSE),"N/A")</f>
        <v>N/A</v>
      </c>
      <c r="BS77" s="92" t="str">
        <f>IFERROR(VLOOKUP($B77,'LOD 300 - COLO1'!$B:AQ,42,FALSE),"N/A")</f>
        <v>N/A</v>
      </c>
      <c r="BT77" s="92" t="str">
        <f>IFERROR(VLOOKUP($B77,'LOD 300 - COLO1'!$B:AT,45,FALSE),"N/A")</f>
        <v>N/A</v>
      </c>
      <c r="BU77" s="92" t="str">
        <f>IFERROR(VLOOKUP($B77,'LOD 300 - COLO1'!$B:AW,48,FALSE),"N/A")</f>
        <v>N/A</v>
      </c>
      <c r="BV77" s="92" t="str">
        <f>IFERROR(VLOOKUP($B77,'LOD 300 - COLO1'!$B:AZ,51,FALSE),"N/A")</f>
        <v>N/A</v>
      </c>
      <c r="BW77" s="92" t="str">
        <f>IFERROR(VLOOKUP($B77,'LOD 300 - COLO1'!$B:BC,54,FALSE),"N/A")</f>
        <v>N/A</v>
      </c>
      <c r="BX77" s="94" t="str">
        <f>IFERROR(VLOOKUP($B77,'LOD 300 - COLO1'!$B:BF,57,FALSE),"N/A")</f>
        <v>N/A</v>
      </c>
      <c r="BY77" s="94" t="str">
        <f>IFERROR(VLOOKUP($B77,'LOD 300 - COLO1'!$B:BI,60,FALSE),"N/A")</f>
        <v>N/A</v>
      </c>
      <c r="BZ77" s="95" t="str">
        <f>IFERROR(VLOOKUP($B77,'LOD 300 - COLO1'!$B:BL,63,FALSE),"N/A")</f>
        <v>N/A</v>
      </c>
      <c r="CA77" s="86" t="str">
        <f>IFERROR(VLOOKUP($B77,'LOD 300 - COLO1'!$B:BO,66,FALSE),"N/A")</f>
        <v>N/A</v>
      </c>
      <c r="CB77" s="86" t="str">
        <f>IFERROR(VLOOKUP($B77,'LOD 300 - COLO1'!$B:BR,69,FALSE),"N/A")</f>
        <v>N/A</v>
      </c>
      <c r="CC77" s="86" t="str">
        <f>IFERROR(VLOOKUP($B77,'LOD 300 - COLO1'!$B:BU,72,FALSE),"N/A")</f>
        <v>N/A</v>
      </c>
      <c r="CD77" s="86" t="str">
        <f>IFERROR(VLOOKUP($B77,'LOD 300 - COLO1'!$B:BX,75,FALSE),"N/A")</f>
        <v>N/A</v>
      </c>
      <c r="CE77" s="86" t="str">
        <f>IFERROR(VLOOKUP($B77,'LOD 300 - COLO1'!$B:CA,78,FALSE),"N/A")</f>
        <v>N/A</v>
      </c>
      <c r="CF77" s="87" t="str">
        <f>IFERROR(VLOOKUP($B77,'LOD 300 - COLO1'!$B:CD,81,FALSE),"N/A")</f>
        <v>N/A</v>
      </c>
      <c r="CG77" s="86" t="str">
        <f>IFERROR(VLOOKUP($B77,'LOD 300 - COLO1'!$B:CG,84,FALSE),"N/A")</f>
        <v>N/A</v>
      </c>
      <c r="CH77" s="87" t="str">
        <f>IFERROR(VLOOKUP($B77,'LOD 300 - COLO1'!$B:CJ,87,FALSE),"N/A")</f>
        <v>N/A</v>
      </c>
      <c r="CI77" s="88" t="str">
        <f>IFERROR(VLOOKUP($B77,'LOD 300 - COLO1'!$B:CM,90,FALSE),"N/A")</f>
        <v>N/A</v>
      </c>
      <c r="CJ77" s="88" t="str">
        <f>IFERROR(VLOOKUP($B77,'LOD 300 - COLO1'!$B:CP,93,FALSE),"N/A")</f>
        <v>N/A</v>
      </c>
      <c r="CK77" s="88" t="str">
        <f>IFERROR(VLOOKUP($B77,'LOD 300 - COLO1'!$B:CS,96,FALSE),"N/A")</f>
        <v>N/A</v>
      </c>
      <c r="CL77" s="88" t="str">
        <f>IFERROR(VLOOKUP($B77,'LOD 300 - COLO1'!$B:CV,99,FALSE),"N/A")</f>
        <v>N/A</v>
      </c>
      <c r="CM77" s="88" t="str">
        <f>IFERROR(VLOOKUP($B77,'LOD 300 - COLO1'!$B:CY,102,FALSE),"N/A")</f>
        <v>N/A</v>
      </c>
      <c r="CN77" s="89" t="str">
        <f>IFERROR(VLOOKUP($B77,'LOD 300 - COLO1'!$B:DB,105,FALSE),"N/A")</f>
        <v>N/A</v>
      </c>
      <c r="CO77" s="87" t="str">
        <f>IFERROR(VLOOKUP($B77,'LOD 300 - COLO1'!$B:EE,108,FALSE),"N/A")</f>
        <v>N/A</v>
      </c>
      <c r="CP77" s="87" t="str">
        <f>IFERROR(VLOOKUP($B77,'LOD 300 - COLO1'!$B:EH,111,FALSE),"N/A")</f>
        <v>N/A</v>
      </c>
      <c r="CQ77" s="87" t="str">
        <f>IFERROR(VLOOKUP($B77,'LOD 300 - COLO1'!$B:EK,114,FALSE),"N/A")</f>
        <v>N/A</v>
      </c>
      <c r="CR77" s="87" t="str">
        <f>IFERROR(VLOOKUP($B77,'LOD 300 - COLO1'!$B:EN,117,FALSE),"N/A")</f>
        <v>N/A</v>
      </c>
      <c r="CS77" s="87" t="str">
        <f>IFERROR(VLOOKUP($B77,'LOD 300 - COLO1'!$B:EQ,120,FALSE),"N/A")</f>
        <v>N/A</v>
      </c>
      <c r="CT77" s="87" t="str">
        <f>IFERROR(VLOOKUP($B77,'LOD 300 - COLO1'!$B:ET,123,FALSE),"N/A")</f>
        <v>N/A</v>
      </c>
      <c r="CU77" s="87" t="str">
        <f>IFERROR(VLOOKUP($B77,'LOD 300 - COLO1'!$B:EW,126,FALSE),"N/A")</f>
        <v>N/A</v>
      </c>
      <c r="CV77" s="87" t="str">
        <f>IFERROR(VLOOKUP($B77,'LOD 300 - COLO1'!$B:EZ,129,FALSE),"N/A")</f>
        <v>N/A</v>
      </c>
      <c r="CW77" s="87" t="str">
        <f>IFERROR(VLOOKUP($B77,'LOD 300 - COLO1'!$B:FC,132,FALSE),"N/A")</f>
        <v>N/A</v>
      </c>
      <c r="CX77" s="96" t="str">
        <f>IFERROR(__xludf.DUMMYFUNCTION("IFERROR(
  MAX(FILTER(BK77:CW77, ISNUMBER(BK77:CW77))),
  CW77
)"),"N/A")</f>
        <v>N/A</v>
      </c>
      <c r="CY77" s="104" t="str">
        <f>IFERROR(VLOOKUP($B77,'LOD 300 - COLO2'!$B:S,18,FALSE),"N/A")</f>
        <v>N/A</v>
      </c>
      <c r="CZ77" s="117" t="str">
        <f>IFERROR(VLOOKUP($B77,'LOD 300 - COLO2'!$B:V,21,FALSE),"N/A")</f>
        <v>N/A</v>
      </c>
      <c r="DA77" s="117" t="str">
        <f>IFERROR(VLOOKUP($B77,'LOD 300 - COLO2'!$B:Y,24,FALSE),"N/A")</f>
        <v>N/A</v>
      </c>
      <c r="DB77" s="117" t="str">
        <f>IFERROR(VLOOKUP($B77,'LOD 300 - COLO2'!$B:AB,27,FALSE),"N/A")</f>
        <v>N/A</v>
      </c>
      <c r="DC77" s="92" t="str">
        <f>IFERROR(VLOOKUP($B77,'LOD 300 - COLO2'!$B:AE,30,FALSE),"N/A")</f>
        <v>N/A</v>
      </c>
      <c r="DD77" s="120" t="str">
        <f>IFERROR(VLOOKUP($B77,'LOD 300 - COLO2'!$B:AH,33,FALSE),"N/A")</f>
        <v>N/A</v>
      </c>
      <c r="DE77" s="117" t="str">
        <f>IFERROR(VLOOKUP($B77,'LOD 300 - COLO2'!$B:AK,36,FALSE),"N/A")</f>
        <v>N/A</v>
      </c>
      <c r="DF77" s="117" t="str">
        <f>IFERROR(VLOOKUP($B77,'LOD 300 - COLO2'!$B:AN,39,FALSE),"N/A")</f>
        <v>N/A</v>
      </c>
      <c r="DG77" s="119" t="str">
        <f>IFERROR(VLOOKUP($B77,'LOD 300 - COLO2'!$B:AQ,42,FALSE),"N/A")</f>
        <v>N/A</v>
      </c>
      <c r="DH77" s="87" t="str">
        <f>IFERROR(VLOOKUP($B77,'LOD 300 - COLO2'!$B:AT,45,FALSE),"N/A")</f>
        <v>N/A</v>
      </c>
      <c r="DI77" s="94" t="str">
        <f>IFERROR(VLOOKUP($B77,'LOD 300 - COLO2'!$B:AW,48,FALSE),"N/A")</f>
        <v>N/A</v>
      </c>
      <c r="DJ77" s="95" t="str">
        <f>IFERROR(VLOOKUP($B77,'LOD 300 - COLO2'!$B:AZ,51,FALSE),"N/A")</f>
        <v>N/A</v>
      </c>
      <c r="DK77" s="86" t="str">
        <f>IFERROR(VLOOKUP($B77,'LOD 300 - COLO2'!$B:BC,54,FALSE),"N/A")</f>
        <v>N/A</v>
      </c>
      <c r="DL77" s="86" t="str">
        <f>IFERROR(VLOOKUP($B77,'LOD 300 - COLO2'!$B:BF,57,FALSE),"N/A")</f>
        <v>N/A</v>
      </c>
      <c r="DM77" s="86" t="str">
        <f>IFERROR(VLOOKUP($B77,'LOD 300 - COLO2'!$B:BI,60,FALSE),"N/A")</f>
        <v>N/A</v>
      </c>
      <c r="DN77" s="86" t="str">
        <f>IFERROR(VLOOKUP($B77,'LOD 300 - COLO2'!$B:BL,63,FALSE),"N/A")</f>
        <v>N/A</v>
      </c>
      <c r="DO77" s="86" t="str">
        <f>IFERROR(VLOOKUP($B77,'LOD 300 - COLO2'!$B:BO,66,FALSE),"N/A")</f>
        <v>N/A</v>
      </c>
      <c r="DP77" s="87" t="str">
        <f>IFERROR(VLOOKUP($B77,'LOD 300 - COLO2'!$B:BR,69,FALSE),"N/A")</f>
        <v>N/A</v>
      </c>
      <c r="DQ77" s="87" t="str">
        <f>IFERROR(VLOOKUP($B77,'LOD 300 - COLO2'!$B:BU,72,FALSE),"N/A")</f>
        <v>N/A</v>
      </c>
      <c r="DR77" s="87" t="str">
        <f>IFERROR(VLOOKUP($B77,'LOD 300 - COLO2'!$B:BX,75,FALSE),"N/A")</f>
        <v>N/A</v>
      </c>
      <c r="DS77" s="98" t="str">
        <f>IFERROR(VLOOKUP($B77,'LOD 300 - COLO2'!$B:CA,78,FALSE),"N/A")</f>
        <v>N/A</v>
      </c>
      <c r="DT77" s="98" t="str">
        <f>IFERROR(VLOOKUP($B77,'LOD 300 - COLO2'!$B:CD,81,FALSE),"N/A")</f>
        <v>N/A</v>
      </c>
      <c r="DU77" s="98" t="str">
        <f>IFERROR(VLOOKUP($B77,'LOD 300 - COLO2'!$B:CG,84,FALSE),"N/A")</f>
        <v>N/A</v>
      </c>
      <c r="DV77" s="98" t="str">
        <f>IFERROR(VLOOKUP($B77,'LOD 300 - COLO2'!$B:CJ,87,FALSE),"N/A")</f>
        <v>N/A</v>
      </c>
      <c r="DW77" s="98" t="str">
        <f>IFERROR(VLOOKUP($B77,'LOD 300 - COLO2'!$B:CM,90,FALSE),"N/A")</f>
        <v>N/A</v>
      </c>
      <c r="DX77" s="98" t="str">
        <f>IFERROR(VLOOKUP($B77,'LOD 300 - COLO2'!$B:CP,93,FALSE),"N/A")</f>
        <v>N/A</v>
      </c>
      <c r="DY77" s="87" t="str">
        <f>IFERROR(VLOOKUP($B77,'LOD 300 - COLO2'!$B:CS,96,FALSE),"N/A")</f>
        <v>N/A</v>
      </c>
      <c r="DZ77" s="87" t="str">
        <f>IFERROR(VLOOKUP($B77,'LOD 300 - COLO2'!$B:CV,99,FALSE),"N/A")</f>
        <v>N/A</v>
      </c>
      <c r="EA77" s="87" t="str">
        <f>IFERROR(VLOOKUP($B77,'LOD 300 - COLO2'!$B:DB,105,FALSE),"N/A")</f>
        <v>N/A</v>
      </c>
      <c r="EB77" s="87" t="str">
        <f>IFERROR(VLOOKUP($B77,'LOD 300 - COLO2'!$B:DB,105,FALSE),"N/A")</f>
        <v>N/A</v>
      </c>
      <c r="EC77" s="87" t="str">
        <f>IFERROR(VLOOKUP($B77,'LOD 300 - COLO2'!$B:DE,108,FALSE),"N/A")</f>
        <v>N/A</v>
      </c>
      <c r="ED77" s="87" t="str">
        <f>IFERROR(VLOOKUP($B77,'LOD 300 - COLO2'!$B:DH,111,FALSE),"N/A")</f>
        <v>N/A</v>
      </c>
      <c r="EE77" s="87" t="str">
        <f>IFERROR(VLOOKUP($B77,'LOD 300 - COLO2'!$B:DK,114,FALSE),"N/A")</f>
        <v>N/A</v>
      </c>
      <c r="EF77" s="87" t="str">
        <f>IFERROR(VLOOKUP($B77,'LOD 300 - COLO2'!$B:DN,117,FALSE),"N/A")</f>
        <v>N/A</v>
      </c>
      <c r="EG77" s="87" t="str">
        <f>IFERROR(VLOOKUP($B77,'LOD 300 - COLO2'!$B:DQ,120,FALSE),"N/A")</f>
        <v>N/A</v>
      </c>
      <c r="EH77" s="99" t="str">
        <f>IFERROR(__xludf.DUMMYFUNCTION("IFERROR(
  MAX(FILTER(CZ77:EG77, ISNUMBER(CZ77:EG77))),
  EG77
)"),"N/A")</f>
        <v>N/A</v>
      </c>
      <c r="EI77" s="100" t="str">
        <f>IFERROR(VLOOKUP($B77,'LOD 300 - COLO3'!$B:R,17,FALSE),"N/A")</f>
        <v>N/A</v>
      </c>
      <c r="EJ77" s="127" t="str">
        <f>IFERROR(VLOOKUP($B77,'LOD 300 - COLO3'!$B:U,20,FALSE),"N/A")</f>
        <v>N/A</v>
      </c>
      <c r="EK77" s="127" t="str">
        <f>IFERROR(VLOOKUP($B77,'LOD 300 - COLO3'!$B:X,23,FALSE),"N/A")</f>
        <v>N/A</v>
      </c>
      <c r="EL77" s="127" t="str">
        <f>IFERROR(VLOOKUP($B77,'LOD 300 - COLO3'!$B:AA,26,FALSE),"N/A")</f>
        <v>N/A</v>
      </c>
      <c r="EM77" s="127" t="str">
        <f>IFERROR(VLOOKUP($B77,'LOD 300 - COLO3'!$B:AD,29,FALSE),"N/A")</f>
        <v>N/A</v>
      </c>
      <c r="EN77" s="127" t="str">
        <f>IFERROR(VLOOKUP($B77,'LOD 300 - COLO3'!$B:AG,32,FALSE),"N/A")</f>
        <v>N/A</v>
      </c>
      <c r="EO77" s="127" t="str">
        <f>IFERROR(VLOOKUP($B77,'LOD 300 - COLO3'!$B:AJ,35,FALSE),"N/A")</f>
        <v>N/A</v>
      </c>
      <c r="EP77" s="100" t="str">
        <f>IFERROR(VLOOKUP($B77,'LOD 300 - COLO3'!$B:AM,38,FALSE),"N/A")</f>
        <v>N/A</v>
      </c>
      <c r="EQ77" s="100" t="str">
        <f>IFERROR(VLOOKUP($B77,'LOD 300 - COLO3'!$B:AP,41,FALSE),"N/A")</f>
        <v>N/A</v>
      </c>
      <c r="ER77" s="100" t="str">
        <f>IFERROR(VLOOKUP($B77,'LOD 300 - COLO3'!$B:AS,44,FALSE),"N/A")</f>
        <v>N/A</v>
      </c>
      <c r="ES77" s="100" t="str">
        <f>IFERROR(VLOOKUP($B77,'LOD 300 - COLO3'!$B:AV,47,FALSE),"N/A")</f>
        <v>N/A</v>
      </c>
      <c r="ET77" s="100" t="str">
        <f>IFERROR(VLOOKUP($B77,'LOD 300 - COLO3'!$B:AY,50,FALSE),"N/A")</f>
        <v>N/A</v>
      </c>
      <c r="EU77" s="100" t="str">
        <f>IFERROR(VLOOKUP($B77,'LOD 300 - COLO3'!$B:BB,53,FALSE),"N/A")</f>
        <v>N/A</v>
      </c>
      <c r="EV77" s="100" t="str">
        <f>IFERROR(VLOOKUP($B77,'LOD 300 - COLO3'!$B:BE,56,FALSE),"N/A")</f>
        <v>N/A</v>
      </c>
      <c r="EW77" s="100" t="str">
        <f>IFERROR(VLOOKUP($B77,'LOD 300 - COLO3'!$B:BL,59,FALSE),"N/A")</f>
        <v>N/A</v>
      </c>
      <c r="EX77" s="100" t="str">
        <f>IFERROR(VLOOKUP($B77,'LOD 300 - COLO3'!$B:BO,62,FALSE),"N/A")</f>
        <v>N/A</v>
      </c>
      <c r="EY77" s="103" t="str">
        <f>IFERROR(__xludf.DUMMYFUNCTION("IFERROR(
  MAX(FILTER(EI77:EX77, ISNUMBER(EI77:EX77))),
  EX77
)"),"N/A")</f>
        <v>N/A</v>
      </c>
      <c r="EZ77" s="104" t="str">
        <f>IFERROR(VLOOKUP($B77,'LOD 300 - COLO4'!$B:BT,17,FALSE),"N/A")</f>
        <v>N/A</v>
      </c>
      <c r="FA77" s="103" t="str">
        <f>IFERROR(__xludf.DUMMYFUNCTION("IFERROR(
  MAX(FILTER(EZ77, ISNUMBER(EZ77))),
  EZ77
)"),"N/A")</f>
        <v>N/A</v>
      </c>
      <c r="FB77" s="121">
        <f>IFERROR(VLOOKUP($B77,'LOD 300 - SITE'!$B:S,18,FALSE),"N/A")</f>
        <v>0.57</v>
      </c>
      <c r="FC77" s="122">
        <f>IFERROR(VLOOKUP($B77,'LOD 300 - SITE'!$B:V,21,FALSE),"N/A")</f>
        <v>0.99</v>
      </c>
      <c r="FD77" s="122" t="str">
        <f>IFERROR(VLOOKUP($B77,'LOD 300 - SITE'!$B:Y,24,FALSE),"N/A")</f>
        <v>OUTDATED MODEL</v>
      </c>
      <c r="FE77" s="122">
        <f>IFERROR(VLOOKUP($B77,'LOD 300 - SITE'!$B:AB,27,FALSE),"N/A")</f>
        <v>1</v>
      </c>
      <c r="FF77" s="122">
        <f>IFERROR(VLOOKUP($B77,'LOD 300 - SITE'!$B:AE,30,FALSE),"N/A")</f>
        <v>1</v>
      </c>
      <c r="FG77" s="122">
        <f>IFERROR(VLOOKUP($B77,'LOD 300 - SITE'!$B:AH,33,FALSE),"N/A")</f>
        <v>1</v>
      </c>
      <c r="FH77" s="122">
        <f>IFERROR(VLOOKUP($B77,'LOD 300 - SITE'!$B:AK,36,FALSE),"N/A")</f>
        <v>1</v>
      </c>
      <c r="FI77" s="122">
        <f>IFERROR(VLOOKUP($B77,'LOD 300 - SITE'!$B:AN,39,FALSE),"N/A")</f>
        <v>1</v>
      </c>
      <c r="FJ77" s="122">
        <f>IFERROR(VLOOKUP($B77,'LOD 300 - SITE'!$B:AQ,42,FALSE),"N/A")</f>
        <v>1</v>
      </c>
      <c r="FK77" s="122">
        <f>IFERROR(VLOOKUP($B77,'LOD 300 - SITE'!$B:AT,45,FALSE),"N/A")</f>
        <v>1</v>
      </c>
      <c r="FL77" s="123">
        <f>IFERROR(VLOOKUP($B77,'LOD 300 - SITE'!$B:AW,48,FALSE),"N/A")</f>
        <v>1</v>
      </c>
      <c r="FM77" s="87">
        <f>IFERROR(VLOOKUP($B77,'LOD 300 - SITE'!$B:AZ,51,FALSE),"N/A")</f>
        <v>1</v>
      </c>
      <c r="FN77" s="94">
        <f>IFERROR(VLOOKUP($B77,'LOD 300 - SITE'!$B:BC,54,FALSE),"N/A")</f>
        <v>1</v>
      </c>
      <c r="FO77" s="95">
        <f>IFERROR(VLOOKUP($B77,'LOD 300 - SITE'!$B:BF,57,FALSE),"N/A")</f>
        <v>1</v>
      </c>
      <c r="FP77" s="86">
        <f>IFERROR(VLOOKUP($B77,'LOD 300 - SITE'!$B:BI,60,FALSE),"N/A")</f>
        <v>1</v>
      </c>
      <c r="FQ77" s="86">
        <f>IFERROR(VLOOKUP($B77,'LOD 300 - SITE'!$B:BL,63,FALSE),"N/A")</f>
        <v>1</v>
      </c>
      <c r="FR77" s="86">
        <f>IFERROR(VLOOKUP($B77,'LOD 300 - SITE'!$B:BO,66,FALSE),"N/A")</f>
        <v>1</v>
      </c>
      <c r="FS77" s="86">
        <f>IFERROR(VLOOKUP($B77,'LOD 300 - SITE'!$B:BR,69,FALSE),"N/A")</f>
        <v>1</v>
      </c>
      <c r="FT77" s="86">
        <f>IFERROR(VLOOKUP($B77,'LOD 300 - SITE'!$B:BU,72,FALSE),"N/A")</f>
        <v>1</v>
      </c>
      <c r="FU77" s="86">
        <f>IFERROR(VLOOKUP($B77,'LOD 300 - SITE'!$B:BX,75,FALSE),"N/A")</f>
        <v>1</v>
      </c>
      <c r="FV77" s="86">
        <f>IFERROR(VLOOKUP($B77,'LOD 300 - SITE'!$B:CA,78,FALSE),"N/A")</f>
        <v>1</v>
      </c>
      <c r="FW77" s="87">
        <f>IFERROR(VLOOKUP($B77,'LOD 300 - SITE'!$B:CD,81,FALSE),"N/A")</f>
        <v>1</v>
      </c>
      <c r="FX77" s="108">
        <f>IFERROR(VLOOKUP($B77,'LOD 300 - SITE'!$B:CG,84,FALSE),"N/A")</f>
        <v>1</v>
      </c>
      <c r="FY77" s="108">
        <f>IFERROR(VLOOKUP($B77,'LOD 300 - SITE'!$B:CJ,87,FALSE),"N/A")</f>
        <v>1</v>
      </c>
      <c r="FZ77" s="108">
        <f>IFERROR(VLOOKUP($B77,'LOD 300 - SITE'!$B:CM,90,FALSE),"N/A")</f>
        <v>1</v>
      </c>
      <c r="GA77" s="108">
        <f>IFERROR(VLOOKUP($B77,'LOD 300 - SITE'!$B:CP,93,FALSE),"N/A")</f>
        <v>1</v>
      </c>
      <c r="GB77" s="108">
        <f>IFERROR(VLOOKUP($B77,'LOD 300 - SITE'!$B:CS,96,FALSE),"N/A")</f>
        <v>1</v>
      </c>
      <c r="GC77" s="109">
        <f>IFERROR(VLOOKUP($B77,'LOD 300 - SITE'!$B:CV,99,FALSE),"N/A")</f>
        <v>1</v>
      </c>
      <c r="GD77" s="87">
        <f>IFERROR(VLOOKUP($B77,'LOD 300 - SITE'!$B:CY,102,FALSE),"N/A")</f>
        <v>1</v>
      </c>
      <c r="GE77" s="87">
        <f>IFERROR(VLOOKUP($B77,'LOD 300 - SITE'!$B:DB,105,FALSE),"N/A")</f>
        <v>1</v>
      </c>
      <c r="GF77" s="87">
        <f>IFERROR(VLOOKUP($B77,'LOD 300 - SITE'!$B:DE,108,FALSE),"N/A")</f>
        <v>1</v>
      </c>
      <c r="GG77" s="87">
        <f>IFERROR(VLOOKUP($B77,'LOD 300 - SITE'!$B:DH,111,FALSE),"N/A")</f>
        <v>1</v>
      </c>
      <c r="GH77" s="87">
        <f>IFERROR(VLOOKUP($B77,'LOD 300 - SITE'!$B:DK,114,FALSE),"N/A")</f>
        <v>1</v>
      </c>
      <c r="GI77" s="87">
        <f>IFERROR(VLOOKUP($B77,'LOD 300 - SITE'!$B:DN,117,FALSE),"N/A")</f>
        <v>1</v>
      </c>
      <c r="GJ77" s="87">
        <f>IFERROR(VLOOKUP($B77,'LOD 300 - SITE'!$B:DQ,120,FALSE),"N/A")</f>
        <v>1</v>
      </c>
      <c r="GK77" s="87">
        <f>IFERROR(VLOOKUP($B77,'LOD 300 - SITE'!$B:DT,123,FALSE),"N/A")</f>
        <v>1</v>
      </c>
      <c r="GL77" s="87">
        <f>IFERROR(VLOOKUP($B77,'LOD 300 - SITE'!$B:DW,126,FALSE),"N/A")</f>
        <v>1</v>
      </c>
      <c r="GM77" s="110">
        <f>IFERROR(__xludf.DUMMYFUNCTION("IFERROR(
  MAX(FILTER(FB77:GL77, ISNUMBER(FB77:GL77))),
  GL77
)"),1.0)</f>
        <v>1</v>
      </c>
      <c r="GN77" s="68"/>
      <c r="GO77" s="68"/>
      <c r="GP77" s="68"/>
    </row>
    <row r="78" ht="15.0" customHeight="1" outlineLevel="1">
      <c r="A78" s="60">
        <v>81.0</v>
      </c>
      <c r="B78" s="140" t="s">
        <v>257</v>
      </c>
      <c r="C78" s="70" t="s">
        <v>258</v>
      </c>
      <c r="D78" s="71" t="s">
        <v>85</v>
      </c>
      <c r="E78" s="146" t="s">
        <v>256</v>
      </c>
      <c r="F78" s="13">
        <v>1118.0</v>
      </c>
      <c r="G78" s="139" t="s">
        <v>256</v>
      </c>
      <c r="H78" s="139">
        <v>1118.0</v>
      </c>
      <c r="I78" s="74" t="str">
        <f>IFERROR(VLOOKUP(C75:C217,'R22 RELATÓRIO ACC'!B:F,5,FALSE),"NOT PUBLISHED")</f>
        <v>V39</v>
      </c>
      <c r="J78" s="74" t="str">
        <f>IFERROR(VLOOKUP(C75:C217,'R22 RELATÓRIO ACC'!B:P,15,FALSE),"NOT PUBLISHED")</f>
        <v>30/04/2026</v>
      </c>
      <c r="K78" s="141" t="str">
        <f>IFERROR(VLOOKUP(B75:B264,'RELATÓRIO ACC'!B:F,5,FALSE),"NOT PUBLISHED")</f>
        <v>V3</v>
      </c>
      <c r="L78" s="142" t="str">
        <f>IFERROR(VLOOKUP(B75:B264,'RELATÓRIO ACC'!B:P,15,FALSE),"NOT PUBLISHED")</f>
        <v>01/07/2026</v>
      </c>
      <c r="M78" s="76" t="str">
        <f>IF(OR($D78="UTLS",$D78="GUAR",$D78="STIR",$D78="PUMP",$D78="SITE"),
   VLOOKUP($B78,'LOD 300 - SITE'!B:M,12,FALSE),
   VLOOKUP($B78,'LOD 300 - ADMN'!B:M,12,FALSE)
)</f>
        <v>V31</v>
      </c>
      <c r="N78" s="77" t="str">
        <f>IF(OR($D78="UTLS",$D78="GUAR",$D78="STIR",$D78="PUMP",$D78="SITE"),
   VLOOKUP($B78,'LOD 300 - SITE'!B:N,13,FALSE),
   VLOOKUP($B78,'LOD 300 - ADMN'!B:N,13,FALSE)
)</f>
        <v>04/11/2025</v>
      </c>
      <c r="O78" s="78" t="str">
        <f>IF(OR($D78="UTLS",$D78="GUAR",$D78="STIR",$D78="PUMP",$D78="SITE"),
   VLOOKUP($B78,'LOD 300 - SITE'!B:O,14,FALSE),
   VLOOKUP($B78,'LOD 300 - ADMN'!B:O,14,FALSE)
)</f>
        <v>N/A</v>
      </c>
      <c r="P78" s="79" t="str">
        <f>IF(OR($D78="C345",$D78="C12A",$D78="DATA"),
   VLOOKUP($B78,'LOD 300 - COLO3'!B:M,12,FALSE),"N/A")</f>
        <v>V39</v>
      </c>
      <c r="Q78" s="80">
        <f>IF(OR($D78="C345",$D78="C12A",$D78="DATA"),
   VLOOKUP($B78,'LOD 300 - COLO3'!B:N,13,FALSE),"N/A")</f>
        <v>46142</v>
      </c>
      <c r="R78" s="76" t="str">
        <f>IF(OR($D78="C345",$D78="C12A",$D78="DATA"),
   VLOOKUP($B78,'LOD 300 - COLO3'!B:O,14,FALSE),"N/A")</f>
        <v>R22</v>
      </c>
      <c r="S78" s="79" t="str">
        <f>IF(OR($D78="C345",$D78="C12A",$D78="DATA"),
   VLOOKUP($B78,'LOD 300 - COLO4'!B:M,12,FALSE),"N/A")</f>
        <v>N/A</v>
      </c>
      <c r="T78" s="76" t="str">
        <f>IF(OR($D78="C345",$D78="C12A",$D78="DATA"),
   VLOOKUP($B78,'LOD 300 - COLO4'!B:T,13,FALSE),"N/A")</f>
        <v>N/A</v>
      </c>
      <c r="U78" s="81">
        <f>IF(OR($D78="C345",$D78="C12A",$D78="DATA"),
   VLOOKUP($B78,'LOD 300 - COLO4'!B:U,17,FALSE),"N/A")</f>
        <v>0</v>
      </c>
      <c r="V78" s="126" t="s">
        <v>129</v>
      </c>
      <c r="W78" s="144" t="str">
        <f>IFERROR(VLOOKUP($B78,'LOD 300 - ADMN'!$B:S,18,FALSE),"N/A")</f>
        <v>N/A</v>
      </c>
      <c r="X78" s="122" t="str">
        <f>IFERROR(VLOOKUP($B78,'LOD 300 - ADMN'!$B:V,21,FALSE),"N/A")</f>
        <v>N/A</v>
      </c>
      <c r="Y78" s="122" t="str">
        <f>IFERROR(VLOOKUP($B78,'LOD 300 - ADMN'!$B:Y,24,FALSE),"N/A")</f>
        <v>N/A</v>
      </c>
      <c r="Z78" s="122" t="str">
        <f>IFERROR(VLOOKUP($B78,'LOD 300 - ADMN'!$B:AB,27,FALSE),"N/A")</f>
        <v>N/A</v>
      </c>
      <c r="AA78" s="122" t="str">
        <f>IFERROR(VLOOKUP($B78,'LOD 300 - ADMN'!$B:AE,30,FALSE),"N/A")</f>
        <v>N/A</v>
      </c>
      <c r="AB78" s="145" t="str">
        <f>IFERROR(VLOOKUP($B78,'LOD 300 - ADMN'!$B:AH,33,FALSE),"N/A")</f>
        <v>N/A</v>
      </c>
      <c r="AC78" s="145" t="str">
        <f>IFERROR(VLOOKUP($B78,'LOD 300 - ADMN'!$B:AK,36,FALSE),"N/A")</f>
        <v>N/A</v>
      </c>
      <c r="AD78" s="122" t="str">
        <f>IFERROR(VLOOKUP($B78,'LOD 300 - ADMN'!$B:AN,39,FALSE),"N/A")</f>
        <v>N/A</v>
      </c>
      <c r="AE78" s="122" t="str">
        <f>IFERROR(VLOOKUP($B78,'LOD 300 - ADMN'!$B:AQ,42,FALSE),"N/A")</f>
        <v>N/A</v>
      </c>
      <c r="AF78" s="122" t="str">
        <f>IFERROR(VLOOKUP($B78,'LOD 300 - ADMN'!$B:AT,45,FALSE),"N/A")</f>
        <v>N/A</v>
      </c>
      <c r="AG78" s="122" t="str">
        <f>IFERROR(VLOOKUP($B78,'LOD 300 - ADMN'!$B:AW,48,FALSE),"N/A")</f>
        <v>N/A</v>
      </c>
      <c r="AH78" s="122" t="str">
        <f>IFERROR(VLOOKUP($B78,'LOD 300 - ADMN'!$B:AZ,51,FALSE),"N/A")</f>
        <v>N/A</v>
      </c>
      <c r="AI78" s="122" t="str">
        <f>IFERROR(VLOOKUP($B78,'LOD 300 - ADMN'!$B:BC,54,FALSE),"N/A")</f>
        <v>N/A</v>
      </c>
      <c r="AJ78" s="87" t="str">
        <f>IFERROR(VLOOKUP($B78,'LOD 300 - ADMN'!$B:BF,57,FALSE),"N/A")</f>
        <v>N/A</v>
      </c>
      <c r="AK78" s="87" t="str">
        <f>IFERROR(VLOOKUP($B78,'LOD 300 - ADMN'!$B:EP,60,FALSE),"N/A")</f>
        <v>N/A</v>
      </c>
      <c r="AL78" s="87" t="str">
        <f>IFERROR(VLOOKUP($B78,'LOD 300 - ADMN'!$B:EQ,63,FALSE),"N/A")</f>
        <v>N/A</v>
      </c>
      <c r="AM78" s="87" t="str">
        <f>IFERROR(VLOOKUP($B78,'LOD 300 - ADMN'!$B:BO,66,FALSE),"N/A")</f>
        <v>N/A</v>
      </c>
      <c r="AN78" s="87" t="str">
        <f>IFERROR(VLOOKUP($B78,'LOD 300 - ADMN'!$B:BR,69,FALSE),"N/A")</f>
        <v>N/A</v>
      </c>
      <c r="AO78" s="87" t="str">
        <f>IFERROR(VLOOKUP($B78,'LOD 300 - ADMN'!$B:BU,72,FALSE),"N/A")</f>
        <v>N/A</v>
      </c>
      <c r="AP78" s="87" t="str">
        <f>IFERROR(VLOOKUP($B78,'LOD 300 - ADMN'!$B:BX,75,FALSE),"N/A")</f>
        <v>N/A</v>
      </c>
      <c r="AQ78" s="87" t="str">
        <f>IFERROR(VLOOKUP($B78,'LOD 300 - ADMN'!$B:CA,78,FALSE),"N/A")</f>
        <v>N/A</v>
      </c>
      <c r="AR78" s="87" t="str">
        <f>IFERROR(VLOOKUP($B78,'LOD 300 - ADMN'!$B:CD,81,FALSE),"N/A")</f>
        <v>N/A</v>
      </c>
      <c r="AS78" s="87" t="str">
        <f>IFERROR(VLOOKUP($B78,'LOD 300 - ADMN'!$B:CG,84,FALSE),"N/A")</f>
        <v>N/A</v>
      </c>
      <c r="AT78" s="87" t="str">
        <f>IFERROR(VLOOKUP($B78,'LOD 300 - ADMN'!$B:CJ,87,FALSE),"N/A")</f>
        <v>N/A</v>
      </c>
      <c r="AU78" s="88" t="str">
        <f>IFERROR(VLOOKUP($B78,'LOD 300 - ADMN'!$B:CM,90,FALSE),"N/A")</f>
        <v>N/A</v>
      </c>
      <c r="AV78" s="88" t="str">
        <f>IFERROR(VLOOKUP($B78,'LOD 300 - ADMN'!$B:CP,93,FALSE),"N/A")</f>
        <v>N/A</v>
      </c>
      <c r="AW78" s="88" t="str">
        <f>IFERROR(VLOOKUP($B78,'LOD 300 - ADMN'!$B:CS,96,FALSE),"N/A")</f>
        <v>N/A</v>
      </c>
      <c r="AX78" s="88" t="str">
        <f>IFERROR(VLOOKUP($B78,'LOD 300 - ADMN'!$B:CV,99,FALSE),"N/A")</f>
        <v>N/A</v>
      </c>
      <c r="AY78" s="88" t="str">
        <f>IFERROR(VLOOKUP($B78,'LOD 300 - ADMN'!$B:CY,102,FALSE),"N/A")</f>
        <v>N/A</v>
      </c>
      <c r="AZ78" s="88" t="str">
        <f>IFERROR(VLOOKUP($B78,'LOD 300 - ADMN'!$B:DB,105,FALSE),"N/A")</f>
        <v>N/A</v>
      </c>
      <c r="BA78" s="87" t="str">
        <f>IFERROR(VLOOKUP($B78,'LOD 300 - ADMN'!$B:DE,108,FALSE),"N/A")</f>
        <v>N/A</v>
      </c>
      <c r="BB78" s="87" t="str">
        <f>IFERROR(VLOOKUP($B78,'LOD 300 - ADMN'!$B:DH,111,FALSE),"N/A")</f>
        <v>N/A</v>
      </c>
      <c r="BC78" s="87" t="str">
        <f>IFERROR(VLOOKUP($B78,'LOD 300 - ADMN'!$B:DK,114,FALSE),"N/A")</f>
        <v>N/A</v>
      </c>
      <c r="BD78" s="87" t="str">
        <f>IFERROR(VLOOKUP($B78,'LOD 300 - ADMN'!$B:DN,117,FALSE),"N/A")</f>
        <v>N/A</v>
      </c>
      <c r="BE78" s="87" t="str">
        <f>IFERROR(VLOOKUP($B78,'LOD 300 - ADMN'!$B:DQ,120,FALSE),"N/A")</f>
        <v>N/A</v>
      </c>
      <c r="BF78" s="87" t="str">
        <f>IFERROR(VLOOKUP($B78,'LOD 300 - ADMN'!$B:DT,123,FALSE),"N/A")</f>
        <v>N/A</v>
      </c>
      <c r="BG78" s="87" t="str">
        <f>IFERROR(VLOOKUP($B78,'LOD 300 - ADMN'!$B:DW,126,FALSE),"N/A")</f>
        <v>N/A</v>
      </c>
      <c r="BH78" s="87" t="str">
        <f>IFERROR(VLOOKUP($B78,'LOD 300 - ADMN'!$B:DZ,129,FALSE),"N/A")</f>
        <v>N/A</v>
      </c>
      <c r="BI78" s="87" t="str">
        <f>IFERROR(VLOOKUP($B78,'LOD 300 - ADMN'!$B:EC,132,FALSE),"N/A")</f>
        <v>N/A</v>
      </c>
      <c r="BJ78" s="90" t="str">
        <f>IFERROR(__xludf.DUMMYFUNCTION("IFERROR(
  MAX(FILTER(X78:BI78, ISNUMBER(X78:BI78))),
  BI78
)"),"N/A")</f>
        <v>N/A</v>
      </c>
      <c r="BK78" s="91">
        <f>IFERROR(VLOOKUP($B78,'LOD 300 - COLO1'!$B:S,18,FALSE),"N/A")</f>
        <v>0.46</v>
      </c>
      <c r="BL78" s="92" t="str">
        <f>IFERROR(VLOOKUP($B78,'LOD 300 - COLO1'!$B:V,21,FALSE),"N/A")</f>
        <v>OUTDATED MODEL</v>
      </c>
      <c r="BM78" s="92">
        <f>IFERROR(VLOOKUP($B78,'LOD 300 - COLO1'!$B:Y,24,FALSE),"N/A")</f>
        <v>1</v>
      </c>
      <c r="BN78" s="92">
        <f>IFERROR(VLOOKUP($B78,'LOD 300 - COLO1'!$B:AB,27,FALSE),"N/A")</f>
        <v>1</v>
      </c>
      <c r="BO78" s="92">
        <f>IFERROR(VLOOKUP($B78,'LOD 300 - COLO1'!$B:AE,30,FALSE),"N/A")</f>
        <v>1</v>
      </c>
      <c r="BP78" s="92">
        <f>IFERROR(VLOOKUP($B78,'LOD 300 - COLO1'!$B:AH,33,FALSE),"N/A")</f>
        <v>1</v>
      </c>
      <c r="BQ78" s="92">
        <f>IFERROR(VLOOKUP($B78,'LOD 300 - COLO1'!$B:AK,36,FALSE),"N/A")</f>
        <v>1</v>
      </c>
      <c r="BR78" s="92">
        <f>IFERROR(VLOOKUP($B78,'LOD 300 - COLO1'!$B:AN,39,FALSE),"N/A")</f>
        <v>1</v>
      </c>
      <c r="BS78" s="92">
        <f>IFERROR(VLOOKUP($B78,'LOD 300 - COLO1'!$B:AQ,42,FALSE),"N/A")</f>
        <v>1</v>
      </c>
      <c r="BT78" s="92">
        <f>IFERROR(VLOOKUP($B78,'LOD 300 - COLO1'!$B:AT,45,FALSE),"N/A")</f>
        <v>1</v>
      </c>
      <c r="BU78" s="92">
        <f>IFERROR(VLOOKUP($B78,'LOD 300 - COLO1'!$B:AW,48,FALSE),"N/A")</f>
        <v>1</v>
      </c>
      <c r="BV78" s="92">
        <f>IFERROR(VLOOKUP($B78,'LOD 300 - COLO1'!$B:AZ,51,FALSE),"N/A")</f>
        <v>1</v>
      </c>
      <c r="BW78" s="92">
        <f>IFERROR(VLOOKUP($B78,'LOD 300 - COLO1'!$B:BC,54,FALSE),"N/A")</f>
        <v>1</v>
      </c>
      <c r="BX78" s="94">
        <f>IFERROR(VLOOKUP($B78,'LOD 300 - COLO1'!$B:BF,57,FALSE),"N/A")</f>
        <v>1</v>
      </c>
      <c r="BY78" s="94">
        <f>IFERROR(VLOOKUP($B78,'LOD 300 - COLO1'!$B:BI,60,FALSE),"N/A")</f>
        <v>1</v>
      </c>
      <c r="BZ78" s="95">
        <f>IFERROR(VLOOKUP($B78,'LOD 300 - COLO1'!$B:BL,63,FALSE),"N/A")</f>
        <v>1</v>
      </c>
      <c r="CA78" s="86">
        <f>IFERROR(VLOOKUP($B78,'LOD 300 - COLO1'!$B:BO,66,FALSE),"N/A")</f>
        <v>1</v>
      </c>
      <c r="CB78" s="86">
        <f>IFERROR(VLOOKUP($B78,'LOD 300 - COLO1'!$B:BR,69,FALSE),"N/A")</f>
        <v>1</v>
      </c>
      <c r="CC78" s="86">
        <f>IFERROR(VLOOKUP($B78,'LOD 300 - COLO1'!$B:BU,72,FALSE),"N/A")</f>
        <v>1</v>
      </c>
      <c r="CD78" s="86">
        <f>IFERROR(VLOOKUP($B78,'LOD 300 - COLO1'!$B:BX,75,FALSE),"N/A")</f>
        <v>1</v>
      </c>
      <c r="CE78" s="86">
        <f>IFERROR(VLOOKUP($B78,'LOD 300 - COLO1'!$B:CA,78,FALSE),"N/A")</f>
        <v>1</v>
      </c>
      <c r="CF78" s="87">
        <f>IFERROR(VLOOKUP($B78,'LOD 300 - COLO1'!$B:CD,81,FALSE),"N/A")</f>
        <v>1</v>
      </c>
      <c r="CG78" s="86">
        <f>IFERROR(VLOOKUP($B78,'LOD 300 - COLO1'!$B:CG,84,FALSE),"N/A")</f>
        <v>1</v>
      </c>
      <c r="CH78" s="87">
        <f>IFERROR(VLOOKUP($B78,'LOD 300 - COLO1'!$B:CJ,87,FALSE),"N/A")</f>
        <v>1</v>
      </c>
      <c r="CI78" s="88">
        <f>IFERROR(VLOOKUP($B78,'LOD 300 - COLO1'!$B:CM,90,FALSE),"N/A")</f>
        <v>1</v>
      </c>
      <c r="CJ78" s="88">
        <f>IFERROR(VLOOKUP($B78,'LOD 300 - COLO1'!$B:CP,93,FALSE),"N/A")</f>
        <v>1</v>
      </c>
      <c r="CK78" s="88">
        <f>IFERROR(VLOOKUP($B78,'LOD 300 - COLO1'!$B:CS,96,FALSE),"N/A")</f>
        <v>1</v>
      </c>
      <c r="CL78" s="88">
        <f>IFERROR(VLOOKUP($B78,'LOD 300 - COLO1'!$B:CV,99,FALSE),"N/A")</f>
        <v>1</v>
      </c>
      <c r="CM78" s="88">
        <f>IFERROR(VLOOKUP($B78,'LOD 300 - COLO1'!$B:CY,102,FALSE),"N/A")</f>
        <v>1</v>
      </c>
      <c r="CN78" s="89">
        <f>IFERROR(VLOOKUP($B78,'LOD 300 - COLO1'!$B:DB,105,FALSE),"N/A")</f>
        <v>1</v>
      </c>
      <c r="CO78" s="87">
        <f>IFERROR(VLOOKUP($B78,'LOD 300 - COLO1'!$B:EE,108,FALSE),"N/A")</f>
        <v>1</v>
      </c>
      <c r="CP78" s="87">
        <f>IFERROR(VLOOKUP($B78,'LOD 300 - COLO1'!$B:EH,111,FALSE),"N/A")</f>
        <v>1</v>
      </c>
      <c r="CQ78" s="87">
        <f>IFERROR(VLOOKUP($B78,'LOD 300 - COLO1'!$B:EK,114,FALSE),"N/A")</f>
        <v>1</v>
      </c>
      <c r="CR78" s="87">
        <f>IFERROR(VLOOKUP($B78,'LOD 300 - COLO1'!$B:EN,117,FALSE),"N/A")</f>
        <v>1</v>
      </c>
      <c r="CS78" s="87">
        <f>IFERROR(VLOOKUP($B78,'LOD 300 - COLO1'!$B:EQ,120,FALSE),"N/A")</f>
        <v>1</v>
      </c>
      <c r="CT78" s="87">
        <f>IFERROR(VLOOKUP($B78,'LOD 300 - COLO1'!$B:ET,123,FALSE),"N/A")</f>
        <v>1</v>
      </c>
      <c r="CU78" s="87">
        <f>IFERROR(VLOOKUP($B78,'LOD 300 - COLO1'!$B:EW,126,FALSE),"N/A")</f>
        <v>1</v>
      </c>
      <c r="CV78" s="87">
        <f>IFERROR(VLOOKUP($B78,'LOD 300 - COLO1'!$B:EZ,129,FALSE),"N/A")</f>
        <v>1</v>
      </c>
      <c r="CW78" s="87">
        <f>IFERROR(VLOOKUP($B78,'LOD 300 - COLO1'!$B:FC,132,FALSE),"N/A")</f>
        <v>1</v>
      </c>
      <c r="CX78" s="96">
        <f>IFERROR(__xludf.DUMMYFUNCTION("IFERROR(
  MAX(FILTER(BK78:CW78, ISNUMBER(BK78:CW78))),
  CW78
)"),1.0)</f>
        <v>1</v>
      </c>
      <c r="CY78" s="104">
        <f>IFERROR(VLOOKUP($B78,'LOD 300 - COLO2'!$B:S,18,FALSE),"N/A")</f>
        <v>0.88</v>
      </c>
      <c r="CZ78" s="117" t="str">
        <f>IFERROR(VLOOKUP($B78,'LOD 300 - COLO2'!$B:V,21,FALSE),"N/A")</f>
        <v>OUTDATED MODEL</v>
      </c>
      <c r="DA78" s="117" t="str">
        <f>IFERROR(VLOOKUP($B78,'LOD 300 - COLO2'!$B:Y,24,FALSE),"N/A")</f>
        <v>OUTDATED MODEL</v>
      </c>
      <c r="DB78" s="117" t="str">
        <f>IFERROR(VLOOKUP($B78,'LOD 300 - COLO2'!$B:AB,27,FALSE),"N/A")</f>
        <v>OUTDATED MODEL</v>
      </c>
      <c r="DC78" s="92">
        <f>IFERROR(VLOOKUP($B78,'LOD 300 - COLO2'!$B:AE,30,FALSE),"N/A")</f>
        <v>0.98</v>
      </c>
      <c r="DD78" s="120" t="str">
        <f>IFERROR(VLOOKUP($B78,'LOD 300 - COLO2'!$B:AH,33,FALSE),"N/A")</f>
        <v>NEXT ROUND</v>
      </c>
      <c r="DE78" s="117">
        <f>IFERROR(VLOOKUP($B78,'LOD 300 - COLO2'!$B:AK,36,FALSE),"N/A")</f>
        <v>1</v>
      </c>
      <c r="DF78" s="117">
        <f>IFERROR(VLOOKUP($B78,'LOD 300 - COLO2'!$B:AN,39,FALSE),"N/A")</f>
        <v>1</v>
      </c>
      <c r="DG78" s="119">
        <f>IFERROR(VLOOKUP($B78,'LOD 300 - COLO2'!$B:AQ,42,FALSE),"N/A")</f>
        <v>1</v>
      </c>
      <c r="DH78" s="87">
        <f>IFERROR(VLOOKUP($B78,'LOD 300 - COLO2'!$B:AT,45,FALSE),"N/A")</f>
        <v>1</v>
      </c>
      <c r="DI78" s="94">
        <f>IFERROR(VLOOKUP($B78,'LOD 300 - COLO2'!$B:AW,48,FALSE),"N/A")</f>
        <v>1</v>
      </c>
      <c r="DJ78" s="95">
        <f>IFERROR(VLOOKUP($B78,'LOD 300 - COLO2'!$B:AZ,51,FALSE),"N/A")</f>
        <v>1</v>
      </c>
      <c r="DK78" s="86">
        <f>IFERROR(VLOOKUP($B78,'LOD 300 - COLO2'!$B:BC,54,FALSE),"N/A")</f>
        <v>1</v>
      </c>
      <c r="DL78" s="86">
        <f>IFERROR(VLOOKUP($B78,'LOD 300 - COLO2'!$B:BF,57,FALSE),"N/A")</f>
        <v>1</v>
      </c>
      <c r="DM78" s="86">
        <f>IFERROR(VLOOKUP($B78,'LOD 300 - COLO2'!$B:BI,60,FALSE),"N/A")</f>
        <v>1</v>
      </c>
      <c r="DN78" s="86">
        <f>IFERROR(VLOOKUP($B78,'LOD 300 - COLO2'!$B:BL,63,FALSE),"N/A")</f>
        <v>1</v>
      </c>
      <c r="DO78" s="86">
        <f>IFERROR(VLOOKUP($B78,'LOD 300 - COLO2'!$B:BO,66,FALSE),"N/A")</f>
        <v>1</v>
      </c>
      <c r="DP78" s="87">
        <f>IFERROR(VLOOKUP($B78,'LOD 300 - COLO2'!$B:BR,69,FALSE),"N/A")</f>
        <v>1</v>
      </c>
      <c r="DQ78" s="87">
        <f>IFERROR(VLOOKUP($B78,'LOD 300 - COLO2'!$B:BU,72,FALSE),"N/A")</f>
        <v>1</v>
      </c>
      <c r="DR78" s="87">
        <f>IFERROR(VLOOKUP($B78,'LOD 300 - COLO2'!$B:BX,75,FALSE),"N/A")</f>
        <v>1</v>
      </c>
      <c r="DS78" s="98">
        <f>IFERROR(VLOOKUP($B78,'LOD 300 - COLO2'!$B:CA,78,FALSE),"N/A")</f>
        <v>1</v>
      </c>
      <c r="DT78" s="98">
        <f>IFERROR(VLOOKUP($B78,'LOD 300 - COLO2'!$B:CD,81,FALSE),"N/A")</f>
        <v>1</v>
      </c>
      <c r="DU78" s="98">
        <f>IFERROR(VLOOKUP($B78,'LOD 300 - COLO2'!$B:CG,84,FALSE),"N/A")</f>
        <v>1</v>
      </c>
      <c r="DV78" s="98">
        <f>IFERROR(VLOOKUP($B78,'LOD 300 - COLO2'!$B:CJ,87,FALSE),"N/A")</f>
        <v>1</v>
      </c>
      <c r="DW78" s="98">
        <f>IFERROR(VLOOKUP($B78,'LOD 300 - COLO2'!$B:CM,90,FALSE),"N/A")</f>
        <v>1</v>
      </c>
      <c r="DX78" s="98">
        <f>IFERROR(VLOOKUP($B78,'LOD 300 - COLO2'!$B:CP,93,FALSE),"N/A")</f>
        <v>1</v>
      </c>
      <c r="DY78" s="87">
        <f>IFERROR(VLOOKUP($B78,'LOD 300 - COLO2'!$B:CS,96,FALSE),"N/A")</f>
        <v>1</v>
      </c>
      <c r="DZ78" s="87">
        <f>IFERROR(VLOOKUP($B78,'LOD 300 - COLO2'!$B:CV,99,FALSE),"N/A")</f>
        <v>1</v>
      </c>
      <c r="EA78" s="87">
        <f>IFERROR(VLOOKUP($B78,'LOD 300 - COLO2'!$B:DB,105,FALSE),"N/A")</f>
        <v>1</v>
      </c>
      <c r="EB78" s="87">
        <f>IFERROR(VLOOKUP($B78,'LOD 300 - COLO2'!$B:DB,105,FALSE),"N/A")</f>
        <v>1</v>
      </c>
      <c r="EC78" s="87">
        <f>IFERROR(VLOOKUP($B78,'LOD 300 - COLO2'!$B:DE,108,FALSE),"N/A")</f>
        <v>1</v>
      </c>
      <c r="ED78" s="87">
        <f>IFERROR(VLOOKUP($B78,'LOD 300 - COLO2'!$B:DH,111,FALSE),"N/A")</f>
        <v>1</v>
      </c>
      <c r="EE78" s="87">
        <f>IFERROR(VLOOKUP($B78,'LOD 300 - COLO2'!$B:DK,114,FALSE),"N/A")</f>
        <v>1</v>
      </c>
      <c r="EF78" s="87">
        <f>IFERROR(VLOOKUP($B78,'LOD 300 - COLO2'!$B:DN,117,FALSE),"N/A")</f>
        <v>1</v>
      </c>
      <c r="EG78" s="87">
        <f>IFERROR(VLOOKUP($B78,'LOD 300 - COLO2'!$B:DQ,120,FALSE),"N/A")</f>
        <v>1</v>
      </c>
      <c r="EH78" s="99">
        <f>IFERROR(__xludf.DUMMYFUNCTION("IFERROR(
  MAX(FILTER(CZ78:EG78, ISNUMBER(CZ78:EG78))),
  EG78
)"),1.0)</f>
        <v>1</v>
      </c>
      <c r="EI78" s="100">
        <f>IFERROR(VLOOKUP($B78,'LOD 300 - COLO3'!$B:R,17,FALSE),"N/A")</f>
        <v>0</v>
      </c>
      <c r="EJ78" s="127">
        <f>IFERROR(VLOOKUP($B78,'LOD 300 - COLO3'!$B:U,20,FALSE),"N/A")</f>
        <v>0.93</v>
      </c>
      <c r="EK78" s="127" t="str">
        <f>IFERROR(VLOOKUP($B78,'LOD 300 - COLO3'!$B:X,23,FALSE),"N/A")</f>
        <v>NEXT ROUND</v>
      </c>
      <c r="EL78" s="127">
        <f>IFERROR(VLOOKUP($B78,'LOD 300 - COLO3'!$B:AA,26,FALSE),"N/A")</f>
        <v>0.93</v>
      </c>
      <c r="EM78" s="127" t="str">
        <f>IFERROR(VLOOKUP($B78,'LOD 300 - COLO3'!$B:AD,29,FALSE),"N/A")</f>
        <v>NEXT ROUND</v>
      </c>
      <c r="EN78" s="127" t="str">
        <f>IFERROR(VLOOKUP($B78,'LOD 300 - COLO3'!$B:AG,32,FALSE),"N/A")</f>
        <v>NEXT ROUND</v>
      </c>
      <c r="EO78" s="127">
        <f>IFERROR(VLOOKUP($B78,'LOD 300 - COLO3'!$B:AJ,35,FALSE),"N/A")</f>
        <v>1</v>
      </c>
      <c r="EP78" s="100">
        <f>IFERROR(VLOOKUP($B78,'LOD 300 - COLO3'!$B:AM,38,FALSE),"N/A")</f>
        <v>1</v>
      </c>
      <c r="EQ78" s="100">
        <f>IFERROR(VLOOKUP($B78,'LOD 300 - COLO3'!$B:AP,41,FALSE),"N/A")</f>
        <v>1</v>
      </c>
      <c r="ER78" s="100">
        <f>IFERROR(VLOOKUP($B78,'LOD 300 - COLO3'!$B:AS,44,FALSE),"N/A")</f>
        <v>1</v>
      </c>
      <c r="ES78" s="100">
        <f>IFERROR(VLOOKUP($B78,'LOD 300 - COLO3'!$B:AV,47,FALSE),"N/A")</f>
        <v>1</v>
      </c>
      <c r="ET78" s="100">
        <f>IFERROR(VLOOKUP($B78,'LOD 300 - COLO3'!$B:AY,50,FALSE),"N/A")</f>
        <v>1</v>
      </c>
      <c r="EU78" s="100">
        <f>IFERROR(VLOOKUP($B78,'LOD 300 - COLO3'!$B:BB,53,FALSE),"N/A")</f>
        <v>1</v>
      </c>
      <c r="EV78" s="100">
        <f>IFERROR(VLOOKUP($B78,'LOD 300 - COLO3'!$B:BE,56,FALSE),"N/A")</f>
        <v>1</v>
      </c>
      <c r="EW78" s="100">
        <f>IFERROR(VLOOKUP($B78,'LOD 300 - COLO3'!$B:BL,59,FALSE),"N/A")</f>
        <v>1</v>
      </c>
      <c r="EX78" s="100">
        <f>IFERROR(VLOOKUP($B78,'LOD 300 - COLO3'!$B:BO,62,FALSE),"N/A")</f>
        <v>1</v>
      </c>
      <c r="EY78" s="103">
        <f>IFERROR(__xludf.DUMMYFUNCTION("IFERROR(
  MAX(FILTER(EI78:EX78, ISNUMBER(EI78:EX78))),
  EX78
)"),1.0)</f>
        <v>1</v>
      </c>
      <c r="EZ78" s="104">
        <f>IFERROR(VLOOKUP($B78,'LOD 300 - COLO4'!$B:BT,17,FALSE),"N/A")</f>
        <v>0</v>
      </c>
      <c r="FA78" s="103">
        <f>IFERROR(__xludf.DUMMYFUNCTION("IFERROR(
  MAX(FILTER(EZ78, ISNUMBER(EZ78))),
  EZ78
)"),0.0)</f>
        <v>0</v>
      </c>
      <c r="FB78" s="121" t="str">
        <f>IFERROR(VLOOKUP($B78,'LOD 300 - SITE'!$B:S,18,FALSE),"N/A")</f>
        <v>N/A</v>
      </c>
      <c r="FC78" s="122" t="str">
        <f>IFERROR(VLOOKUP($B78,'LOD 300 - SITE'!$B:V,21,FALSE),"N/A")</f>
        <v>N/A</v>
      </c>
      <c r="FD78" s="122" t="str">
        <f>IFERROR(VLOOKUP($B78,'LOD 300 - SITE'!$B:Y,24,FALSE),"N/A")</f>
        <v>N/A</v>
      </c>
      <c r="FE78" s="122" t="str">
        <f>IFERROR(VLOOKUP($B78,'LOD 300 - SITE'!$B:AB,27,FALSE),"N/A")</f>
        <v>N/A</v>
      </c>
      <c r="FF78" s="122" t="str">
        <f>IFERROR(VLOOKUP($B78,'LOD 300 - SITE'!$B:AE,30,FALSE),"N/A")</f>
        <v>N/A</v>
      </c>
      <c r="FG78" s="122" t="str">
        <f>IFERROR(VLOOKUP($B78,'LOD 300 - SITE'!$B:AH,33,FALSE),"N/A")</f>
        <v>N/A</v>
      </c>
      <c r="FH78" s="122" t="str">
        <f>IFERROR(VLOOKUP($B78,'LOD 300 - SITE'!$B:AK,36,FALSE),"N/A")</f>
        <v>N/A</v>
      </c>
      <c r="FI78" s="122" t="str">
        <f>IFERROR(VLOOKUP($B78,'LOD 300 - SITE'!$B:AN,39,FALSE),"N/A")</f>
        <v>N/A</v>
      </c>
      <c r="FJ78" s="122" t="str">
        <f>IFERROR(VLOOKUP($B78,'LOD 300 - SITE'!$B:AQ,42,FALSE),"N/A")</f>
        <v>N/A</v>
      </c>
      <c r="FK78" s="122" t="str">
        <f>IFERROR(VLOOKUP($B78,'LOD 300 - SITE'!$B:AT,45,FALSE),"N/A")</f>
        <v>N/A</v>
      </c>
      <c r="FL78" s="123" t="str">
        <f>IFERROR(VLOOKUP($B78,'LOD 300 - SITE'!$B:AW,48,FALSE),"N/A")</f>
        <v>N/A</v>
      </c>
      <c r="FM78" s="87" t="str">
        <f>IFERROR(VLOOKUP($B78,'LOD 300 - SITE'!$B:AZ,51,FALSE),"N/A")</f>
        <v>N/A</v>
      </c>
      <c r="FN78" s="94" t="str">
        <f>IFERROR(VLOOKUP($B78,'LOD 300 - SITE'!$B:BC,54,FALSE),"N/A")</f>
        <v>N/A</v>
      </c>
      <c r="FO78" s="95" t="str">
        <f>IFERROR(VLOOKUP($B78,'LOD 300 - SITE'!$B:BF,57,FALSE),"N/A")</f>
        <v>N/A</v>
      </c>
      <c r="FP78" s="86" t="str">
        <f>IFERROR(VLOOKUP($B78,'LOD 300 - SITE'!$B:BI,60,FALSE),"N/A")</f>
        <v>N/A</v>
      </c>
      <c r="FQ78" s="86" t="str">
        <f>IFERROR(VLOOKUP($B78,'LOD 300 - SITE'!$B:BL,63,FALSE),"N/A")</f>
        <v>N/A</v>
      </c>
      <c r="FR78" s="86" t="str">
        <f>IFERROR(VLOOKUP($B78,'LOD 300 - SITE'!$B:BO,66,FALSE),"N/A")</f>
        <v>N/A</v>
      </c>
      <c r="FS78" s="86" t="str">
        <f>IFERROR(VLOOKUP($B78,'LOD 300 - SITE'!$B:BR,69,FALSE),"N/A")</f>
        <v>N/A</v>
      </c>
      <c r="FT78" s="86" t="str">
        <f>IFERROR(VLOOKUP($B78,'LOD 300 - SITE'!$B:BU,72,FALSE),"N/A")</f>
        <v>N/A</v>
      </c>
      <c r="FU78" s="86" t="str">
        <f>IFERROR(VLOOKUP($B78,'LOD 300 - SITE'!$B:BX,75,FALSE),"N/A")</f>
        <v>N/A</v>
      </c>
      <c r="FV78" s="86" t="str">
        <f>IFERROR(VLOOKUP($B78,'LOD 300 - SITE'!$B:CA,78,FALSE),"N/A")</f>
        <v>N/A</v>
      </c>
      <c r="FW78" s="87" t="str">
        <f>IFERROR(VLOOKUP($B78,'LOD 300 - SITE'!$B:CD,81,FALSE),"N/A")</f>
        <v>N/A</v>
      </c>
      <c r="FX78" s="108" t="str">
        <f>IFERROR(VLOOKUP($B78,'LOD 300 - SITE'!$B:CG,84,FALSE),"N/A")</f>
        <v>N/A</v>
      </c>
      <c r="FY78" s="108" t="str">
        <f>IFERROR(VLOOKUP($B78,'LOD 300 - SITE'!$B:CJ,87,FALSE),"N/A")</f>
        <v>N/A</v>
      </c>
      <c r="FZ78" s="108" t="str">
        <f>IFERROR(VLOOKUP($B78,'LOD 300 - SITE'!$B:CM,90,FALSE),"N/A")</f>
        <v>N/A</v>
      </c>
      <c r="GA78" s="108" t="str">
        <f>IFERROR(VLOOKUP($B78,'LOD 300 - SITE'!$B:CP,93,FALSE),"N/A")</f>
        <v>N/A</v>
      </c>
      <c r="GB78" s="108" t="str">
        <f>IFERROR(VLOOKUP($B78,'LOD 300 - SITE'!$B:CS,96,FALSE),"N/A")</f>
        <v>N/A</v>
      </c>
      <c r="GC78" s="109" t="str">
        <f>IFERROR(VLOOKUP($B78,'LOD 300 - SITE'!$B:CV,99,FALSE),"N/A")</f>
        <v>N/A</v>
      </c>
      <c r="GD78" s="87" t="str">
        <f>IFERROR(VLOOKUP($B78,'LOD 300 - SITE'!$B:CY,102,FALSE),"N/A")</f>
        <v>N/A</v>
      </c>
      <c r="GE78" s="87" t="str">
        <f>IFERROR(VLOOKUP($B78,'LOD 300 - SITE'!$B:DB,105,FALSE),"N/A")</f>
        <v>N/A</v>
      </c>
      <c r="GF78" s="87" t="str">
        <f>IFERROR(VLOOKUP($B78,'LOD 300 - SITE'!$B:DE,108,FALSE),"N/A")</f>
        <v>N/A</v>
      </c>
      <c r="GG78" s="87" t="str">
        <f>IFERROR(VLOOKUP($B78,'LOD 300 - SITE'!$B:DH,111,FALSE),"N/A")</f>
        <v>N/A</v>
      </c>
      <c r="GH78" s="87" t="str">
        <f>IFERROR(VLOOKUP($B78,'LOD 300 - SITE'!$B:DK,114,FALSE),"N/A")</f>
        <v>N/A</v>
      </c>
      <c r="GI78" s="87" t="str">
        <f>IFERROR(VLOOKUP($B78,'LOD 300 - SITE'!$B:DN,117,FALSE),"N/A")</f>
        <v>N/A</v>
      </c>
      <c r="GJ78" s="87" t="str">
        <f>IFERROR(VLOOKUP($B78,'LOD 300 - SITE'!$B:DQ,120,FALSE),"N/A")</f>
        <v>N/A</v>
      </c>
      <c r="GK78" s="87" t="str">
        <f>IFERROR(VLOOKUP($B78,'LOD 300 - SITE'!$B:DT,123,FALSE),"N/A")</f>
        <v>N/A</v>
      </c>
      <c r="GL78" s="87" t="str">
        <f>IFERROR(VLOOKUP($B78,'LOD 300 - SITE'!$B:DW,126,FALSE),"N/A")</f>
        <v>N/A</v>
      </c>
      <c r="GM78" s="110" t="str">
        <f>IFERROR(__xludf.DUMMYFUNCTION("IFERROR(
  MAX(FILTER(FB78:GL78, ISNUMBER(FB78:GL78))),
  GL78
)"),"N/A")</f>
        <v>N/A</v>
      </c>
      <c r="GN78" s="111"/>
      <c r="GO78" s="111"/>
      <c r="GP78" s="111"/>
    </row>
    <row r="79" ht="15.0" customHeight="1" outlineLevel="1">
      <c r="A79" s="60">
        <v>82.0</v>
      </c>
      <c r="B79" s="140" t="s">
        <v>259</v>
      </c>
      <c r="C79" s="70" t="s">
        <v>260</v>
      </c>
      <c r="D79" s="71" t="s">
        <v>245</v>
      </c>
      <c r="E79" s="146" t="s">
        <v>256</v>
      </c>
      <c r="F79" s="13">
        <v>1118.0</v>
      </c>
      <c r="G79" s="139" t="s">
        <v>256</v>
      </c>
      <c r="H79" s="139">
        <v>1118.0</v>
      </c>
      <c r="I79" s="74" t="str">
        <f>IFERROR(VLOOKUP(C76:C218,'R22 RELATÓRIO ACC'!B:F,5,FALSE),"NOT PUBLISHED")</f>
        <v>V28</v>
      </c>
      <c r="J79" s="74" t="str">
        <f>IFERROR(VLOOKUP(C76:C218,'R22 RELATÓRIO ACC'!B:P,15,FALSE),"NOT PUBLISHED")</f>
        <v>26/02/2026</v>
      </c>
      <c r="K79" s="141" t="str">
        <f>IFERROR(VLOOKUP(B76:B266,'RELATÓRIO ACC'!B:F,5,FALSE),"NOT PUBLISHED")</f>
        <v>V1</v>
      </c>
      <c r="L79" s="142" t="str">
        <f>IFERROR(VLOOKUP(B76:B266,'RELATÓRIO ACC'!B:P,15,FALSE),"NOT PUBLISHED")</f>
        <v>19/05/2026</v>
      </c>
      <c r="M79" s="76" t="str">
        <f>IF(OR($D79="UTLS",$D79="GUAR",$D79="STIR",$D79="PUMP",$D79="SITE"),
   VLOOKUP($B79,'LOD 300 - SITE'!B:M,12,FALSE),
   VLOOKUP($B79,'LOD 300 - ADMN'!B:M,12,FALSE)
)</f>
        <v>V21</v>
      </c>
      <c r="N79" s="80">
        <f>IF(OR($D79="UTLS",$D79="GUAR",$D79="STIR",$D79="PUMP",$D79="SITE"),
   VLOOKUP($B79,'LOD 300 - SITE'!B:N,13,FALSE),
   VLOOKUP($B79,'LOD 300 - ADMN'!B:N,13,FALSE)
)</f>
        <v>45860</v>
      </c>
      <c r="O79" s="143" t="str">
        <f>IF(OR($D79="UTLS",$D79="GUAR",$D79="STIR",$D79="PUMP",$D79="SITE"),
   VLOOKUP($B79,'LOD 300 - SITE'!B:O,14,FALSE),
   VLOOKUP($B79,'LOD 300 - ADMN'!B:O,14,FALSE)
)</f>
        <v>R22</v>
      </c>
      <c r="P79" s="79" t="str">
        <f>IF(OR($D79="C345",$D79="C12A",$D79="DATA"),
   VLOOKUP($B79,'LOD 300 - COLO3'!B:M,12,FALSE),"N/A")</f>
        <v>N/A</v>
      </c>
      <c r="Q79" s="76" t="str">
        <f>IF(OR($D79="C345",$D79="C12A",$D79="DATA"),
   VLOOKUP($B79,'LOD 300 - COLO3'!B:N,13,FALSE),"N/A")</f>
        <v>N/A</v>
      </c>
      <c r="R79" s="76" t="str">
        <f>IF(OR($D79="C345",$D79="C12A",$D79="DATA"),
   VLOOKUP($B79,'LOD 300 - COLO3'!B:O,14,FALSE),"N/A")</f>
        <v>N/A</v>
      </c>
      <c r="S79" s="79" t="str">
        <f>IF(OR($D79="C345",$D79="C12A",$D79="DATA"),
   VLOOKUP($B79,'LOD 300 - COLO4'!B:M,12,FALSE),"N/A")</f>
        <v>N/A</v>
      </c>
      <c r="T79" s="76" t="str">
        <f>IF(OR($D79="C345",$D79="C12A",$D79="DATA"),
   VLOOKUP($B79,'LOD 300 - COLO4'!B:T,13,FALSE),"N/A")</f>
        <v>N/A</v>
      </c>
      <c r="U79" s="76" t="str">
        <f>IF(OR($D79="C345",$D79="C12A",$D79="DATA"),
   VLOOKUP($B79,'LOD 300 - COLO4'!B:U,17,FALSE),"N/A")</f>
        <v>N/A</v>
      </c>
      <c r="V79" s="126" t="s">
        <v>129</v>
      </c>
      <c r="W79" s="144" t="str">
        <f>IFERROR(VLOOKUP($B79,'LOD 300 - ADMN'!$B:S,18,FALSE),"N/A")</f>
        <v>N/A</v>
      </c>
      <c r="X79" s="122" t="str">
        <f>IFERROR(VLOOKUP($B79,'LOD 300 - ADMN'!$B:V,21,FALSE),"N/A")</f>
        <v>N/A</v>
      </c>
      <c r="Y79" s="122" t="str">
        <f>IFERROR(VLOOKUP($B79,'LOD 300 - ADMN'!$B:Y,24,FALSE),"N/A")</f>
        <v>N/A</v>
      </c>
      <c r="Z79" s="122" t="str">
        <f>IFERROR(VLOOKUP($B79,'LOD 300 - ADMN'!$B:AB,27,FALSE),"N/A")</f>
        <v>N/A</v>
      </c>
      <c r="AA79" s="122" t="str">
        <f>IFERROR(VLOOKUP($B79,'LOD 300 - ADMN'!$B:AE,30,FALSE),"N/A")</f>
        <v>N/A</v>
      </c>
      <c r="AB79" s="145" t="str">
        <f>IFERROR(VLOOKUP($B79,'LOD 300 - ADMN'!$B:AH,33,FALSE),"N/A")</f>
        <v>N/A</v>
      </c>
      <c r="AC79" s="145" t="str">
        <f>IFERROR(VLOOKUP($B79,'LOD 300 - ADMN'!$B:AK,36,FALSE),"N/A")</f>
        <v>N/A</v>
      </c>
      <c r="AD79" s="122" t="str">
        <f>IFERROR(VLOOKUP($B79,'LOD 300 - ADMN'!$B:AN,39,FALSE),"N/A")</f>
        <v>N/A</v>
      </c>
      <c r="AE79" s="122" t="str">
        <f>IFERROR(VLOOKUP($B79,'LOD 300 - ADMN'!$B:AQ,42,FALSE),"N/A")</f>
        <v>N/A</v>
      </c>
      <c r="AF79" s="122" t="str">
        <f>IFERROR(VLOOKUP($B79,'LOD 300 - ADMN'!$B:AT,45,FALSE),"N/A")</f>
        <v>N/A</v>
      </c>
      <c r="AG79" s="122" t="str">
        <f>IFERROR(VLOOKUP($B79,'LOD 300 - ADMN'!$B:AW,48,FALSE),"N/A")</f>
        <v>N/A</v>
      </c>
      <c r="AH79" s="122" t="str">
        <f>IFERROR(VLOOKUP($B79,'LOD 300 - ADMN'!$B:AZ,51,FALSE),"N/A")</f>
        <v>N/A</v>
      </c>
      <c r="AI79" s="122" t="str">
        <f>IFERROR(VLOOKUP($B79,'LOD 300 - ADMN'!$B:BC,54,FALSE),"N/A")</f>
        <v>N/A</v>
      </c>
      <c r="AJ79" s="87" t="str">
        <f>IFERROR(VLOOKUP($B79,'LOD 300 - ADMN'!$B:BF,57,FALSE),"N/A")</f>
        <v>N/A</v>
      </c>
      <c r="AK79" s="87" t="str">
        <f>IFERROR(VLOOKUP($B79,'LOD 300 - ADMN'!$B:EP,60,FALSE),"N/A")</f>
        <v>N/A</v>
      </c>
      <c r="AL79" s="87" t="str">
        <f>IFERROR(VLOOKUP($B79,'LOD 300 - ADMN'!$B:EQ,63,FALSE),"N/A")</f>
        <v>N/A</v>
      </c>
      <c r="AM79" s="87" t="str">
        <f>IFERROR(VLOOKUP($B79,'LOD 300 - ADMN'!$B:BO,66,FALSE),"N/A")</f>
        <v>N/A</v>
      </c>
      <c r="AN79" s="87" t="str">
        <f>IFERROR(VLOOKUP($B79,'LOD 300 - ADMN'!$B:BR,69,FALSE),"N/A")</f>
        <v>N/A</v>
      </c>
      <c r="AO79" s="87" t="str">
        <f>IFERROR(VLOOKUP($B79,'LOD 300 - ADMN'!$B:BU,72,FALSE),"N/A")</f>
        <v>N/A</v>
      </c>
      <c r="AP79" s="87" t="str">
        <f>IFERROR(VLOOKUP($B79,'LOD 300 - ADMN'!$B:BX,75,FALSE),"N/A")</f>
        <v>N/A</v>
      </c>
      <c r="AQ79" s="87" t="str">
        <f>IFERROR(VLOOKUP($B79,'LOD 300 - ADMN'!$B:CA,78,FALSE),"N/A")</f>
        <v>N/A</v>
      </c>
      <c r="AR79" s="87" t="str">
        <f>IFERROR(VLOOKUP($B79,'LOD 300 - ADMN'!$B:CD,81,FALSE),"N/A")</f>
        <v>N/A</v>
      </c>
      <c r="AS79" s="87" t="str">
        <f>IFERROR(VLOOKUP($B79,'LOD 300 - ADMN'!$B:CG,84,FALSE),"N/A")</f>
        <v>N/A</v>
      </c>
      <c r="AT79" s="87" t="str">
        <f>IFERROR(VLOOKUP($B79,'LOD 300 - ADMN'!$B:CJ,87,FALSE),"N/A")</f>
        <v>N/A</v>
      </c>
      <c r="AU79" s="88" t="str">
        <f>IFERROR(VLOOKUP($B79,'LOD 300 - ADMN'!$B:CM,90,FALSE),"N/A")</f>
        <v>N/A</v>
      </c>
      <c r="AV79" s="88" t="str">
        <f>IFERROR(VLOOKUP($B79,'LOD 300 - ADMN'!$B:CP,93,FALSE),"N/A")</f>
        <v>N/A</v>
      </c>
      <c r="AW79" s="88" t="str">
        <f>IFERROR(VLOOKUP($B79,'LOD 300 - ADMN'!$B:CS,96,FALSE),"N/A")</f>
        <v>N/A</v>
      </c>
      <c r="AX79" s="88" t="str">
        <f>IFERROR(VLOOKUP($B79,'LOD 300 - ADMN'!$B:CV,99,FALSE),"N/A")</f>
        <v>N/A</v>
      </c>
      <c r="AY79" s="88" t="str">
        <f>IFERROR(VLOOKUP($B79,'LOD 300 - ADMN'!$B:CY,102,FALSE),"N/A")</f>
        <v>N/A</v>
      </c>
      <c r="AZ79" s="88" t="str">
        <f>IFERROR(VLOOKUP($B79,'LOD 300 - ADMN'!$B:DB,105,FALSE),"N/A")</f>
        <v>N/A</v>
      </c>
      <c r="BA79" s="87" t="str">
        <f>IFERROR(VLOOKUP($B79,'LOD 300 - ADMN'!$B:DE,108,FALSE),"N/A")</f>
        <v>N/A</v>
      </c>
      <c r="BB79" s="87" t="str">
        <f>IFERROR(VLOOKUP($B79,'LOD 300 - ADMN'!$B:DH,111,FALSE),"N/A")</f>
        <v>N/A</v>
      </c>
      <c r="BC79" s="87" t="str">
        <f>IFERROR(VLOOKUP($B79,'LOD 300 - ADMN'!$B:DK,114,FALSE),"N/A")</f>
        <v>N/A</v>
      </c>
      <c r="BD79" s="87" t="str">
        <f>IFERROR(VLOOKUP($B79,'LOD 300 - ADMN'!$B:DN,117,FALSE),"N/A")</f>
        <v>N/A</v>
      </c>
      <c r="BE79" s="87" t="str">
        <f>IFERROR(VLOOKUP($B79,'LOD 300 - ADMN'!$B:DQ,120,FALSE),"N/A")</f>
        <v>N/A</v>
      </c>
      <c r="BF79" s="87" t="str">
        <f>IFERROR(VLOOKUP($B79,'LOD 300 - ADMN'!$B:DT,123,FALSE),"N/A")</f>
        <v>N/A</v>
      </c>
      <c r="BG79" s="87" t="str">
        <f>IFERROR(VLOOKUP($B79,'LOD 300 - ADMN'!$B:DW,126,FALSE),"N/A")</f>
        <v>N/A</v>
      </c>
      <c r="BH79" s="87" t="str">
        <f>IFERROR(VLOOKUP($B79,'LOD 300 - ADMN'!$B:DZ,129,FALSE),"N/A")</f>
        <v>N/A</v>
      </c>
      <c r="BI79" s="87" t="str">
        <f>IFERROR(VLOOKUP($B79,'LOD 300 - ADMN'!$B:EC,132,FALSE),"N/A")</f>
        <v>N/A</v>
      </c>
      <c r="BJ79" s="90" t="str">
        <f>IFERROR(__xludf.DUMMYFUNCTION("IFERROR(
  MAX(FILTER(X79:BI79, ISNUMBER(X79:BI79))),
  BI79
)"),"N/A")</f>
        <v>N/A</v>
      </c>
      <c r="BK79" s="91" t="str">
        <f>IFERROR(VLOOKUP($B79,'LOD 300 - COLO1'!$B:S,18,FALSE),"N/A")</f>
        <v>N/A</v>
      </c>
      <c r="BL79" s="92" t="str">
        <f>IFERROR(VLOOKUP($B79,'LOD 300 - COLO1'!$B:V,21,FALSE),"N/A")</f>
        <v>N/A</v>
      </c>
      <c r="BM79" s="92" t="str">
        <f>IFERROR(VLOOKUP($B79,'LOD 300 - COLO1'!$B:Y,24,FALSE),"N/A")</f>
        <v>N/A</v>
      </c>
      <c r="BN79" s="92" t="str">
        <f>IFERROR(VLOOKUP($B79,'LOD 300 - COLO1'!$B:AB,27,FALSE),"N/A")</f>
        <v>N/A</v>
      </c>
      <c r="BO79" s="92" t="str">
        <f>IFERROR(VLOOKUP($B79,'LOD 300 - COLO1'!$B:AE,30,FALSE),"N/A")</f>
        <v>N/A</v>
      </c>
      <c r="BP79" s="92" t="str">
        <f>IFERROR(VLOOKUP($B79,'LOD 300 - COLO1'!$B:AH,33,FALSE),"N/A")</f>
        <v>N/A</v>
      </c>
      <c r="BQ79" s="92" t="str">
        <f>IFERROR(VLOOKUP($B79,'LOD 300 - COLO1'!$B:AK,36,FALSE),"N/A")</f>
        <v>N/A</v>
      </c>
      <c r="BR79" s="92" t="str">
        <f>IFERROR(VLOOKUP($B79,'LOD 300 - COLO1'!$B:AN,39,FALSE),"N/A")</f>
        <v>N/A</v>
      </c>
      <c r="BS79" s="92" t="str">
        <f>IFERROR(VLOOKUP($B79,'LOD 300 - COLO1'!$B:AQ,42,FALSE),"N/A")</f>
        <v>N/A</v>
      </c>
      <c r="BT79" s="92" t="str">
        <f>IFERROR(VLOOKUP($B79,'LOD 300 - COLO1'!$B:AT,45,FALSE),"N/A")</f>
        <v>N/A</v>
      </c>
      <c r="BU79" s="92" t="str">
        <f>IFERROR(VLOOKUP($B79,'LOD 300 - COLO1'!$B:AW,48,FALSE),"N/A")</f>
        <v>N/A</v>
      </c>
      <c r="BV79" s="92" t="str">
        <f>IFERROR(VLOOKUP($B79,'LOD 300 - COLO1'!$B:AZ,51,FALSE),"N/A")</f>
        <v>N/A</v>
      </c>
      <c r="BW79" s="92" t="str">
        <f>IFERROR(VLOOKUP($B79,'LOD 300 - COLO1'!$B:BC,54,FALSE),"N/A")</f>
        <v>N/A</v>
      </c>
      <c r="BX79" s="94" t="str">
        <f>IFERROR(VLOOKUP($B79,'LOD 300 - COLO1'!$B:BF,57,FALSE),"N/A")</f>
        <v>N/A</v>
      </c>
      <c r="BY79" s="94" t="str">
        <f>IFERROR(VLOOKUP($B79,'LOD 300 - COLO1'!$B:BI,60,FALSE),"N/A")</f>
        <v>N/A</v>
      </c>
      <c r="BZ79" s="95" t="str">
        <f>IFERROR(VLOOKUP($B79,'LOD 300 - COLO1'!$B:BL,63,FALSE),"N/A")</f>
        <v>N/A</v>
      </c>
      <c r="CA79" s="86" t="str">
        <f>IFERROR(VLOOKUP($B79,'LOD 300 - COLO1'!$B:BO,66,FALSE),"N/A")</f>
        <v>N/A</v>
      </c>
      <c r="CB79" s="86" t="str">
        <f>IFERROR(VLOOKUP($B79,'LOD 300 - COLO1'!$B:BR,69,FALSE),"N/A")</f>
        <v>N/A</v>
      </c>
      <c r="CC79" s="86" t="str">
        <f>IFERROR(VLOOKUP($B79,'LOD 300 - COLO1'!$B:BU,72,FALSE),"N/A")</f>
        <v>N/A</v>
      </c>
      <c r="CD79" s="86" t="str">
        <f>IFERROR(VLOOKUP($B79,'LOD 300 - COLO1'!$B:BX,75,FALSE),"N/A")</f>
        <v>N/A</v>
      </c>
      <c r="CE79" s="86" t="str">
        <f>IFERROR(VLOOKUP($B79,'LOD 300 - COLO1'!$B:CA,78,FALSE),"N/A")</f>
        <v>N/A</v>
      </c>
      <c r="CF79" s="87" t="str">
        <f>IFERROR(VLOOKUP($B79,'LOD 300 - COLO1'!$B:CD,81,FALSE),"N/A")</f>
        <v>N/A</v>
      </c>
      <c r="CG79" s="86" t="str">
        <f>IFERROR(VLOOKUP($B79,'LOD 300 - COLO1'!$B:CG,84,FALSE),"N/A")</f>
        <v>N/A</v>
      </c>
      <c r="CH79" s="87" t="str">
        <f>IFERROR(VLOOKUP($B79,'LOD 300 - COLO1'!$B:CJ,87,FALSE),"N/A")</f>
        <v>N/A</v>
      </c>
      <c r="CI79" s="88" t="str">
        <f>IFERROR(VLOOKUP($B79,'LOD 300 - COLO1'!$B:CM,90,FALSE),"N/A")</f>
        <v>N/A</v>
      </c>
      <c r="CJ79" s="88" t="str">
        <f>IFERROR(VLOOKUP($B79,'LOD 300 - COLO1'!$B:CP,93,FALSE),"N/A")</f>
        <v>N/A</v>
      </c>
      <c r="CK79" s="88" t="str">
        <f>IFERROR(VLOOKUP($B79,'LOD 300 - COLO1'!$B:CS,96,FALSE),"N/A")</f>
        <v>N/A</v>
      </c>
      <c r="CL79" s="88" t="str">
        <f>IFERROR(VLOOKUP($B79,'LOD 300 - COLO1'!$B:CV,99,FALSE),"N/A")</f>
        <v>N/A</v>
      </c>
      <c r="CM79" s="88" t="str">
        <f>IFERROR(VLOOKUP($B79,'LOD 300 - COLO1'!$B:CY,102,FALSE),"N/A")</f>
        <v>N/A</v>
      </c>
      <c r="CN79" s="89" t="str">
        <f>IFERROR(VLOOKUP($B79,'LOD 300 - COLO1'!$B:DB,105,FALSE),"N/A")</f>
        <v>N/A</v>
      </c>
      <c r="CO79" s="87" t="str">
        <f>IFERROR(VLOOKUP($B79,'LOD 300 - COLO1'!$B:EE,108,FALSE),"N/A")</f>
        <v>N/A</v>
      </c>
      <c r="CP79" s="87" t="str">
        <f>IFERROR(VLOOKUP($B79,'LOD 300 - COLO1'!$B:EH,111,FALSE),"N/A")</f>
        <v>N/A</v>
      </c>
      <c r="CQ79" s="87" t="str">
        <f>IFERROR(VLOOKUP($B79,'LOD 300 - COLO1'!$B:EK,114,FALSE),"N/A")</f>
        <v>N/A</v>
      </c>
      <c r="CR79" s="87" t="str">
        <f>IFERROR(VLOOKUP($B79,'LOD 300 - COLO1'!$B:EN,117,FALSE),"N/A")</f>
        <v>N/A</v>
      </c>
      <c r="CS79" s="87" t="str">
        <f>IFERROR(VLOOKUP($B79,'LOD 300 - COLO1'!$B:EQ,120,FALSE),"N/A")</f>
        <v>N/A</v>
      </c>
      <c r="CT79" s="87" t="str">
        <f>IFERROR(VLOOKUP($B79,'LOD 300 - COLO1'!$B:ET,123,FALSE),"N/A")</f>
        <v>N/A</v>
      </c>
      <c r="CU79" s="87" t="str">
        <f>IFERROR(VLOOKUP($B79,'LOD 300 - COLO1'!$B:EW,126,FALSE),"N/A")</f>
        <v>N/A</v>
      </c>
      <c r="CV79" s="87" t="str">
        <f>IFERROR(VLOOKUP($B79,'LOD 300 - COLO1'!$B:EZ,129,FALSE),"N/A")</f>
        <v>N/A</v>
      </c>
      <c r="CW79" s="87" t="str">
        <f>IFERROR(VLOOKUP($B79,'LOD 300 - COLO1'!$B:FC,132,FALSE),"N/A")</f>
        <v>N/A</v>
      </c>
      <c r="CX79" s="96" t="str">
        <f>IFERROR(__xludf.DUMMYFUNCTION("IFERROR(
  MAX(FILTER(BK79:CW79, ISNUMBER(BK79:CW79))),
  CW79
)"),"N/A")</f>
        <v>N/A</v>
      </c>
      <c r="CY79" s="104" t="str">
        <f>IFERROR(VLOOKUP($B79,'LOD 300 - COLO2'!$B:S,18,FALSE),"N/A")</f>
        <v>N/A</v>
      </c>
      <c r="CZ79" s="117" t="str">
        <f>IFERROR(VLOOKUP($B79,'LOD 300 - COLO2'!$B:V,21,FALSE),"N/A")</f>
        <v>N/A</v>
      </c>
      <c r="DA79" s="117" t="str">
        <f>IFERROR(VLOOKUP($B79,'LOD 300 - COLO2'!$B:Y,24,FALSE),"N/A")</f>
        <v>N/A</v>
      </c>
      <c r="DB79" s="117" t="str">
        <f>IFERROR(VLOOKUP($B79,'LOD 300 - COLO2'!$B:AB,27,FALSE),"N/A")</f>
        <v>N/A</v>
      </c>
      <c r="DC79" s="92" t="str">
        <f>IFERROR(VLOOKUP($B79,'LOD 300 - COLO2'!$B:AE,30,FALSE),"N/A")</f>
        <v>N/A</v>
      </c>
      <c r="DD79" s="120" t="str">
        <f>IFERROR(VLOOKUP($B79,'LOD 300 - COLO2'!$B:AH,33,FALSE),"N/A")</f>
        <v>N/A</v>
      </c>
      <c r="DE79" s="117" t="str">
        <f>IFERROR(VLOOKUP($B79,'LOD 300 - COLO2'!$B:AK,36,FALSE),"N/A")</f>
        <v>N/A</v>
      </c>
      <c r="DF79" s="117" t="str">
        <f>IFERROR(VLOOKUP($B79,'LOD 300 - COLO2'!$B:AN,39,FALSE),"N/A")</f>
        <v>N/A</v>
      </c>
      <c r="DG79" s="119" t="str">
        <f>IFERROR(VLOOKUP($B79,'LOD 300 - COLO2'!$B:AQ,42,FALSE),"N/A")</f>
        <v>N/A</v>
      </c>
      <c r="DH79" s="87" t="str">
        <f>IFERROR(VLOOKUP($B79,'LOD 300 - COLO2'!$B:AT,45,FALSE),"N/A")</f>
        <v>N/A</v>
      </c>
      <c r="DI79" s="94" t="str">
        <f>IFERROR(VLOOKUP($B79,'LOD 300 - COLO2'!$B:AW,48,FALSE),"N/A")</f>
        <v>N/A</v>
      </c>
      <c r="DJ79" s="95" t="str">
        <f>IFERROR(VLOOKUP($B79,'LOD 300 - COLO2'!$B:AZ,51,FALSE),"N/A")</f>
        <v>N/A</v>
      </c>
      <c r="DK79" s="86" t="str">
        <f>IFERROR(VLOOKUP($B79,'LOD 300 - COLO2'!$B:BC,54,FALSE),"N/A")</f>
        <v>N/A</v>
      </c>
      <c r="DL79" s="86" t="str">
        <f>IFERROR(VLOOKUP($B79,'LOD 300 - COLO2'!$B:BF,57,FALSE),"N/A")</f>
        <v>N/A</v>
      </c>
      <c r="DM79" s="86" t="str">
        <f>IFERROR(VLOOKUP($B79,'LOD 300 - COLO2'!$B:BI,60,FALSE),"N/A")</f>
        <v>N/A</v>
      </c>
      <c r="DN79" s="86" t="str">
        <f>IFERROR(VLOOKUP($B79,'LOD 300 - COLO2'!$B:BL,63,FALSE),"N/A")</f>
        <v>N/A</v>
      </c>
      <c r="DO79" s="86" t="str">
        <f>IFERROR(VLOOKUP($B79,'LOD 300 - COLO2'!$B:BO,66,FALSE),"N/A")</f>
        <v>N/A</v>
      </c>
      <c r="DP79" s="87" t="str">
        <f>IFERROR(VLOOKUP($B79,'LOD 300 - COLO2'!$B:BR,69,FALSE),"N/A")</f>
        <v>N/A</v>
      </c>
      <c r="DQ79" s="87" t="str">
        <f>IFERROR(VLOOKUP($B79,'LOD 300 - COLO2'!$B:BU,72,FALSE),"N/A")</f>
        <v>N/A</v>
      </c>
      <c r="DR79" s="87" t="str">
        <f>IFERROR(VLOOKUP($B79,'LOD 300 - COLO2'!$B:BX,75,FALSE),"N/A")</f>
        <v>N/A</v>
      </c>
      <c r="DS79" s="98" t="str">
        <f>IFERROR(VLOOKUP($B79,'LOD 300 - COLO2'!$B:CA,78,FALSE),"N/A")</f>
        <v>N/A</v>
      </c>
      <c r="DT79" s="98" t="str">
        <f>IFERROR(VLOOKUP($B79,'LOD 300 - COLO2'!$B:CD,81,FALSE),"N/A")</f>
        <v>N/A</v>
      </c>
      <c r="DU79" s="98" t="str">
        <f>IFERROR(VLOOKUP($B79,'LOD 300 - COLO2'!$B:CG,84,FALSE),"N/A")</f>
        <v>N/A</v>
      </c>
      <c r="DV79" s="98" t="str">
        <f>IFERROR(VLOOKUP($B79,'LOD 300 - COLO2'!$B:CJ,87,FALSE),"N/A")</f>
        <v>N/A</v>
      </c>
      <c r="DW79" s="98" t="str">
        <f>IFERROR(VLOOKUP($B79,'LOD 300 - COLO2'!$B:CM,90,FALSE),"N/A")</f>
        <v>N/A</v>
      </c>
      <c r="DX79" s="98" t="str">
        <f>IFERROR(VLOOKUP($B79,'LOD 300 - COLO2'!$B:CP,93,FALSE),"N/A")</f>
        <v>N/A</v>
      </c>
      <c r="DY79" s="87" t="str">
        <f>IFERROR(VLOOKUP($B79,'LOD 300 - COLO2'!$B:CS,96,FALSE),"N/A")</f>
        <v>N/A</v>
      </c>
      <c r="DZ79" s="87" t="str">
        <f>IFERROR(VLOOKUP($B79,'LOD 300 - COLO2'!$B:CV,99,FALSE),"N/A")</f>
        <v>N/A</v>
      </c>
      <c r="EA79" s="87" t="str">
        <f>IFERROR(VLOOKUP($B79,'LOD 300 - COLO2'!$B:DB,105,FALSE),"N/A")</f>
        <v>N/A</v>
      </c>
      <c r="EB79" s="87" t="str">
        <f>IFERROR(VLOOKUP($B79,'LOD 300 - COLO2'!$B:DB,105,FALSE),"N/A")</f>
        <v>N/A</v>
      </c>
      <c r="EC79" s="87" t="str">
        <f>IFERROR(VLOOKUP($B79,'LOD 300 - COLO2'!$B:DE,108,FALSE),"N/A")</f>
        <v>N/A</v>
      </c>
      <c r="ED79" s="87" t="str">
        <f>IFERROR(VLOOKUP($B79,'LOD 300 - COLO2'!$B:DH,111,FALSE),"N/A")</f>
        <v>N/A</v>
      </c>
      <c r="EE79" s="87" t="str">
        <f>IFERROR(VLOOKUP($B79,'LOD 300 - COLO2'!$B:DK,114,FALSE),"N/A")</f>
        <v>N/A</v>
      </c>
      <c r="EF79" s="87" t="str">
        <f>IFERROR(VLOOKUP($B79,'LOD 300 - COLO2'!$B:DN,117,FALSE),"N/A")</f>
        <v>N/A</v>
      </c>
      <c r="EG79" s="87" t="str">
        <f>IFERROR(VLOOKUP($B79,'LOD 300 - COLO2'!$B:DQ,120,FALSE),"N/A")</f>
        <v>N/A</v>
      </c>
      <c r="EH79" s="99" t="str">
        <f>IFERROR(__xludf.DUMMYFUNCTION("IFERROR(
  MAX(FILTER(CZ79:EG79, ISNUMBER(CZ79:EG79))),
  EG79
)"),"N/A")</f>
        <v>N/A</v>
      </c>
      <c r="EI79" s="100" t="str">
        <f>IFERROR(VLOOKUP($B79,'LOD 300 - COLO3'!$B:R,17,FALSE),"N/A")</f>
        <v>N/A</v>
      </c>
      <c r="EJ79" s="127" t="str">
        <f>IFERROR(VLOOKUP($B79,'LOD 300 - COLO3'!$B:U,20,FALSE),"N/A")</f>
        <v>N/A</v>
      </c>
      <c r="EK79" s="127" t="str">
        <f>IFERROR(VLOOKUP($B79,'LOD 300 - COLO3'!$B:X,23,FALSE),"N/A")</f>
        <v>N/A</v>
      </c>
      <c r="EL79" s="127" t="str">
        <f>IFERROR(VLOOKUP($B79,'LOD 300 - COLO3'!$B:AA,26,FALSE),"N/A")</f>
        <v>N/A</v>
      </c>
      <c r="EM79" s="127" t="str">
        <f>IFERROR(VLOOKUP($B79,'LOD 300 - COLO3'!$B:AD,29,FALSE),"N/A")</f>
        <v>N/A</v>
      </c>
      <c r="EN79" s="127" t="str">
        <f>IFERROR(VLOOKUP($B79,'LOD 300 - COLO3'!$B:AG,32,FALSE),"N/A")</f>
        <v>N/A</v>
      </c>
      <c r="EO79" s="127" t="str">
        <f>IFERROR(VLOOKUP($B79,'LOD 300 - COLO3'!$B:AJ,35,FALSE),"N/A")</f>
        <v>N/A</v>
      </c>
      <c r="EP79" s="100" t="str">
        <f>IFERROR(VLOOKUP($B79,'LOD 300 - COLO3'!$B:AM,38,FALSE),"N/A")</f>
        <v>N/A</v>
      </c>
      <c r="EQ79" s="100" t="str">
        <f>IFERROR(VLOOKUP($B79,'LOD 300 - COLO3'!$B:AP,41,FALSE),"N/A")</f>
        <v>N/A</v>
      </c>
      <c r="ER79" s="100" t="str">
        <f>IFERROR(VLOOKUP($B79,'LOD 300 - COLO3'!$B:AS,44,FALSE),"N/A")</f>
        <v>N/A</v>
      </c>
      <c r="ES79" s="100" t="str">
        <f>IFERROR(VLOOKUP($B79,'LOD 300 - COLO3'!$B:AV,47,FALSE),"N/A")</f>
        <v>N/A</v>
      </c>
      <c r="ET79" s="100" t="str">
        <f>IFERROR(VLOOKUP($B79,'LOD 300 - COLO3'!$B:AY,50,FALSE),"N/A")</f>
        <v>N/A</v>
      </c>
      <c r="EU79" s="100" t="str">
        <f>IFERROR(VLOOKUP($B79,'LOD 300 - COLO3'!$B:BB,53,FALSE),"N/A")</f>
        <v>N/A</v>
      </c>
      <c r="EV79" s="100" t="str">
        <f>IFERROR(VLOOKUP($B79,'LOD 300 - COLO3'!$B:BE,56,FALSE),"N/A")</f>
        <v>N/A</v>
      </c>
      <c r="EW79" s="100" t="str">
        <f>IFERROR(VLOOKUP($B79,'LOD 300 - COLO3'!$B:BL,59,FALSE),"N/A")</f>
        <v>N/A</v>
      </c>
      <c r="EX79" s="100" t="str">
        <f>IFERROR(VLOOKUP($B79,'LOD 300 - COLO3'!$B:BO,62,FALSE),"N/A")</f>
        <v>N/A</v>
      </c>
      <c r="EY79" s="103" t="str">
        <f>IFERROR(__xludf.DUMMYFUNCTION("IFERROR(
  MAX(FILTER(EI79:EX79, ISNUMBER(EI79:EX79))),
  EX79
)"),"N/A")</f>
        <v>N/A</v>
      </c>
      <c r="EZ79" s="104" t="str">
        <f>IFERROR(VLOOKUP($B79,'LOD 300 - COLO4'!$B:BT,17,FALSE),"N/A")</f>
        <v>N/A</v>
      </c>
      <c r="FA79" s="103" t="str">
        <f>IFERROR(__xludf.DUMMYFUNCTION("IFERROR(
  MAX(FILTER(EZ79, ISNUMBER(EZ79))),
  EZ79
)"),"N/A")</f>
        <v>N/A</v>
      </c>
      <c r="FB79" s="121">
        <f>IFERROR(VLOOKUP($B79,'LOD 300 - SITE'!$B:S,18,FALSE),"N/A")</f>
        <v>0.62</v>
      </c>
      <c r="FC79" s="122">
        <f>IFERROR(VLOOKUP($B79,'LOD 300 - SITE'!$B:V,21,FALSE),"N/A")</f>
        <v>1</v>
      </c>
      <c r="FD79" s="122">
        <f>IFERROR(VLOOKUP($B79,'LOD 300 - SITE'!$B:Y,24,FALSE),"N/A")</f>
        <v>1</v>
      </c>
      <c r="FE79" s="122">
        <f>IFERROR(VLOOKUP($B79,'LOD 300 - SITE'!$B:AB,27,FALSE),"N/A")</f>
        <v>1</v>
      </c>
      <c r="FF79" s="122">
        <f>IFERROR(VLOOKUP($B79,'LOD 300 - SITE'!$B:AE,30,FALSE),"N/A")</f>
        <v>1</v>
      </c>
      <c r="FG79" s="122">
        <f>IFERROR(VLOOKUP($B79,'LOD 300 - SITE'!$B:AH,33,FALSE),"N/A")</f>
        <v>1</v>
      </c>
      <c r="FH79" s="122">
        <f>IFERROR(VLOOKUP($B79,'LOD 300 - SITE'!$B:AK,36,FALSE),"N/A")</f>
        <v>1</v>
      </c>
      <c r="FI79" s="122">
        <f>IFERROR(VLOOKUP($B79,'LOD 300 - SITE'!$B:AN,39,FALSE),"N/A")</f>
        <v>1</v>
      </c>
      <c r="FJ79" s="122">
        <f>IFERROR(VLOOKUP($B79,'LOD 300 - SITE'!$B:AQ,42,FALSE),"N/A")</f>
        <v>1</v>
      </c>
      <c r="FK79" s="122">
        <f>IFERROR(VLOOKUP($B79,'LOD 300 - SITE'!$B:AT,45,FALSE),"N/A")</f>
        <v>1</v>
      </c>
      <c r="FL79" s="123">
        <f>IFERROR(VLOOKUP($B79,'LOD 300 - SITE'!$B:AW,48,FALSE),"N/A")</f>
        <v>1</v>
      </c>
      <c r="FM79" s="87">
        <f>IFERROR(VLOOKUP($B79,'LOD 300 - SITE'!$B:AZ,51,FALSE),"N/A")</f>
        <v>1</v>
      </c>
      <c r="FN79" s="94">
        <f>IFERROR(VLOOKUP($B79,'LOD 300 - SITE'!$B:BC,54,FALSE),"N/A")</f>
        <v>1</v>
      </c>
      <c r="FO79" s="95">
        <f>IFERROR(VLOOKUP($B79,'LOD 300 - SITE'!$B:BF,57,FALSE),"N/A")</f>
        <v>1</v>
      </c>
      <c r="FP79" s="86">
        <f>IFERROR(VLOOKUP($B79,'LOD 300 - SITE'!$B:BI,60,FALSE),"N/A")</f>
        <v>1</v>
      </c>
      <c r="FQ79" s="86">
        <f>IFERROR(VLOOKUP($B79,'LOD 300 - SITE'!$B:BL,63,FALSE),"N/A")</f>
        <v>1</v>
      </c>
      <c r="FR79" s="86">
        <f>IFERROR(VLOOKUP($B79,'LOD 300 - SITE'!$B:BO,66,FALSE),"N/A")</f>
        <v>1</v>
      </c>
      <c r="FS79" s="86">
        <f>IFERROR(VLOOKUP($B79,'LOD 300 - SITE'!$B:BR,69,FALSE),"N/A")</f>
        <v>1</v>
      </c>
      <c r="FT79" s="86">
        <f>IFERROR(VLOOKUP($B79,'LOD 300 - SITE'!$B:BU,72,FALSE),"N/A")</f>
        <v>1</v>
      </c>
      <c r="FU79" s="86">
        <f>IFERROR(VLOOKUP($B79,'LOD 300 - SITE'!$B:BX,75,FALSE),"N/A")</f>
        <v>1</v>
      </c>
      <c r="FV79" s="86">
        <f>IFERROR(VLOOKUP($B79,'LOD 300 - SITE'!$B:CA,78,FALSE),"N/A")</f>
        <v>1</v>
      </c>
      <c r="FW79" s="87">
        <f>IFERROR(VLOOKUP($B79,'LOD 300 - SITE'!$B:CD,81,FALSE),"N/A")</f>
        <v>1</v>
      </c>
      <c r="FX79" s="108">
        <f>IFERROR(VLOOKUP($B79,'LOD 300 - SITE'!$B:CG,84,FALSE),"N/A")</f>
        <v>1</v>
      </c>
      <c r="FY79" s="108">
        <f>IFERROR(VLOOKUP($B79,'LOD 300 - SITE'!$B:CJ,87,FALSE),"N/A")</f>
        <v>1</v>
      </c>
      <c r="FZ79" s="108">
        <f>IFERROR(VLOOKUP($B79,'LOD 300 - SITE'!$B:CM,90,FALSE),"N/A")</f>
        <v>1</v>
      </c>
      <c r="GA79" s="108">
        <f>IFERROR(VLOOKUP($B79,'LOD 300 - SITE'!$B:CP,93,FALSE),"N/A")</f>
        <v>1</v>
      </c>
      <c r="GB79" s="108">
        <f>IFERROR(VLOOKUP($B79,'LOD 300 - SITE'!$B:CS,96,FALSE),"N/A")</f>
        <v>1</v>
      </c>
      <c r="GC79" s="109">
        <f>IFERROR(VLOOKUP($B79,'LOD 300 - SITE'!$B:CV,99,FALSE),"N/A")</f>
        <v>1</v>
      </c>
      <c r="GD79" s="87">
        <f>IFERROR(VLOOKUP($B79,'LOD 300 - SITE'!$B:CY,102,FALSE),"N/A")</f>
        <v>1</v>
      </c>
      <c r="GE79" s="87">
        <f>IFERROR(VLOOKUP($B79,'LOD 300 - SITE'!$B:DB,105,FALSE),"N/A")</f>
        <v>1</v>
      </c>
      <c r="GF79" s="87">
        <f>IFERROR(VLOOKUP($B79,'LOD 300 - SITE'!$B:DE,108,FALSE),"N/A")</f>
        <v>1</v>
      </c>
      <c r="GG79" s="87">
        <f>IFERROR(VLOOKUP($B79,'LOD 300 - SITE'!$B:DH,111,FALSE),"N/A")</f>
        <v>1</v>
      </c>
      <c r="GH79" s="87">
        <f>IFERROR(VLOOKUP($B79,'LOD 300 - SITE'!$B:DK,114,FALSE),"N/A")</f>
        <v>1</v>
      </c>
      <c r="GI79" s="87">
        <f>IFERROR(VLOOKUP($B79,'LOD 300 - SITE'!$B:DN,117,FALSE),"N/A")</f>
        <v>1</v>
      </c>
      <c r="GJ79" s="87">
        <f>IFERROR(VLOOKUP($B79,'LOD 300 - SITE'!$B:DQ,120,FALSE),"N/A")</f>
        <v>1</v>
      </c>
      <c r="GK79" s="87">
        <f>IFERROR(VLOOKUP($B79,'LOD 300 - SITE'!$B:DT,123,FALSE),"N/A")</f>
        <v>1</v>
      </c>
      <c r="GL79" s="87">
        <f>IFERROR(VLOOKUP($B79,'LOD 300 - SITE'!$B:DW,126,FALSE),"N/A")</f>
        <v>1</v>
      </c>
      <c r="GM79" s="110">
        <f>IFERROR(__xludf.DUMMYFUNCTION("IFERROR(
  MAX(FILTER(FB79:GL79, ISNUMBER(FB79:GL79))),
  GL79
)"),1.0)</f>
        <v>1</v>
      </c>
      <c r="GN79" s="135"/>
      <c r="GO79" s="135"/>
      <c r="GP79" s="135"/>
    </row>
    <row r="80" ht="15.0" hidden="1" customHeight="1">
      <c r="A80" s="60">
        <v>83.0</v>
      </c>
      <c r="B80" s="401" t="s">
        <v>261</v>
      </c>
      <c r="C80" s="402"/>
      <c r="D80" s="403"/>
      <c r="E80" s="403"/>
      <c r="F80" s="13"/>
      <c r="G80" s="403"/>
      <c r="H80" s="404"/>
      <c r="I80" s="405"/>
      <c r="J80" s="405"/>
      <c r="K80" s="403"/>
      <c r="L80" s="403"/>
      <c r="M80" s="406"/>
      <c r="N80" s="406"/>
      <c r="O80" s="406"/>
      <c r="P80" s="407"/>
      <c r="Q80" s="406"/>
      <c r="R80" s="406"/>
      <c r="S80" s="79" t="str">
        <f>IF(OR($D80="C345",$D80="C12A",$D80="DATA"),
   VLOOKUP($B80,'LOD 300 - COLO4'!B:S,14,FALSE),"N/A")</f>
        <v>N/A</v>
      </c>
      <c r="T80" s="76" t="str">
        <f>IF(OR($D80="C345",$D80="C12A",$D80="DATA"),
   VLOOKUP($B80,'LOD 300 - COLO3'!B:T,13,FALSE),"N/A")</f>
        <v>N/A</v>
      </c>
      <c r="U80" s="406"/>
      <c r="V80" s="403"/>
      <c r="W80" s="408"/>
      <c r="X80" s="409"/>
      <c r="Y80" s="409"/>
      <c r="Z80" s="409"/>
      <c r="AA80" s="409"/>
      <c r="AB80" s="409"/>
      <c r="AC80" s="409"/>
      <c r="AD80" s="409"/>
      <c r="AE80" s="409"/>
      <c r="AF80" s="409"/>
      <c r="AG80" s="409"/>
      <c r="AH80" s="409"/>
      <c r="AI80" s="409"/>
      <c r="AJ80" s="410"/>
      <c r="AK80" s="410"/>
      <c r="AL80" s="411"/>
      <c r="AM80" s="410"/>
      <c r="AN80" s="410"/>
      <c r="AO80" s="410"/>
      <c r="AP80" s="410"/>
      <c r="AQ80" s="410"/>
      <c r="AR80" s="410"/>
      <c r="AS80" s="410"/>
      <c r="AT80" s="410"/>
      <c r="AU80" s="410"/>
      <c r="AV80" s="411"/>
      <c r="AW80" s="411"/>
      <c r="AX80" s="411"/>
      <c r="AY80" s="411"/>
      <c r="AZ80" s="411"/>
      <c r="BA80" s="410"/>
      <c r="BB80" s="411"/>
      <c r="BC80" s="412"/>
      <c r="BD80" s="412"/>
      <c r="BE80" s="412"/>
      <c r="BF80" s="412"/>
      <c r="BG80" s="412"/>
      <c r="BH80" s="412"/>
      <c r="BI80" s="412"/>
      <c r="BJ80" s="413"/>
      <c r="BK80" s="414"/>
      <c r="BL80" s="414"/>
      <c r="BM80" s="414"/>
      <c r="BN80" s="414"/>
      <c r="BO80" s="414"/>
      <c r="BP80" s="414"/>
      <c r="BQ80" s="414"/>
      <c r="BR80" s="414"/>
      <c r="BS80" s="414"/>
      <c r="BT80" s="414"/>
      <c r="BU80" s="414"/>
      <c r="BV80" s="414"/>
      <c r="BW80" s="414"/>
      <c r="BX80" s="415"/>
      <c r="BY80" s="415"/>
      <c r="BZ80" s="416"/>
      <c r="CA80" s="417"/>
      <c r="CB80" s="417"/>
      <c r="CC80" s="417"/>
      <c r="CD80" s="417"/>
      <c r="CE80" s="417"/>
      <c r="CF80" s="410"/>
      <c r="CG80" s="416"/>
      <c r="CH80" s="410"/>
      <c r="CI80" s="410"/>
      <c r="CJ80" s="416"/>
      <c r="CK80" s="416"/>
      <c r="CL80" s="416"/>
      <c r="CM80" s="416"/>
      <c r="CN80" s="416"/>
      <c r="CO80" s="410"/>
      <c r="CP80" s="418"/>
      <c r="CQ80" s="416"/>
      <c r="CR80" s="416"/>
      <c r="CS80" s="416"/>
      <c r="CT80" s="416"/>
      <c r="CU80" s="416"/>
      <c r="CV80" s="416"/>
      <c r="CW80" s="416"/>
      <c r="CX80" s="413"/>
      <c r="CY80" s="419"/>
      <c r="CZ80" s="420"/>
      <c r="DA80" s="420"/>
      <c r="DB80" s="420"/>
      <c r="DC80" s="421"/>
      <c r="DD80" s="422"/>
      <c r="DE80" s="419"/>
      <c r="DF80" s="419"/>
      <c r="DG80" s="423"/>
      <c r="DH80" s="410"/>
      <c r="DI80" s="415"/>
      <c r="DJ80" s="416"/>
      <c r="DK80" s="417"/>
      <c r="DL80" s="417"/>
      <c r="DM80" s="417"/>
      <c r="DN80" s="417"/>
      <c r="DO80" s="417"/>
      <c r="DP80" s="410"/>
      <c r="DQ80" s="410"/>
      <c r="DR80" s="410"/>
      <c r="DS80" s="424"/>
      <c r="DT80" s="425"/>
      <c r="DU80" s="425"/>
      <c r="DV80" s="425"/>
      <c r="DW80" s="425"/>
      <c r="DX80" s="425"/>
      <c r="DY80" s="410"/>
      <c r="DZ80" s="411"/>
      <c r="EA80" s="412"/>
      <c r="EB80" s="412"/>
      <c r="EC80" s="412"/>
      <c r="ED80" s="412"/>
      <c r="EE80" s="412"/>
      <c r="EF80" s="412"/>
      <c r="EG80" s="412"/>
      <c r="EH80" s="412"/>
      <c r="EI80" s="410"/>
      <c r="EJ80" s="410"/>
      <c r="EK80" s="410"/>
      <c r="EL80" s="410"/>
      <c r="EM80" s="410"/>
      <c r="EN80" s="410"/>
      <c r="EO80" s="410"/>
      <c r="EP80" s="410"/>
      <c r="EQ80" s="410"/>
      <c r="ER80" s="417"/>
      <c r="ES80" s="417"/>
      <c r="ET80" s="417"/>
      <c r="EU80" s="417"/>
      <c r="EV80" s="417"/>
      <c r="EW80" s="417"/>
      <c r="EX80" s="417"/>
      <c r="EY80" s="417"/>
      <c r="EZ80" s="426"/>
      <c r="FA80" s="426"/>
      <c r="FB80" s="409"/>
      <c r="FC80" s="409"/>
      <c r="FD80" s="409"/>
      <c r="FE80" s="409"/>
      <c r="FF80" s="409"/>
      <c r="FG80" s="409"/>
      <c r="FH80" s="409"/>
      <c r="FI80" s="409"/>
      <c r="FJ80" s="409"/>
      <c r="FK80" s="409"/>
      <c r="FL80" s="427"/>
      <c r="FM80" s="410"/>
      <c r="FN80" s="415"/>
      <c r="FO80" s="416"/>
      <c r="FP80" s="417"/>
      <c r="FQ80" s="417"/>
      <c r="FR80" s="417"/>
      <c r="FS80" s="417"/>
      <c r="FT80" s="417"/>
      <c r="FU80" s="417"/>
      <c r="FV80" s="417"/>
      <c r="FW80" s="410"/>
      <c r="FX80" s="415"/>
      <c r="FY80" s="416"/>
      <c r="FZ80" s="416"/>
      <c r="GA80" s="416"/>
      <c r="GB80" s="416"/>
      <c r="GC80" s="417"/>
      <c r="GD80" s="410"/>
      <c r="GE80" s="418"/>
      <c r="GF80" s="416"/>
      <c r="GG80" s="416"/>
      <c r="GH80" s="416"/>
      <c r="GI80" s="416"/>
      <c r="GJ80" s="416"/>
      <c r="GK80" s="416"/>
      <c r="GL80" s="416"/>
      <c r="GM80" s="428"/>
      <c r="GN80" s="215"/>
      <c r="GO80" s="215"/>
      <c r="GP80" s="215"/>
    </row>
    <row r="81" ht="15.0" customHeight="1" outlineLevel="1">
      <c r="A81" s="60">
        <v>84.0</v>
      </c>
      <c r="B81" s="140" t="s">
        <v>262</v>
      </c>
      <c r="C81" s="70" t="s">
        <v>263</v>
      </c>
      <c r="D81" s="71" t="s">
        <v>85</v>
      </c>
      <c r="E81" s="146" t="s">
        <v>256</v>
      </c>
      <c r="F81" s="13">
        <v>1118.0</v>
      </c>
      <c r="G81" s="139" t="s">
        <v>256</v>
      </c>
      <c r="H81" s="139">
        <v>1118.0</v>
      </c>
      <c r="I81" s="74" t="str">
        <f>IFERROR(VLOOKUP(C78:C220,'R22 RELATÓRIO ACC'!B:F,5,FALSE),"NOT PUBLISHED")</f>
        <v>V59</v>
      </c>
      <c r="J81" s="74" t="str">
        <f>IFERROR(VLOOKUP(C78:C220,'R22 RELATÓRIO ACC'!B:P,15,FALSE),"NOT PUBLISHED")</f>
        <v>17/04/2026</v>
      </c>
      <c r="K81" s="141" t="str">
        <f>IFERROR(VLOOKUP(B78:B268,'RELATÓRIO ACC'!B:F,5,FALSE),"NOT PUBLISHED")</f>
        <v>V5</v>
      </c>
      <c r="L81" s="142" t="str">
        <f>IFERROR(VLOOKUP(B78:B268,'RELATÓRIO ACC'!B:P,15,FALSE),"NOT PUBLISHED")</f>
        <v>06/07/2026</v>
      </c>
      <c r="M81" s="76" t="str">
        <f>IF(OR($D81="UTLS",$D81="GUAR",$D81="STIR",$D81="PUMP",$D81="SITE"),
   VLOOKUP($B81,'LOD 300 - SITE'!B:M,12,FALSE),
   VLOOKUP($B81,'LOD 300 - ADMN'!B:M,12,FALSE)
)</f>
        <v>V49</v>
      </c>
      <c r="N81" s="77" t="str">
        <f>IF(OR($D81="UTLS",$D81="GUAR",$D81="STIR",$D81="PUMP",$D81="SITE"),
   VLOOKUP($B81,'LOD 300 - SITE'!B:N,13,FALSE),
   VLOOKUP($B81,'LOD 300 - ADMN'!B:N,13,FALSE)
)</f>
        <v>31/10/2025</v>
      </c>
      <c r="O81" s="114" t="str">
        <f>IF(OR($D81="UTLS",$D81="GUAR",$D81="STIR",$D81="PUMP",$D81="SITE"),
   VLOOKUP($B81,'LOD 300 - SITE'!B:O,14,FALSE),
   VLOOKUP($B81,'LOD 300 - ADMN'!B:O,14,FALSE)
)</f>
        <v>R22</v>
      </c>
      <c r="P81" s="79" t="str">
        <f>IF(OR($D81="C345",$D81="C12A",$D81="DATA"),
   VLOOKUP($B81,'LOD 300 - COLO3'!B:M,12,FALSE),"N/A")</f>
        <v>V59</v>
      </c>
      <c r="Q81" s="80">
        <f>IF(OR($D81="C345",$D81="C12A",$D81="DATA"),
   VLOOKUP($B81,'LOD 300 - COLO3'!B:N,13,FALSE),"N/A")</f>
        <v>46129</v>
      </c>
      <c r="R81" s="76" t="str">
        <f>IF(OR($D81="C345",$D81="C12A",$D81="DATA"),
   VLOOKUP($B81,'LOD 300 - COLO3'!B:O,14,FALSE),"N/A")</f>
        <v>R22</v>
      </c>
      <c r="S81" s="79" t="str">
        <f>IF(OR($D81="C345",$D81="C12A",$D81="DATA"),
   VLOOKUP($B81,'LOD 300 - COLO4'!B:M,12,FALSE),"N/A")</f>
        <v>N/A</v>
      </c>
      <c r="T81" s="76" t="str">
        <f>IF(OR($D81="C345",$D81="C12A",$D81="DATA"),
   VLOOKUP($B81,'LOD 300 - COLO4'!B:T,13,FALSE),"N/A")</f>
        <v>N/A</v>
      </c>
      <c r="U81" s="81">
        <f>IF(OR($D81="C345",$D81="C12A",$D81="DATA"),
   VLOOKUP($B81,'LOD 300 - COLO4'!B:U,17,FALSE),"N/A")</f>
        <v>0</v>
      </c>
      <c r="V81" s="126" t="s">
        <v>102</v>
      </c>
      <c r="W81" s="144">
        <f>IFERROR(VLOOKUP($B81,'LOD 300 - ADMN'!$B:S,18,FALSE),"N/A")</f>
        <v>0.45</v>
      </c>
      <c r="X81" s="122">
        <f>IFERROR(VLOOKUP($B81,'LOD 300 - ADMN'!$B:V,21,FALSE),"N/A")</f>
        <v>0.71</v>
      </c>
      <c r="Y81" s="122">
        <f>IFERROR(VLOOKUP($B81,'LOD 300 - ADMN'!$B:Y,24,FALSE),"N/A")</f>
        <v>1</v>
      </c>
      <c r="Z81" s="122">
        <f>IFERROR(VLOOKUP($B81,'LOD 300 - ADMN'!$B:AB,27,FALSE),"N/A")</f>
        <v>1</v>
      </c>
      <c r="AA81" s="122">
        <f>IFERROR(VLOOKUP($B81,'LOD 300 - ADMN'!$B:AE,30,FALSE),"N/A")</f>
        <v>1</v>
      </c>
      <c r="AB81" s="145">
        <f>IFERROR(VLOOKUP($B81,'LOD 300 - ADMN'!$B:AH,33,FALSE),"N/A")</f>
        <v>1</v>
      </c>
      <c r="AC81" s="145">
        <f>IFERROR(VLOOKUP($B81,'LOD 300 - ADMN'!$B:AK,36,FALSE),"N/A")</f>
        <v>1</v>
      </c>
      <c r="AD81" s="122">
        <f>IFERROR(VLOOKUP($B81,'LOD 300 - ADMN'!$B:AN,39,FALSE),"N/A")</f>
        <v>1</v>
      </c>
      <c r="AE81" s="122">
        <f>IFERROR(VLOOKUP($B81,'LOD 300 - ADMN'!$B:AQ,42,FALSE),"N/A")</f>
        <v>1</v>
      </c>
      <c r="AF81" s="122">
        <f>IFERROR(VLOOKUP($B81,'LOD 300 - ADMN'!$B:AT,45,FALSE),"N/A")</f>
        <v>1</v>
      </c>
      <c r="AG81" s="122">
        <f>IFERROR(VLOOKUP($B81,'LOD 300 - ADMN'!$B:AW,48,FALSE),"N/A")</f>
        <v>1</v>
      </c>
      <c r="AH81" s="122">
        <f>IFERROR(VLOOKUP($B81,'LOD 300 - ADMN'!$B:AZ,51,FALSE),"N/A")</f>
        <v>1</v>
      </c>
      <c r="AI81" s="122">
        <f>IFERROR(VLOOKUP($B81,'LOD 300 - ADMN'!$B:BC,54,FALSE),"N/A")</f>
        <v>1</v>
      </c>
      <c r="AJ81" s="87">
        <f>IFERROR(VLOOKUP($B81,'LOD 300 - ADMN'!$B:BF,57,FALSE),"N/A")</f>
        <v>1</v>
      </c>
      <c r="AK81" s="87">
        <f>IFERROR(VLOOKUP($B81,'LOD 300 - ADMN'!$B:EP,60,FALSE),"N/A")</f>
        <v>1</v>
      </c>
      <c r="AL81" s="87">
        <f>IFERROR(VLOOKUP($B81,'LOD 300 - ADMN'!$B:EQ,63,FALSE),"N/A")</f>
        <v>1</v>
      </c>
      <c r="AM81" s="87">
        <f>IFERROR(VLOOKUP($B81,'LOD 300 - ADMN'!$B:BO,66,FALSE),"N/A")</f>
        <v>1</v>
      </c>
      <c r="AN81" s="87">
        <f>IFERROR(VLOOKUP($B81,'LOD 300 - ADMN'!$B:BR,69,FALSE),"N/A")</f>
        <v>1</v>
      </c>
      <c r="AO81" s="87">
        <f>IFERROR(VLOOKUP($B81,'LOD 300 - ADMN'!$B:BU,72,FALSE),"N/A")</f>
        <v>1</v>
      </c>
      <c r="AP81" s="87">
        <f>IFERROR(VLOOKUP($B81,'LOD 300 - ADMN'!$B:BX,75,FALSE),"N/A")</f>
        <v>1</v>
      </c>
      <c r="AQ81" s="87">
        <f>IFERROR(VLOOKUP($B81,'LOD 300 - ADMN'!$B:CA,78,FALSE),"N/A")</f>
        <v>1</v>
      </c>
      <c r="AR81" s="87">
        <f>IFERROR(VLOOKUP($B81,'LOD 300 - ADMN'!$B:CD,81,FALSE),"N/A")</f>
        <v>1</v>
      </c>
      <c r="AS81" s="87">
        <f>IFERROR(VLOOKUP($B81,'LOD 300 - ADMN'!$B:CG,84,FALSE),"N/A")</f>
        <v>1</v>
      </c>
      <c r="AT81" s="87">
        <f>IFERROR(VLOOKUP($B81,'LOD 300 - ADMN'!$B:CJ,87,FALSE),"N/A")</f>
        <v>1</v>
      </c>
      <c r="AU81" s="88">
        <f>IFERROR(VLOOKUP($B81,'LOD 300 - ADMN'!$B:CM,90,FALSE),"N/A")</f>
        <v>1</v>
      </c>
      <c r="AV81" s="88">
        <f>IFERROR(VLOOKUP($B81,'LOD 300 - ADMN'!$B:CP,93,FALSE),"N/A")</f>
        <v>1</v>
      </c>
      <c r="AW81" s="88">
        <f>IFERROR(VLOOKUP($B81,'LOD 300 - ADMN'!$B:CS,96,FALSE),"N/A")</f>
        <v>1</v>
      </c>
      <c r="AX81" s="88">
        <f>IFERROR(VLOOKUP($B81,'LOD 300 - ADMN'!$B:CV,99,FALSE),"N/A")</f>
        <v>1</v>
      </c>
      <c r="AY81" s="88">
        <f>IFERROR(VLOOKUP($B81,'LOD 300 - ADMN'!$B:CY,102,FALSE),"N/A")</f>
        <v>1</v>
      </c>
      <c r="AZ81" s="88">
        <f>IFERROR(VLOOKUP($B81,'LOD 300 - ADMN'!$B:DB,105,FALSE),"N/A")</f>
        <v>1</v>
      </c>
      <c r="BA81" s="87">
        <f>IFERROR(VLOOKUP($B81,'LOD 300 - ADMN'!$B:DE,108,FALSE),"N/A")</f>
        <v>1</v>
      </c>
      <c r="BB81" s="87">
        <f>IFERROR(VLOOKUP($B81,'LOD 300 - ADMN'!$B:DH,111,FALSE),"N/A")</f>
        <v>1</v>
      </c>
      <c r="BC81" s="87">
        <f>IFERROR(VLOOKUP($B81,'LOD 300 - ADMN'!$B:DK,114,FALSE),"N/A")</f>
        <v>1</v>
      </c>
      <c r="BD81" s="87">
        <f>IFERROR(VLOOKUP($B81,'LOD 300 - ADMN'!$B:DN,117,FALSE),"N/A")</f>
        <v>1</v>
      </c>
      <c r="BE81" s="87">
        <f>IFERROR(VLOOKUP($B81,'LOD 300 - ADMN'!$B:DQ,120,FALSE),"N/A")</f>
        <v>1</v>
      </c>
      <c r="BF81" s="87">
        <f>IFERROR(VLOOKUP($B81,'LOD 300 - ADMN'!$B:DT,123,FALSE),"N/A")</f>
        <v>1</v>
      </c>
      <c r="BG81" s="87">
        <f>IFERROR(VLOOKUP($B81,'LOD 300 - ADMN'!$B:DW,126,FALSE),"N/A")</f>
        <v>1</v>
      </c>
      <c r="BH81" s="87">
        <f>IFERROR(VLOOKUP($B81,'LOD 300 - ADMN'!$B:DZ,129,FALSE),"N/A")</f>
        <v>1</v>
      </c>
      <c r="BI81" s="87">
        <f>IFERROR(VLOOKUP($B81,'LOD 300 - ADMN'!$B:EC,132,FALSE),"N/A")</f>
        <v>1</v>
      </c>
      <c r="BJ81" s="90">
        <f>IFERROR(__xludf.DUMMYFUNCTION("IFERROR(
  MAX(FILTER(X81:BI81, ISNUMBER(X81:BI81))),
  BI81
)"),1.0)</f>
        <v>1</v>
      </c>
      <c r="BK81" s="91">
        <f>IFERROR(VLOOKUP($B81,'LOD 300 - COLO1'!$B:S,18,FALSE),"N/A")</f>
        <v>0.48</v>
      </c>
      <c r="BL81" s="92">
        <f>IFERROR(VLOOKUP($B81,'LOD 300 - COLO1'!$B:V,21,FALSE),"N/A")</f>
        <v>0.67</v>
      </c>
      <c r="BM81" s="92">
        <f>IFERROR(VLOOKUP($B81,'LOD 300 - COLO1'!$B:Y,24,FALSE),"N/A")</f>
        <v>1</v>
      </c>
      <c r="BN81" s="92">
        <f>IFERROR(VLOOKUP($B81,'LOD 300 - COLO1'!$B:AB,27,FALSE),"N/A")</f>
        <v>1</v>
      </c>
      <c r="BO81" s="92">
        <f>IFERROR(VLOOKUP($B81,'LOD 300 - COLO1'!$B:AE,30,FALSE),"N/A")</f>
        <v>1</v>
      </c>
      <c r="BP81" s="92">
        <f>IFERROR(VLOOKUP($B81,'LOD 300 - COLO1'!$B:AH,33,FALSE),"N/A")</f>
        <v>1</v>
      </c>
      <c r="BQ81" s="92">
        <f>IFERROR(VLOOKUP($B81,'LOD 300 - COLO1'!$B:AK,36,FALSE),"N/A")</f>
        <v>1</v>
      </c>
      <c r="BR81" s="92">
        <f>IFERROR(VLOOKUP($B81,'LOD 300 - COLO1'!$B:AN,39,FALSE),"N/A")</f>
        <v>1</v>
      </c>
      <c r="BS81" s="92">
        <f>IFERROR(VLOOKUP($B81,'LOD 300 - COLO1'!$B:AQ,42,FALSE),"N/A")</f>
        <v>1</v>
      </c>
      <c r="BT81" s="92">
        <f>IFERROR(VLOOKUP($B81,'LOD 300 - COLO1'!$B:AT,45,FALSE),"N/A")</f>
        <v>1</v>
      </c>
      <c r="BU81" s="92">
        <f>IFERROR(VLOOKUP($B81,'LOD 300 - COLO1'!$B:AW,48,FALSE),"N/A")</f>
        <v>1</v>
      </c>
      <c r="BV81" s="92">
        <f>IFERROR(VLOOKUP($B81,'LOD 300 - COLO1'!$B:AZ,51,FALSE),"N/A")</f>
        <v>1</v>
      </c>
      <c r="BW81" s="92">
        <f>IFERROR(VLOOKUP($B81,'LOD 300 - COLO1'!$B:BC,54,FALSE),"N/A")</f>
        <v>1</v>
      </c>
      <c r="BX81" s="94">
        <f>IFERROR(VLOOKUP($B81,'LOD 300 - COLO1'!$B:BF,57,FALSE),"N/A")</f>
        <v>1</v>
      </c>
      <c r="BY81" s="94">
        <f>IFERROR(VLOOKUP($B81,'LOD 300 - COLO1'!$B:BI,60,FALSE),"N/A")</f>
        <v>1</v>
      </c>
      <c r="BZ81" s="95">
        <f>IFERROR(VLOOKUP($B81,'LOD 300 - COLO1'!$B:BL,63,FALSE),"N/A")</f>
        <v>1</v>
      </c>
      <c r="CA81" s="86">
        <f>IFERROR(VLOOKUP($B81,'LOD 300 - COLO1'!$B:BO,66,FALSE),"N/A")</f>
        <v>1</v>
      </c>
      <c r="CB81" s="86">
        <f>IFERROR(VLOOKUP($B81,'LOD 300 - COLO1'!$B:BR,69,FALSE),"N/A")</f>
        <v>1</v>
      </c>
      <c r="CC81" s="86">
        <f>IFERROR(VLOOKUP($B81,'LOD 300 - COLO1'!$B:BU,72,FALSE),"N/A")</f>
        <v>1</v>
      </c>
      <c r="CD81" s="86">
        <f>IFERROR(VLOOKUP($B81,'LOD 300 - COLO1'!$B:BX,75,FALSE),"N/A")</f>
        <v>1</v>
      </c>
      <c r="CE81" s="86">
        <f>IFERROR(VLOOKUP($B81,'LOD 300 - COLO1'!$B:CA,78,FALSE),"N/A")</f>
        <v>1</v>
      </c>
      <c r="CF81" s="87">
        <f>IFERROR(VLOOKUP($B81,'LOD 300 - COLO1'!$B:CD,81,FALSE),"N/A")</f>
        <v>1</v>
      </c>
      <c r="CG81" s="86">
        <f>IFERROR(VLOOKUP($B81,'LOD 300 - COLO1'!$B:CG,84,FALSE),"N/A")</f>
        <v>1</v>
      </c>
      <c r="CH81" s="87">
        <f>IFERROR(VLOOKUP($B81,'LOD 300 - COLO1'!$B:CJ,87,FALSE),"N/A")</f>
        <v>1</v>
      </c>
      <c r="CI81" s="88">
        <f>IFERROR(VLOOKUP($B81,'LOD 300 - COLO1'!$B:CM,90,FALSE),"N/A")</f>
        <v>1</v>
      </c>
      <c r="CJ81" s="88">
        <f>IFERROR(VLOOKUP($B81,'LOD 300 - COLO1'!$B:CP,93,FALSE),"N/A")</f>
        <v>1</v>
      </c>
      <c r="CK81" s="88">
        <f>IFERROR(VLOOKUP($B81,'LOD 300 - COLO1'!$B:CS,96,FALSE),"N/A")</f>
        <v>1</v>
      </c>
      <c r="CL81" s="88">
        <f>IFERROR(VLOOKUP($B81,'LOD 300 - COLO1'!$B:CV,99,FALSE),"N/A")</f>
        <v>1</v>
      </c>
      <c r="CM81" s="88">
        <f>IFERROR(VLOOKUP($B81,'LOD 300 - COLO1'!$B:CY,102,FALSE),"N/A")</f>
        <v>1</v>
      </c>
      <c r="CN81" s="89">
        <f>IFERROR(VLOOKUP($B81,'LOD 300 - COLO1'!$B:DB,105,FALSE),"N/A")</f>
        <v>1</v>
      </c>
      <c r="CO81" s="87">
        <f>IFERROR(VLOOKUP($B81,'LOD 300 - COLO1'!$B:EE,108,FALSE),"N/A")</f>
        <v>1</v>
      </c>
      <c r="CP81" s="87">
        <f>IFERROR(VLOOKUP($B81,'LOD 300 - COLO1'!$B:EH,111,FALSE),"N/A")</f>
        <v>1</v>
      </c>
      <c r="CQ81" s="87">
        <f>IFERROR(VLOOKUP($B81,'LOD 300 - COLO1'!$B:EK,114,FALSE),"N/A")</f>
        <v>1</v>
      </c>
      <c r="CR81" s="87">
        <f>IFERROR(VLOOKUP($B81,'LOD 300 - COLO1'!$B:EN,117,FALSE),"N/A")</f>
        <v>1</v>
      </c>
      <c r="CS81" s="87">
        <f>IFERROR(VLOOKUP($B81,'LOD 300 - COLO1'!$B:EQ,120,FALSE),"N/A")</f>
        <v>1</v>
      </c>
      <c r="CT81" s="87">
        <f>IFERROR(VLOOKUP($B81,'LOD 300 - COLO1'!$B:ET,123,FALSE),"N/A")</f>
        <v>1</v>
      </c>
      <c r="CU81" s="87">
        <f>IFERROR(VLOOKUP($B81,'LOD 300 - COLO1'!$B:EW,126,FALSE),"N/A")</f>
        <v>1</v>
      </c>
      <c r="CV81" s="87">
        <f>IFERROR(VLOOKUP($B81,'LOD 300 - COLO1'!$B:EZ,129,FALSE),"N/A")</f>
        <v>1</v>
      </c>
      <c r="CW81" s="87">
        <f>IFERROR(VLOOKUP($B81,'LOD 300 - COLO1'!$B:FC,132,FALSE),"N/A")</f>
        <v>1</v>
      </c>
      <c r="CX81" s="96">
        <f>IFERROR(__xludf.DUMMYFUNCTION("IFERROR(
  MAX(FILTER(BK81:CW81, ISNUMBER(BK81:CW81))),
  CW81
)"),1.0)</f>
        <v>1</v>
      </c>
      <c r="CY81" s="104">
        <f>IFERROR(VLOOKUP($B81,'LOD 300 - COLO2'!$B:S,18,FALSE),"N/A")</f>
        <v>0.73</v>
      </c>
      <c r="CZ81" s="117" t="str">
        <f>IFERROR(VLOOKUP($B81,'LOD 300 - COLO2'!$B:V,21,FALSE),"N/A")</f>
        <v>OUTDATED MODEL</v>
      </c>
      <c r="DA81" s="117">
        <f>IFERROR(VLOOKUP($B81,'LOD 300 - COLO2'!$B:Y,24,FALSE),"N/A")</f>
        <v>0.92</v>
      </c>
      <c r="DB81" s="117">
        <f>IFERROR(VLOOKUP($B81,'LOD 300 - COLO2'!$B:AB,27,FALSE),"N/A")</f>
        <v>0.99</v>
      </c>
      <c r="DC81" s="92" t="str">
        <f>IFERROR(VLOOKUP($B81,'LOD 300 - COLO2'!$B:AE,30,FALSE),"N/A")</f>
        <v>NEXT ROUND</v>
      </c>
      <c r="DD81" s="120">
        <f>IFERROR(VLOOKUP($B81,'LOD 300 - COLO2'!$B:AH,33,FALSE),"N/A")</f>
        <v>1</v>
      </c>
      <c r="DE81" s="117">
        <f>IFERROR(VLOOKUP($B81,'LOD 300 - COLO2'!$B:AK,36,FALSE),"N/A")</f>
        <v>1</v>
      </c>
      <c r="DF81" s="117">
        <f>IFERROR(VLOOKUP($B81,'LOD 300 - COLO2'!$B:AN,39,FALSE),"N/A")</f>
        <v>1</v>
      </c>
      <c r="DG81" s="119">
        <f>IFERROR(VLOOKUP($B81,'LOD 300 - COLO2'!$B:AQ,42,FALSE),"N/A")</f>
        <v>1</v>
      </c>
      <c r="DH81" s="87">
        <f>IFERROR(VLOOKUP($B81,'LOD 300 - COLO2'!$B:AT,45,FALSE),"N/A")</f>
        <v>1</v>
      </c>
      <c r="DI81" s="94">
        <f>IFERROR(VLOOKUP($B81,'LOD 300 - COLO2'!$B:AW,48,FALSE),"N/A")</f>
        <v>1</v>
      </c>
      <c r="DJ81" s="95">
        <f>IFERROR(VLOOKUP($B81,'LOD 300 - COLO2'!$B:AZ,51,FALSE),"N/A")</f>
        <v>1</v>
      </c>
      <c r="DK81" s="86">
        <f>IFERROR(VLOOKUP($B81,'LOD 300 - COLO2'!$B:BC,54,FALSE),"N/A")</f>
        <v>1</v>
      </c>
      <c r="DL81" s="86">
        <f>IFERROR(VLOOKUP($B81,'LOD 300 - COLO2'!$B:BF,57,FALSE),"N/A")</f>
        <v>1</v>
      </c>
      <c r="DM81" s="86">
        <f>IFERROR(VLOOKUP($B81,'LOD 300 - COLO2'!$B:BI,60,FALSE),"N/A")</f>
        <v>1</v>
      </c>
      <c r="DN81" s="86">
        <f>IFERROR(VLOOKUP($B81,'LOD 300 - COLO2'!$B:BL,63,FALSE),"N/A")</f>
        <v>1</v>
      </c>
      <c r="DO81" s="86">
        <f>IFERROR(VLOOKUP($B81,'LOD 300 - COLO2'!$B:BO,66,FALSE),"N/A")</f>
        <v>1</v>
      </c>
      <c r="DP81" s="87">
        <f>IFERROR(VLOOKUP($B81,'LOD 300 - COLO2'!$B:BR,69,FALSE),"N/A")</f>
        <v>1</v>
      </c>
      <c r="DQ81" s="87">
        <f>IFERROR(VLOOKUP($B81,'LOD 300 - COLO2'!$B:BU,72,FALSE),"N/A")</f>
        <v>1</v>
      </c>
      <c r="DR81" s="87">
        <f>IFERROR(VLOOKUP($B81,'LOD 300 - COLO2'!$B:BX,75,FALSE),"N/A")</f>
        <v>1</v>
      </c>
      <c r="DS81" s="98">
        <f>IFERROR(VLOOKUP($B81,'LOD 300 - COLO2'!$B:CA,78,FALSE),"N/A")</f>
        <v>1</v>
      </c>
      <c r="DT81" s="98">
        <f>IFERROR(VLOOKUP($B81,'LOD 300 - COLO2'!$B:CD,81,FALSE),"N/A")</f>
        <v>1</v>
      </c>
      <c r="DU81" s="98">
        <f>IFERROR(VLOOKUP($B81,'LOD 300 - COLO2'!$B:CG,84,FALSE),"N/A")</f>
        <v>1</v>
      </c>
      <c r="DV81" s="98">
        <f>IFERROR(VLOOKUP($B81,'LOD 300 - COLO2'!$B:CJ,87,FALSE),"N/A")</f>
        <v>1</v>
      </c>
      <c r="DW81" s="98">
        <f>IFERROR(VLOOKUP($B81,'LOD 300 - COLO2'!$B:CM,90,FALSE),"N/A")</f>
        <v>1</v>
      </c>
      <c r="DX81" s="98">
        <f>IFERROR(VLOOKUP($B81,'LOD 300 - COLO2'!$B:CP,93,FALSE),"N/A")</f>
        <v>1</v>
      </c>
      <c r="DY81" s="87">
        <f>IFERROR(VLOOKUP($B81,'LOD 300 - COLO2'!$B:CS,96,FALSE),"N/A")</f>
        <v>1</v>
      </c>
      <c r="DZ81" s="87">
        <f>IFERROR(VLOOKUP($B81,'LOD 300 - COLO2'!$B:CV,99,FALSE),"N/A")</f>
        <v>1</v>
      </c>
      <c r="EA81" s="87">
        <f>IFERROR(VLOOKUP($B81,'LOD 300 - COLO2'!$B:DB,105,FALSE),"N/A")</f>
        <v>1</v>
      </c>
      <c r="EB81" s="87">
        <f>IFERROR(VLOOKUP($B81,'LOD 300 - COLO2'!$B:DB,105,FALSE),"N/A")</f>
        <v>1</v>
      </c>
      <c r="EC81" s="87">
        <f>IFERROR(VLOOKUP($B81,'LOD 300 - COLO2'!$B:DE,108,FALSE),"N/A")</f>
        <v>1</v>
      </c>
      <c r="ED81" s="87">
        <f>IFERROR(VLOOKUP($B81,'LOD 300 - COLO2'!$B:DH,111,FALSE),"N/A")</f>
        <v>1</v>
      </c>
      <c r="EE81" s="87">
        <f>IFERROR(VLOOKUP($B81,'LOD 300 - COLO2'!$B:DK,114,FALSE),"N/A")</f>
        <v>1</v>
      </c>
      <c r="EF81" s="87">
        <f>IFERROR(VLOOKUP($B81,'LOD 300 - COLO2'!$B:DN,117,FALSE),"N/A")</f>
        <v>1</v>
      </c>
      <c r="EG81" s="87">
        <f>IFERROR(VLOOKUP($B81,'LOD 300 - COLO2'!$B:DQ,120,FALSE),"N/A")</f>
        <v>1</v>
      </c>
      <c r="EH81" s="99">
        <f>IFERROR(__xludf.DUMMYFUNCTION("IFERROR(
  MAX(FILTER(CZ81:EG81, ISNUMBER(CZ81:EG81))),
  EG81
)"),1.0)</f>
        <v>1</v>
      </c>
      <c r="EI81" s="100">
        <f>IFERROR(VLOOKUP($B81,'LOD 300 - COLO3'!$B:R,17,FALSE),"N/A")</f>
        <v>0</v>
      </c>
      <c r="EJ81" s="127" t="str">
        <f>IFERROR(VLOOKUP($B81,'LOD 300 - COLO3'!$B:U,20,FALSE),"N/A")</f>
        <v>NEXT ROUND</v>
      </c>
      <c r="EK81" s="127" t="str">
        <f>IFERROR(VLOOKUP($B81,'LOD 300 - COLO3'!$B:X,23,FALSE),"N/A")</f>
        <v>NEXT ROUND</v>
      </c>
      <c r="EL81" s="127" t="str">
        <f>IFERROR(VLOOKUP($B81,'LOD 300 - COLO3'!$B:AA,26,FALSE),"N/A")</f>
        <v>NEXT ROUND</v>
      </c>
      <c r="EM81" s="127">
        <f>IFERROR(VLOOKUP($B81,'LOD 300 - COLO3'!$B:AD,29,FALSE),"N/A")</f>
        <v>1</v>
      </c>
      <c r="EN81" s="127">
        <f>IFERROR(VLOOKUP($B81,'LOD 300 - COLO3'!$B:AG,32,FALSE),"N/A")</f>
        <v>1</v>
      </c>
      <c r="EO81" s="127">
        <f>IFERROR(VLOOKUP($B81,'LOD 300 - COLO3'!$B:AJ,35,FALSE),"N/A")</f>
        <v>1</v>
      </c>
      <c r="EP81" s="100">
        <f>IFERROR(VLOOKUP($B81,'LOD 300 - COLO3'!$B:AM,38,FALSE),"N/A")</f>
        <v>1</v>
      </c>
      <c r="EQ81" s="100">
        <f>IFERROR(VLOOKUP($B81,'LOD 300 - COLO3'!$B:AP,41,FALSE),"N/A")</f>
        <v>1</v>
      </c>
      <c r="ER81" s="100">
        <f>IFERROR(VLOOKUP($B81,'LOD 300 - COLO3'!$B:AS,44,FALSE),"N/A")</f>
        <v>1</v>
      </c>
      <c r="ES81" s="100">
        <f>IFERROR(VLOOKUP($B81,'LOD 300 - COLO3'!$B:AV,47,FALSE),"N/A")</f>
        <v>1</v>
      </c>
      <c r="ET81" s="100">
        <f>IFERROR(VLOOKUP($B81,'LOD 300 - COLO3'!$B:AY,50,FALSE),"N/A")</f>
        <v>1</v>
      </c>
      <c r="EU81" s="100">
        <f>IFERROR(VLOOKUP($B81,'LOD 300 - COLO3'!$B:BB,53,FALSE),"N/A")</f>
        <v>1</v>
      </c>
      <c r="EV81" s="100">
        <f>IFERROR(VLOOKUP($B81,'LOD 300 - COLO3'!$B:BE,56,FALSE),"N/A")</f>
        <v>1</v>
      </c>
      <c r="EW81" s="100">
        <f>IFERROR(VLOOKUP($B81,'LOD 300 - COLO3'!$B:BL,59,FALSE),"N/A")</f>
        <v>1</v>
      </c>
      <c r="EX81" s="100">
        <f>IFERROR(VLOOKUP($B81,'LOD 300 - COLO3'!$B:BO,62,FALSE),"N/A")</f>
        <v>1</v>
      </c>
      <c r="EY81" s="103">
        <f>IFERROR(__xludf.DUMMYFUNCTION("IFERROR(
  MAX(FILTER(EI81:EX81, ISNUMBER(EI81:EX81))),
  EX81
)"),1.0)</f>
        <v>1</v>
      </c>
      <c r="EZ81" s="104">
        <f>IFERROR(VLOOKUP($B81,'LOD 300 - COLO4'!$B:BT,17,FALSE),"N/A")</f>
        <v>0</v>
      </c>
      <c r="FA81" s="103">
        <f>IFERROR(__xludf.DUMMYFUNCTION("IFERROR(
  MAX(FILTER(EZ81, ISNUMBER(EZ81))),
  EZ81
)"),0.0)</f>
        <v>0</v>
      </c>
      <c r="FB81" s="121" t="str">
        <f>IFERROR(VLOOKUP($B81,'LOD 300 - SITE'!$B:S,18,FALSE),"N/A")</f>
        <v>N/A</v>
      </c>
      <c r="FC81" s="122" t="str">
        <f>IFERROR(VLOOKUP($B81,'LOD 300 - SITE'!$B:V,21,FALSE),"N/A")</f>
        <v>N/A</v>
      </c>
      <c r="FD81" s="122" t="str">
        <f>IFERROR(VLOOKUP($B81,'LOD 300 - SITE'!$B:Y,24,FALSE),"N/A")</f>
        <v>N/A</v>
      </c>
      <c r="FE81" s="122" t="str">
        <f>IFERROR(VLOOKUP($B81,'LOD 300 - SITE'!$B:AB,27,FALSE),"N/A")</f>
        <v>N/A</v>
      </c>
      <c r="FF81" s="122" t="str">
        <f>IFERROR(VLOOKUP($B81,'LOD 300 - SITE'!$B:AE,30,FALSE),"N/A")</f>
        <v>N/A</v>
      </c>
      <c r="FG81" s="122" t="str">
        <f>IFERROR(VLOOKUP($B81,'LOD 300 - SITE'!$B:AH,33,FALSE),"N/A")</f>
        <v>N/A</v>
      </c>
      <c r="FH81" s="122" t="str">
        <f>IFERROR(VLOOKUP($B81,'LOD 300 - SITE'!$B:AK,36,FALSE),"N/A")</f>
        <v>N/A</v>
      </c>
      <c r="FI81" s="122" t="str">
        <f>IFERROR(VLOOKUP($B81,'LOD 300 - SITE'!$B:AN,39,FALSE),"N/A")</f>
        <v>N/A</v>
      </c>
      <c r="FJ81" s="122" t="str">
        <f>IFERROR(VLOOKUP($B81,'LOD 300 - SITE'!$B:AQ,42,FALSE),"N/A")</f>
        <v>N/A</v>
      </c>
      <c r="FK81" s="122" t="str">
        <f>IFERROR(VLOOKUP($B81,'LOD 300 - SITE'!$B:AT,45,FALSE),"N/A")</f>
        <v>N/A</v>
      </c>
      <c r="FL81" s="123" t="str">
        <f>IFERROR(VLOOKUP($B81,'LOD 300 - SITE'!$B:AW,48,FALSE),"N/A")</f>
        <v>N/A</v>
      </c>
      <c r="FM81" s="87" t="str">
        <f>IFERROR(VLOOKUP($B81,'LOD 300 - SITE'!$B:AZ,51,FALSE),"N/A")</f>
        <v>N/A</v>
      </c>
      <c r="FN81" s="94" t="str">
        <f>IFERROR(VLOOKUP($B81,'LOD 300 - SITE'!$B:BC,54,FALSE),"N/A")</f>
        <v>N/A</v>
      </c>
      <c r="FO81" s="95" t="str">
        <f>IFERROR(VLOOKUP($B81,'LOD 300 - SITE'!$B:BF,57,FALSE),"N/A")</f>
        <v>N/A</v>
      </c>
      <c r="FP81" s="86" t="str">
        <f>IFERROR(VLOOKUP($B81,'LOD 300 - SITE'!$B:BI,60,FALSE),"N/A")</f>
        <v>N/A</v>
      </c>
      <c r="FQ81" s="86" t="str">
        <f>IFERROR(VLOOKUP($B81,'LOD 300 - SITE'!$B:BL,63,FALSE),"N/A")</f>
        <v>N/A</v>
      </c>
      <c r="FR81" s="86" t="str">
        <f>IFERROR(VLOOKUP($B81,'LOD 300 - SITE'!$B:BO,66,FALSE),"N/A")</f>
        <v>N/A</v>
      </c>
      <c r="FS81" s="86" t="str">
        <f>IFERROR(VLOOKUP($B81,'LOD 300 - SITE'!$B:BR,69,FALSE),"N/A")</f>
        <v>N/A</v>
      </c>
      <c r="FT81" s="86" t="str">
        <f>IFERROR(VLOOKUP($B81,'LOD 300 - SITE'!$B:BU,72,FALSE),"N/A")</f>
        <v>N/A</v>
      </c>
      <c r="FU81" s="86" t="str">
        <f>IFERROR(VLOOKUP($B81,'LOD 300 - SITE'!$B:BX,75,FALSE),"N/A")</f>
        <v>N/A</v>
      </c>
      <c r="FV81" s="86" t="str">
        <f>IFERROR(VLOOKUP($B81,'LOD 300 - SITE'!$B:CA,78,FALSE),"N/A")</f>
        <v>N/A</v>
      </c>
      <c r="FW81" s="87" t="str">
        <f>IFERROR(VLOOKUP($B81,'LOD 300 - SITE'!$B:CD,81,FALSE),"N/A")</f>
        <v>N/A</v>
      </c>
      <c r="FX81" s="108" t="str">
        <f>IFERROR(VLOOKUP($B81,'LOD 300 - SITE'!$B:CG,84,FALSE),"N/A")</f>
        <v>N/A</v>
      </c>
      <c r="FY81" s="108" t="str">
        <f>IFERROR(VLOOKUP($B81,'LOD 300 - SITE'!$B:CJ,87,FALSE),"N/A")</f>
        <v>N/A</v>
      </c>
      <c r="FZ81" s="108" t="str">
        <f>IFERROR(VLOOKUP($B81,'LOD 300 - SITE'!$B:CM,90,FALSE),"N/A")</f>
        <v>N/A</v>
      </c>
      <c r="GA81" s="108" t="str">
        <f>IFERROR(VLOOKUP($B81,'LOD 300 - SITE'!$B:CP,93,FALSE),"N/A")</f>
        <v>N/A</v>
      </c>
      <c r="GB81" s="108" t="str">
        <f>IFERROR(VLOOKUP($B81,'LOD 300 - SITE'!$B:CS,96,FALSE),"N/A")</f>
        <v>N/A</v>
      </c>
      <c r="GC81" s="109" t="str">
        <f>IFERROR(VLOOKUP($B81,'LOD 300 - SITE'!$B:CV,99,FALSE),"N/A")</f>
        <v>N/A</v>
      </c>
      <c r="GD81" s="87" t="str">
        <f>IFERROR(VLOOKUP($B81,'LOD 300 - SITE'!$B:CY,102,FALSE),"N/A")</f>
        <v>N/A</v>
      </c>
      <c r="GE81" s="87" t="str">
        <f>IFERROR(VLOOKUP($B81,'LOD 300 - SITE'!$B:DB,105,FALSE),"N/A")</f>
        <v>N/A</v>
      </c>
      <c r="GF81" s="87" t="str">
        <f>IFERROR(VLOOKUP($B81,'LOD 300 - SITE'!$B:DE,108,FALSE),"N/A")</f>
        <v>N/A</v>
      </c>
      <c r="GG81" s="87" t="str">
        <f>IFERROR(VLOOKUP($B81,'LOD 300 - SITE'!$B:DH,111,FALSE),"N/A")</f>
        <v>N/A</v>
      </c>
      <c r="GH81" s="87" t="str">
        <f>IFERROR(VLOOKUP($B81,'LOD 300 - SITE'!$B:DK,114,FALSE),"N/A")</f>
        <v>N/A</v>
      </c>
      <c r="GI81" s="87" t="str">
        <f>IFERROR(VLOOKUP($B81,'LOD 300 - SITE'!$B:DN,117,FALSE),"N/A")</f>
        <v>N/A</v>
      </c>
      <c r="GJ81" s="87" t="str">
        <f>IFERROR(VLOOKUP($B81,'LOD 300 - SITE'!$B:DQ,120,FALSE),"N/A")</f>
        <v>N/A</v>
      </c>
      <c r="GK81" s="87" t="str">
        <f>IFERROR(VLOOKUP($B81,'LOD 300 - SITE'!$B:DT,123,FALSE),"N/A")</f>
        <v>N/A</v>
      </c>
      <c r="GL81" s="87" t="str">
        <f>IFERROR(VLOOKUP($B81,'LOD 300 - SITE'!$B:DW,126,FALSE),"N/A")</f>
        <v>N/A</v>
      </c>
      <c r="GM81" s="110" t="str">
        <f>IFERROR(__xludf.DUMMYFUNCTION("IFERROR(
  MAX(FILTER(FB81:GL81, ISNUMBER(FB81:GL81))),
  GL81
)"),"N/A")</f>
        <v>N/A</v>
      </c>
      <c r="GN81" s="111"/>
      <c r="GO81" s="111"/>
      <c r="GP81" s="111"/>
    </row>
    <row r="82" ht="15.0" customHeight="1" outlineLevel="1">
      <c r="A82" s="60">
        <v>85.0</v>
      </c>
      <c r="B82" s="140" t="s">
        <v>264</v>
      </c>
      <c r="C82" s="70" t="s">
        <v>265</v>
      </c>
      <c r="D82" s="71" t="s">
        <v>127</v>
      </c>
      <c r="E82" s="146" t="s">
        <v>256</v>
      </c>
      <c r="F82" s="13">
        <v>1118.0</v>
      </c>
      <c r="G82" s="139" t="s">
        <v>256</v>
      </c>
      <c r="H82" s="139">
        <v>1118.0</v>
      </c>
      <c r="I82" s="74" t="str">
        <f>IFERROR(VLOOKUP(C79:C221,'R22 RELATÓRIO ACC'!B:F,5,FALSE),"NOT PUBLISHED")</f>
        <v>V23</v>
      </c>
      <c r="J82" s="74" t="str">
        <f>IFERROR(VLOOKUP(C79:C221,'R22 RELATÓRIO ACC'!B:P,15,FALSE),"NOT PUBLISHED")</f>
        <v>16/04/2026</v>
      </c>
      <c r="K82" s="141" t="str">
        <f>IFERROR(VLOOKUP(B79:B269,'RELATÓRIO ACC'!B:F,5,FALSE),"NOT PUBLISHED")</f>
        <v>V1</v>
      </c>
      <c r="L82" s="142" t="str">
        <f>IFERROR(VLOOKUP(B79:B269,'RELATÓRIO ACC'!B:P,15,FALSE),"NOT PUBLISHED")</f>
        <v>19/05/2026</v>
      </c>
      <c r="M82" s="76" t="str">
        <f>IF(OR($D82="UTLS",$D82="GUAR",$D82="STIR",$D82="PUMP",$D82="SITE"),
   VLOOKUP($B82,'LOD 300 - SITE'!B:M,12,FALSE),
   VLOOKUP($B82,'LOD 300 - ADMN'!B:M,12,FALSE)
)</f>
        <v>V14</v>
      </c>
      <c r="N82" s="80">
        <f>IF(OR($D82="UTLS",$D82="GUAR",$D82="STIR",$D82="PUMP",$D82="SITE"),
   VLOOKUP($B82,'LOD 300 - SITE'!B:N,13,FALSE),
   VLOOKUP($B82,'LOD 300 - ADMN'!B:N,13,FALSE)
)</f>
        <v>45862</v>
      </c>
      <c r="O82" s="143" t="str">
        <f>IF(OR($D82="UTLS",$D82="GUAR",$D82="STIR",$D82="PUMP",$D82="SITE"),
   VLOOKUP($B82,'LOD 300 - SITE'!B:O,14,FALSE),
   VLOOKUP($B82,'LOD 300 - ADMN'!B:O,14,FALSE)
)</f>
        <v>R22</v>
      </c>
      <c r="P82" s="79" t="str">
        <f>IF(OR($D82="C345",$D82="C12A",$D82="DATA"),
   VLOOKUP($B82,'LOD 300 - COLO3'!B:M,12,FALSE),"N/A")</f>
        <v>N/A</v>
      </c>
      <c r="Q82" s="76" t="str">
        <f>IF(OR($D82="C345",$D82="C12A",$D82="DATA"),
   VLOOKUP($B82,'LOD 300 - COLO3'!B:N,13,FALSE),"N/A")</f>
        <v>N/A</v>
      </c>
      <c r="R82" s="76" t="str">
        <f>IF(OR($D82="C345",$D82="C12A",$D82="DATA"),
   VLOOKUP($B82,'LOD 300 - COLO3'!B:O,14,FALSE),"N/A")</f>
        <v>N/A</v>
      </c>
      <c r="S82" s="79" t="str">
        <f>IF(OR($D82="C345",$D82="C12A",$D82="DATA"),
   VLOOKUP($B82,'LOD 300 - COLO4'!B:M,12,FALSE),"N/A")</f>
        <v>N/A</v>
      </c>
      <c r="T82" s="76" t="str">
        <f>IF(OR($D82="C345",$D82="C12A",$D82="DATA"),
   VLOOKUP($B82,'LOD 300 - COLO4'!B:T,13,FALSE),"N/A")</f>
        <v>N/A</v>
      </c>
      <c r="U82" s="76" t="str">
        <f>IF(OR($D82="C345",$D82="C12A",$D82="DATA"),
   VLOOKUP($B82,'LOD 300 - COLO4'!B:U,17,FALSE),"N/A")</f>
        <v>N/A</v>
      </c>
      <c r="V82" s="126" t="s">
        <v>129</v>
      </c>
      <c r="W82" s="144" t="str">
        <f>IFERROR(VLOOKUP($B82,'LOD 300 - ADMN'!$B:S,18,FALSE),"N/A")</f>
        <v>N/A</v>
      </c>
      <c r="X82" s="122" t="str">
        <f>IFERROR(VLOOKUP($B82,'LOD 300 - ADMN'!$B:V,21,FALSE),"N/A")</f>
        <v>N/A</v>
      </c>
      <c r="Y82" s="122" t="str">
        <f>IFERROR(VLOOKUP($B82,'LOD 300 - ADMN'!$B:Y,24,FALSE),"N/A")</f>
        <v>N/A</v>
      </c>
      <c r="Z82" s="122" t="str">
        <f>IFERROR(VLOOKUP($B82,'LOD 300 - ADMN'!$B:AB,27,FALSE),"N/A")</f>
        <v>N/A</v>
      </c>
      <c r="AA82" s="122" t="str">
        <f>IFERROR(VLOOKUP($B82,'LOD 300 - ADMN'!$B:AE,30,FALSE),"N/A")</f>
        <v>N/A</v>
      </c>
      <c r="AB82" s="145" t="str">
        <f>IFERROR(VLOOKUP($B82,'LOD 300 - ADMN'!$B:AH,33,FALSE),"N/A")</f>
        <v>N/A</v>
      </c>
      <c r="AC82" s="145" t="str">
        <f>IFERROR(VLOOKUP($B82,'LOD 300 - ADMN'!$B:AK,36,FALSE),"N/A")</f>
        <v>N/A</v>
      </c>
      <c r="AD82" s="122" t="str">
        <f>IFERROR(VLOOKUP($B82,'LOD 300 - ADMN'!$B:AN,39,FALSE),"N/A")</f>
        <v>N/A</v>
      </c>
      <c r="AE82" s="122" t="str">
        <f>IFERROR(VLOOKUP($B82,'LOD 300 - ADMN'!$B:AQ,42,FALSE),"N/A")</f>
        <v>N/A</v>
      </c>
      <c r="AF82" s="122" t="str">
        <f>IFERROR(VLOOKUP($B82,'LOD 300 - ADMN'!$B:AT,45,FALSE),"N/A")</f>
        <v>N/A</v>
      </c>
      <c r="AG82" s="122" t="str">
        <f>IFERROR(VLOOKUP($B82,'LOD 300 - ADMN'!$B:AW,48,FALSE),"N/A")</f>
        <v>N/A</v>
      </c>
      <c r="AH82" s="122" t="str">
        <f>IFERROR(VLOOKUP($B82,'LOD 300 - ADMN'!$B:AZ,51,FALSE),"N/A")</f>
        <v>N/A</v>
      </c>
      <c r="AI82" s="122" t="str">
        <f>IFERROR(VLOOKUP($B82,'LOD 300 - ADMN'!$B:BC,54,FALSE),"N/A")</f>
        <v>N/A</v>
      </c>
      <c r="AJ82" s="87" t="str">
        <f>IFERROR(VLOOKUP($B82,'LOD 300 - ADMN'!$B:BF,57,FALSE),"N/A")</f>
        <v>N/A</v>
      </c>
      <c r="AK82" s="87" t="str">
        <f>IFERROR(VLOOKUP($B82,'LOD 300 - ADMN'!$B:EP,60,FALSE),"N/A")</f>
        <v>N/A</v>
      </c>
      <c r="AL82" s="87" t="str">
        <f>IFERROR(VLOOKUP($B82,'LOD 300 - ADMN'!$B:EQ,63,FALSE),"N/A")</f>
        <v>N/A</v>
      </c>
      <c r="AM82" s="87" t="str">
        <f>IFERROR(VLOOKUP($B82,'LOD 300 - ADMN'!$B:BO,66,FALSE),"N/A")</f>
        <v>N/A</v>
      </c>
      <c r="AN82" s="87" t="str">
        <f>IFERROR(VLOOKUP($B82,'LOD 300 - ADMN'!$B:BR,69,FALSE),"N/A")</f>
        <v>N/A</v>
      </c>
      <c r="AO82" s="87" t="str">
        <f>IFERROR(VLOOKUP($B82,'LOD 300 - ADMN'!$B:BU,72,FALSE),"N/A")</f>
        <v>N/A</v>
      </c>
      <c r="AP82" s="87" t="str">
        <f>IFERROR(VLOOKUP($B82,'LOD 300 - ADMN'!$B:BX,75,FALSE),"N/A")</f>
        <v>N/A</v>
      </c>
      <c r="AQ82" s="87" t="str">
        <f>IFERROR(VLOOKUP($B82,'LOD 300 - ADMN'!$B:CA,78,FALSE),"N/A")</f>
        <v>N/A</v>
      </c>
      <c r="AR82" s="87" t="str">
        <f>IFERROR(VLOOKUP($B82,'LOD 300 - ADMN'!$B:CD,81,FALSE),"N/A")</f>
        <v>N/A</v>
      </c>
      <c r="AS82" s="87" t="str">
        <f>IFERROR(VLOOKUP($B82,'LOD 300 - ADMN'!$B:CG,84,FALSE),"N/A")</f>
        <v>N/A</v>
      </c>
      <c r="AT82" s="87" t="str">
        <f>IFERROR(VLOOKUP($B82,'LOD 300 - ADMN'!$B:CJ,87,FALSE),"N/A")</f>
        <v>N/A</v>
      </c>
      <c r="AU82" s="88" t="str">
        <f>IFERROR(VLOOKUP($B82,'LOD 300 - ADMN'!$B:CM,90,FALSE),"N/A")</f>
        <v>N/A</v>
      </c>
      <c r="AV82" s="88" t="str">
        <f>IFERROR(VLOOKUP($B82,'LOD 300 - ADMN'!$B:CP,93,FALSE),"N/A")</f>
        <v>N/A</v>
      </c>
      <c r="AW82" s="88" t="str">
        <f>IFERROR(VLOOKUP($B82,'LOD 300 - ADMN'!$B:CS,96,FALSE),"N/A")</f>
        <v>N/A</v>
      </c>
      <c r="AX82" s="88" t="str">
        <f>IFERROR(VLOOKUP($B82,'LOD 300 - ADMN'!$B:CV,99,FALSE),"N/A")</f>
        <v>N/A</v>
      </c>
      <c r="AY82" s="88" t="str">
        <f>IFERROR(VLOOKUP($B82,'LOD 300 - ADMN'!$B:CY,102,FALSE),"N/A")</f>
        <v>N/A</v>
      </c>
      <c r="AZ82" s="88" t="str">
        <f>IFERROR(VLOOKUP($B82,'LOD 300 - ADMN'!$B:DB,105,FALSE),"N/A")</f>
        <v>N/A</v>
      </c>
      <c r="BA82" s="87" t="str">
        <f>IFERROR(VLOOKUP($B82,'LOD 300 - ADMN'!$B:DE,108,FALSE),"N/A")</f>
        <v>N/A</v>
      </c>
      <c r="BB82" s="87" t="str">
        <f>IFERROR(VLOOKUP($B82,'LOD 300 - ADMN'!$B:DH,111,FALSE),"N/A")</f>
        <v>N/A</v>
      </c>
      <c r="BC82" s="87" t="str">
        <f>IFERROR(VLOOKUP($B82,'LOD 300 - ADMN'!$B:DK,114,FALSE),"N/A")</f>
        <v>N/A</v>
      </c>
      <c r="BD82" s="87" t="str">
        <f>IFERROR(VLOOKUP($B82,'LOD 300 - ADMN'!$B:DN,117,FALSE),"N/A")</f>
        <v>N/A</v>
      </c>
      <c r="BE82" s="87" t="str">
        <f>IFERROR(VLOOKUP($B82,'LOD 300 - ADMN'!$B:DQ,120,FALSE),"N/A")</f>
        <v>N/A</v>
      </c>
      <c r="BF82" s="87" t="str">
        <f>IFERROR(VLOOKUP($B82,'LOD 300 - ADMN'!$B:DT,123,FALSE),"N/A")</f>
        <v>N/A</v>
      </c>
      <c r="BG82" s="87" t="str">
        <f>IFERROR(VLOOKUP($B82,'LOD 300 - ADMN'!$B:DW,126,FALSE),"N/A")</f>
        <v>N/A</v>
      </c>
      <c r="BH82" s="87" t="str">
        <f>IFERROR(VLOOKUP($B82,'LOD 300 - ADMN'!$B:DZ,129,FALSE),"N/A")</f>
        <v>N/A</v>
      </c>
      <c r="BI82" s="87" t="str">
        <f>IFERROR(VLOOKUP($B82,'LOD 300 - ADMN'!$B:EC,132,FALSE),"N/A")</f>
        <v>N/A</v>
      </c>
      <c r="BJ82" s="90" t="str">
        <f>IFERROR(__xludf.DUMMYFUNCTION("IFERROR(
  MAX(FILTER(X82:BI82, ISNUMBER(X82:BI82))),
  BI82
)"),"N/A")</f>
        <v>N/A</v>
      </c>
      <c r="BK82" s="91" t="str">
        <f>IFERROR(VLOOKUP($B82,'LOD 300 - COLO1'!$B:S,18,FALSE),"N/A")</f>
        <v>N/A</v>
      </c>
      <c r="BL82" s="92" t="str">
        <f>IFERROR(VLOOKUP($B82,'LOD 300 - COLO1'!$B:V,21,FALSE),"N/A")</f>
        <v>N/A</v>
      </c>
      <c r="BM82" s="92" t="str">
        <f>IFERROR(VLOOKUP($B82,'LOD 300 - COLO1'!$B:Y,24,FALSE),"N/A")</f>
        <v>N/A</v>
      </c>
      <c r="BN82" s="92" t="str">
        <f>IFERROR(VLOOKUP($B82,'LOD 300 - COLO1'!$B:AB,27,FALSE),"N/A")</f>
        <v>N/A</v>
      </c>
      <c r="BO82" s="92" t="str">
        <f>IFERROR(VLOOKUP($B82,'LOD 300 - COLO1'!$B:AE,30,FALSE),"N/A")</f>
        <v>N/A</v>
      </c>
      <c r="BP82" s="92" t="str">
        <f>IFERROR(VLOOKUP($B82,'LOD 300 - COLO1'!$B:AH,33,FALSE),"N/A")</f>
        <v>N/A</v>
      </c>
      <c r="BQ82" s="92" t="str">
        <f>IFERROR(VLOOKUP($B82,'LOD 300 - COLO1'!$B:AK,36,FALSE),"N/A")</f>
        <v>N/A</v>
      </c>
      <c r="BR82" s="92" t="str">
        <f>IFERROR(VLOOKUP($B82,'LOD 300 - COLO1'!$B:AN,39,FALSE),"N/A")</f>
        <v>N/A</v>
      </c>
      <c r="BS82" s="92" t="str">
        <f>IFERROR(VLOOKUP($B82,'LOD 300 - COLO1'!$B:AQ,42,FALSE),"N/A")</f>
        <v>N/A</v>
      </c>
      <c r="BT82" s="92" t="str">
        <f>IFERROR(VLOOKUP($B82,'LOD 300 - COLO1'!$B:AT,45,FALSE),"N/A")</f>
        <v>N/A</v>
      </c>
      <c r="BU82" s="92" t="str">
        <f>IFERROR(VLOOKUP($B82,'LOD 300 - COLO1'!$B:AW,48,FALSE),"N/A")</f>
        <v>N/A</v>
      </c>
      <c r="BV82" s="92" t="str">
        <f>IFERROR(VLOOKUP($B82,'LOD 300 - COLO1'!$B:AZ,51,FALSE),"N/A")</f>
        <v>N/A</v>
      </c>
      <c r="BW82" s="92" t="str">
        <f>IFERROR(VLOOKUP($B82,'LOD 300 - COLO1'!$B:BC,54,FALSE),"N/A")</f>
        <v>N/A</v>
      </c>
      <c r="BX82" s="94" t="str">
        <f>IFERROR(VLOOKUP($B82,'LOD 300 - COLO1'!$B:BF,57,FALSE),"N/A")</f>
        <v>N/A</v>
      </c>
      <c r="BY82" s="94" t="str">
        <f>IFERROR(VLOOKUP($B82,'LOD 300 - COLO1'!$B:BI,60,FALSE),"N/A")</f>
        <v>N/A</v>
      </c>
      <c r="BZ82" s="95" t="str">
        <f>IFERROR(VLOOKUP($B82,'LOD 300 - COLO1'!$B:BL,63,FALSE),"N/A")</f>
        <v>N/A</v>
      </c>
      <c r="CA82" s="86" t="str">
        <f>IFERROR(VLOOKUP($B82,'LOD 300 - COLO1'!$B:BO,66,FALSE),"N/A")</f>
        <v>N/A</v>
      </c>
      <c r="CB82" s="86" t="str">
        <f>IFERROR(VLOOKUP($B82,'LOD 300 - COLO1'!$B:BR,69,FALSE),"N/A")</f>
        <v>N/A</v>
      </c>
      <c r="CC82" s="86" t="str">
        <f>IFERROR(VLOOKUP($B82,'LOD 300 - COLO1'!$B:BU,72,FALSE),"N/A")</f>
        <v>N/A</v>
      </c>
      <c r="CD82" s="86" t="str">
        <f>IFERROR(VLOOKUP($B82,'LOD 300 - COLO1'!$B:BX,75,FALSE),"N/A")</f>
        <v>N/A</v>
      </c>
      <c r="CE82" s="86" t="str">
        <f>IFERROR(VLOOKUP($B82,'LOD 300 - COLO1'!$B:CA,78,FALSE),"N/A")</f>
        <v>N/A</v>
      </c>
      <c r="CF82" s="87" t="str">
        <f>IFERROR(VLOOKUP($B82,'LOD 300 - COLO1'!$B:CD,81,FALSE),"N/A")</f>
        <v>N/A</v>
      </c>
      <c r="CG82" s="86" t="str">
        <f>IFERROR(VLOOKUP($B82,'LOD 300 - COLO1'!$B:CG,84,FALSE),"N/A")</f>
        <v>N/A</v>
      </c>
      <c r="CH82" s="87" t="str">
        <f>IFERROR(VLOOKUP($B82,'LOD 300 - COLO1'!$B:CJ,87,FALSE),"N/A")</f>
        <v>N/A</v>
      </c>
      <c r="CI82" s="88" t="str">
        <f>IFERROR(VLOOKUP($B82,'LOD 300 - COLO1'!$B:CM,90,FALSE),"N/A")</f>
        <v>N/A</v>
      </c>
      <c r="CJ82" s="88" t="str">
        <f>IFERROR(VLOOKUP($B82,'LOD 300 - COLO1'!$B:CP,93,FALSE),"N/A")</f>
        <v>N/A</v>
      </c>
      <c r="CK82" s="88" t="str">
        <f>IFERROR(VLOOKUP($B82,'LOD 300 - COLO1'!$B:CS,96,FALSE),"N/A")</f>
        <v>N/A</v>
      </c>
      <c r="CL82" s="88" t="str">
        <f>IFERROR(VLOOKUP($B82,'LOD 300 - COLO1'!$B:CV,99,FALSE),"N/A")</f>
        <v>N/A</v>
      </c>
      <c r="CM82" s="88" t="str">
        <f>IFERROR(VLOOKUP($B82,'LOD 300 - COLO1'!$B:CY,102,FALSE),"N/A")</f>
        <v>N/A</v>
      </c>
      <c r="CN82" s="89" t="str">
        <f>IFERROR(VLOOKUP($B82,'LOD 300 - COLO1'!$B:DB,105,FALSE),"N/A")</f>
        <v>N/A</v>
      </c>
      <c r="CO82" s="87" t="str">
        <f>IFERROR(VLOOKUP($B82,'LOD 300 - COLO1'!$B:EE,108,FALSE),"N/A")</f>
        <v>N/A</v>
      </c>
      <c r="CP82" s="87" t="str">
        <f>IFERROR(VLOOKUP($B82,'LOD 300 - COLO1'!$B:EH,111,FALSE),"N/A")</f>
        <v>N/A</v>
      </c>
      <c r="CQ82" s="87" t="str">
        <f>IFERROR(VLOOKUP($B82,'LOD 300 - COLO1'!$B:EK,114,FALSE),"N/A")</f>
        <v>N/A</v>
      </c>
      <c r="CR82" s="87" t="str">
        <f>IFERROR(VLOOKUP($B82,'LOD 300 - COLO1'!$B:EN,117,FALSE),"N/A")</f>
        <v>N/A</v>
      </c>
      <c r="CS82" s="87" t="str">
        <f>IFERROR(VLOOKUP($B82,'LOD 300 - COLO1'!$B:EQ,120,FALSE),"N/A")</f>
        <v>N/A</v>
      </c>
      <c r="CT82" s="87" t="str">
        <f>IFERROR(VLOOKUP($B82,'LOD 300 - COLO1'!$B:ET,123,FALSE),"N/A")</f>
        <v>N/A</v>
      </c>
      <c r="CU82" s="87" t="str">
        <f>IFERROR(VLOOKUP($B82,'LOD 300 - COLO1'!$B:EW,126,FALSE),"N/A")</f>
        <v>N/A</v>
      </c>
      <c r="CV82" s="87" t="str">
        <f>IFERROR(VLOOKUP($B82,'LOD 300 - COLO1'!$B:EZ,129,FALSE),"N/A")</f>
        <v>N/A</v>
      </c>
      <c r="CW82" s="87" t="str">
        <f>IFERROR(VLOOKUP($B82,'LOD 300 - COLO1'!$B:FC,132,FALSE),"N/A")</f>
        <v>N/A</v>
      </c>
      <c r="CX82" s="96" t="str">
        <f>IFERROR(__xludf.DUMMYFUNCTION("IFERROR(
  MAX(FILTER(BK82:CW82, ISNUMBER(BK82:CW82))),
  CW82
)"),"N/A")</f>
        <v>N/A</v>
      </c>
      <c r="CY82" s="104" t="str">
        <f>IFERROR(VLOOKUP($B82,'LOD 300 - COLO2'!$B:S,18,FALSE),"N/A")</f>
        <v>N/A</v>
      </c>
      <c r="CZ82" s="117" t="str">
        <f>IFERROR(VLOOKUP($B82,'LOD 300 - COLO2'!$B:V,21,FALSE),"N/A")</f>
        <v>N/A</v>
      </c>
      <c r="DA82" s="117" t="str">
        <f>IFERROR(VLOOKUP($B82,'LOD 300 - COLO2'!$B:Y,24,FALSE),"N/A")</f>
        <v>N/A</v>
      </c>
      <c r="DB82" s="117" t="str">
        <f>IFERROR(VLOOKUP($B82,'LOD 300 - COLO2'!$B:AB,27,FALSE),"N/A")</f>
        <v>N/A</v>
      </c>
      <c r="DC82" s="92" t="str">
        <f>IFERROR(VLOOKUP($B82,'LOD 300 - COLO2'!$B:AE,30,FALSE),"N/A")</f>
        <v>N/A</v>
      </c>
      <c r="DD82" s="120" t="str">
        <f>IFERROR(VLOOKUP($B82,'LOD 300 - COLO2'!$B:AH,33,FALSE),"N/A")</f>
        <v>N/A</v>
      </c>
      <c r="DE82" s="117" t="str">
        <f>IFERROR(VLOOKUP($B82,'LOD 300 - COLO2'!$B:AK,36,FALSE),"N/A")</f>
        <v>N/A</v>
      </c>
      <c r="DF82" s="117" t="str">
        <f>IFERROR(VLOOKUP($B82,'LOD 300 - COLO2'!$B:AN,39,FALSE),"N/A")</f>
        <v>N/A</v>
      </c>
      <c r="DG82" s="119" t="str">
        <f>IFERROR(VLOOKUP($B82,'LOD 300 - COLO2'!$B:AQ,42,FALSE),"N/A")</f>
        <v>N/A</v>
      </c>
      <c r="DH82" s="87" t="str">
        <f>IFERROR(VLOOKUP($B82,'LOD 300 - COLO2'!$B:AT,45,FALSE),"N/A")</f>
        <v>N/A</v>
      </c>
      <c r="DI82" s="94" t="str">
        <f>IFERROR(VLOOKUP($B82,'LOD 300 - COLO2'!$B:AW,48,FALSE),"N/A")</f>
        <v>N/A</v>
      </c>
      <c r="DJ82" s="95" t="str">
        <f>IFERROR(VLOOKUP($B82,'LOD 300 - COLO2'!$B:AZ,51,FALSE),"N/A")</f>
        <v>N/A</v>
      </c>
      <c r="DK82" s="86" t="str">
        <f>IFERROR(VLOOKUP($B82,'LOD 300 - COLO2'!$B:BC,54,FALSE),"N/A")</f>
        <v>N/A</v>
      </c>
      <c r="DL82" s="86" t="str">
        <f>IFERROR(VLOOKUP($B82,'LOD 300 - COLO2'!$B:BF,57,FALSE),"N/A")</f>
        <v>N/A</v>
      </c>
      <c r="DM82" s="86" t="str">
        <f>IFERROR(VLOOKUP($B82,'LOD 300 - COLO2'!$B:BI,60,FALSE),"N/A")</f>
        <v>N/A</v>
      </c>
      <c r="DN82" s="86" t="str">
        <f>IFERROR(VLOOKUP($B82,'LOD 300 - COLO2'!$B:BL,63,FALSE),"N/A")</f>
        <v>N/A</v>
      </c>
      <c r="DO82" s="86" t="str">
        <f>IFERROR(VLOOKUP($B82,'LOD 300 - COLO2'!$B:BO,66,FALSE),"N/A")</f>
        <v>N/A</v>
      </c>
      <c r="DP82" s="87" t="str">
        <f>IFERROR(VLOOKUP($B82,'LOD 300 - COLO2'!$B:BR,69,FALSE),"N/A")</f>
        <v>N/A</v>
      </c>
      <c r="DQ82" s="87" t="str">
        <f>IFERROR(VLOOKUP($B82,'LOD 300 - COLO2'!$B:BU,72,FALSE),"N/A")</f>
        <v>N/A</v>
      </c>
      <c r="DR82" s="87" t="str">
        <f>IFERROR(VLOOKUP($B82,'LOD 300 - COLO2'!$B:BX,75,FALSE),"N/A")</f>
        <v>N/A</v>
      </c>
      <c r="DS82" s="98" t="str">
        <f>IFERROR(VLOOKUP($B82,'LOD 300 - COLO2'!$B:CA,78,FALSE),"N/A")</f>
        <v>N/A</v>
      </c>
      <c r="DT82" s="98" t="str">
        <f>IFERROR(VLOOKUP($B82,'LOD 300 - COLO2'!$B:CD,81,FALSE),"N/A")</f>
        <v>N/A</v>
      </c>
      <c r="DU82" s="98" t="str">
        <f>IFERROR(VLOOKUP($B82,'LOD 300 - COLO2'!$B:CG,84,FALSE),"N/A")</f>
        <v>N/A</v>
      </c>
      <c r="DV82" s="98" t="str">
        <f>IFERROR(VLOOKUP($B82,'LOD 300 - COLO2'!$B:CJ,87,FALSE),"N/A")</f>
        <v>N/A</v>
      </c>
      <c r="DW82" s="98" t="str">
        <f>IFERROR(VLOOKUP($B82,'LOD 300 - COLO2'!$B:CM,90,FALSE),"N/A")</f>
        <v>N/A</v>
      </c>
      <c r="DX82" s="98" t="str">
        <f>IFERROR(VLOOKUP($B82,'LOD 300 - COLO2'!$B:CP,93,FALSE),"N/A")</f>
        <v>N/A</v>
      </c>
      <c r="DY82" s="87" t="str">
        <f>IFERROR(VLOOKUP($B82,'LOD 300 - COLO2'!$B:CS,96,FALSE),"N/A")</f>
        <v>N/A</v>
      </c>
      <c r="DZ82" s="87" t="str">
        <f>IFERROR(VLOOKUP($B82,'LOD 300 - COLO2'!$B:CV,99,FALSE),"N/A")</f>
        <v>N/A</v>
      </c>
      <c r="EA82" s="87" t="str">
        <f>IFERROR(VLOOKUP($B82,'LOD 300 - COLO2'!$B:DB,105,FALSE),"N/A")</f>
        <v>N/A</v>
      </c>
      <c r="EB82" s="87" t="str">
        <f>IFERROR(VLOOKUP($B82,'LOD 300 - COLO2'!$B:DB,105,FALSE),"N/A")</f>
        <v>N/A</v>
      </c>
      <c r="EC82" s="87" t="str">
        <f>IFERROR(VLOOKUP($B82,'LOD 300 - COLO2'!$B:DE,108,FALSE),"N/A")</f>
        <v>N/A</v>
      </c>
      <c r="ED82" s="87" t="str">
        <f>IFERROR(VLOOKUP($B82,'LOD 300 - COLO2'!$B:DH,111,FALSE),"N/A")</f>
        <v>N/A</v>
      </c>
      <c r="EE82" s="87" t="str">
        <f>IFERROR(VLOOKUP($B82,'LOD 300 - COLO2'!$B:DK,114,FALSE),"N/A")</f>
        <v>N/A</v>
      </c>
      <c r="EF82" s="87" t="str">
        <f>IFERROR(VLOOKUP($B82,'LOD 300 - COLO2'!$B:DN,117,FALSE),"N/A")</f>
        <v>N/A</v>
      </c>
      <c r="EG82" s="87" t="str">
        <f>IFERROR(VLOOKUP($B82,'LOD 300 - COLO2'!$B:DQ,120,FALSE),"N/A")</f>
        <v>N/A</v>
      </c>
      <c r="EH82" s="99" t="str">
        <f>IFERROR(__xludf.DUMMYFUNCTION("IFERROR(
  MAX(FILTER(CZ82:EG82, ISNUMBER(CZ82:EG82))),
  EG82
)"),"N/A")</f>
        <v>N/A</v>
      </c>
      <c r="EI82" s="100" t="str">
        <f>IFERROR(VLOOKUP($B82,'LOD 300 - COLO3'!$B:R,17,FALSE),"N/A")</f>
        <v>N/A</v>
      </c>
      <c r="EJ82" s="127" t="str">
        <f>IFERROR(VLOOKUP($B82,'LOD 300 - COLO3'!$B:U,20,FALSE),"N/A")</f>
        <v>N/A</v>
      </c>
      <c r="EK82" s="127" t="str">
        <f>IFERROR(VLOOKUP($B82,'LOD 300 - COLO3'!$B:X,23,FALSE),"N/A")</f>
        <v>N/A</v>
      </c>
      <c r="EL82" s="127" t="str">
        <f>IFERROR(VLOOKUP($B82,'LOD 300 - COLO3'!$B:AA,26,FALSE),"N/A")</f>
        <v>N/A</v>
      </c>
      <c r="EM82" s="127" t="str">
        <f>IFERROR(VLOOKUP($B82,'LOD 300 - COLO3'!$B:AD,29,FALSE),"N/A")</f>
        <v>N/A</v>
      </c>
      <c r="EN82" s="127" t="str">
        <f>IFERROR(VLOOKUP($B82,'LOD 300 - COLO3'!$B:AG,32,FALSE),"N/A")</f>
        <v>N/A</v>
      </c>
      <c r="EO82" s="127" t="str">
        <f>IFERROR(VLOOKUP($B82,'LOD 300 - COLO3'!$B:AJ,35,FALSE),"N/A")</f>
        <v>N/A</v>
      </c>
      <c r="EP82" s="100" t="str">
        <f>IFERROR(VLOOKUP($B82,'LOD 300 - COLO3'!$B:AM,38,FALSE),"N/A")</f>
        <v>N/A</v>
      </c>
      <c r="EQ82" s="100" t="str">
        <f>IFERROR(VLOOKUP($B82,'LOD 300 - COLO3'!$B:AP,41,FALSE),"N/A")</f>
        <v>N/A</v>
      </c>
      <c r="ER82" s="100" t="str">
        <f>IFERROR(VLOOKUP($B82,'LOD 300 - COLO3'!$B:AS,44,FALSE),"N/A")</f>
        <v>N/A</v>
      </c>
      <c r="ES82" s="100" t="str">
        <f>IFERROR(VLOOKUP($B82,'LOD 300 - COLO3'!$B:AV,47,FALSE),"N/A")</f>
        <v>N/A</v>
      </c>
      <c r="ET82" s="100" t="str">
        <f>IFERROR(VLOOKUP($B82,'LOD 300 - COLO3'!$B:AY,50,FALSE),"N/A")</f>
        <v>N/A</v>
      </c>
      <c r="EU82" s="100" t="str">
        <f>IFERROR(VLOOKUP($B82,'LOD 300 - COLO3'!$B:BB,53,FALSE),"N/A")</f>
        <v>N/A</v>
      </c>
      <c r="EV82" s="100" t="str">
        <f>IFERROR(VLOOKUP($B82,'LOD 300 - COLO3'!$B:BE,56,FALSE),"N/A")</f>
        <v>N/A</v>
      </c>
      <c r="EW82" s="100" t="str">
        <f>IFERROR(VLOOKUP($B82,'LOD 300 - COLO3'!$B:BL,59,FALSE),"N/A")</f>
        <v>N/A</v>
      </c>
      <c r="EX82" s="100" t="str">
        <f>IFERROR(VLOOKUP($B82,'LOD 300 - COLO3'!$B:BO,62,FALSE),"N/A")</f>
        <v>N/A</v>
      </c>
      <c r="EY82" s="103" t="str">
        <f>IFERROR(__xludf.DUMMYFUNCTION("IFERROR(
  MAX(FILTER(EI82:EX82, ISNUMBER(EI82:EX82))),
  EX82
)"),"N/A")</f>
        <v>N/A</v>
      </c>
      <c r="EZ82" s="104" t="str">
        <f>IFERROR(VLOOKUP($B82,'LOD 300 - COLO4'!$B:BT,17,FALSE),"N/A")</f>
        <v>N/A</v>
      </c>
      <c r="FA82" s="103" t="str">
        <f>IFERROR(__xludf.DUMMYFUNCTION("IFERROR(
  MAX(FILTER(EZ82, ISNUMBER(EZ82))),
  EZ82
)"),"N/A")</f>
        <v>N/A</v>
      </c>
      <c r="FB82" s="121">
        <f>IFERROR(VLOOKUP($B82,'LOD 300 - SITE'!$B:S,18,FALSE),"N/A")</f>
        <v>0.82</v>
      </c>
      <c r="FC82" s="122">
        <f>IFERROR(VLOOKUP($B82,'LOD 300 - SITE'!$B:V,21,FALSE),"N/A")</f>
        <v>1</v>
      </c>
      <c r="FD82" s="122">
        <f>IFERROR(VLOOKUP($B82,'LOD 300 - SITE'!$B:Y,24,FALSE),"N/A")</f>
        <v>1</v>
      </c>
      <c r="FE82" s="122">
        <f>IFERROR(VLOOKUP($B82,'LOD 300 - SITE'!$B:AB,27,FALSE),"N/A")</f>
        <v>1</v>
      </c>
      <c r="FF82" s="122">
        <f>IFERROR(VLOOKUP($B82,'LOD 300 - SITE'!$B:AE,30,FALSE),"N/A")</f>
        <v>1</v>
      </c>
      <c r="FG82" s="122">
        <f>IFERROR(VLOOKUP($B82,'LOD 300 - SITE'!$B:AH,33,FALSE),"N/A")</f>
        <v>1</v>
      </c>
      <c r="FH82" s="122">
        <f>IFERROR(VLOOKUP($B82,'LOD 300 - SITE'!$B:AK,36,FALSE),"N/A")</f>
        <v>1</v>
      </c>
      <c r="FI82" s="122">
        <f>IFERROR(VLOOKUP($B82,'LOD 300 - SITE'!$B:AN,39,FALSE),"N/A")</f>
        <v>1</v>
      </c>
      <c r="FJ82" s="122">
        <f>IFERROR(VLOOKUP($B82,'LOD 300 - SITE'!$B:AQ,42,FALSE),"N/A")</f>
        <v>1</v>
      </c>
      <c r="FK82" s="122">
        <f>IFERROR(VLOOKUP($B82,'LOD 300 - SITE'!$B:AT,45,FALSE),"N/A")</f>
        <v>1</v>
      </c>
      <c r="FL82" s="123">
        <f>IFERROR(VLOOKUP($B82,'LOD 300 - SITE'!$B:AW,48,FALSE),"N/A")</f>
        <v>1</v>
      </c>
      <c r="FM82" s="87">
        <f>IFERROR(VLOOKUP($B82,'LOD 300 - SITE'!$B:AZ,51,FALSE),"N/A")</f>
        <v>1</v>
      </c>
      <c r="FN82" s="94">
        <f>IFERROR(VLOOKUP($B82,'LOD 300 - SITE'!$B:BC,54,FALSE),"N/A")</f>
        <v>1</v>
      </c>
      <c r="FO82" s="95">
        <f>IFERROR(VLOOKUP($B82,'LOD 300 - SITE'!$B:BF,57,FALSE),"N/A")</f>
        <v>1</v>
      </c>
      <c r="FP82" s="86">
        <f>IFERROR(VLOOKUP($B82,'LOD 300 - SITE'!$B:BI,60,FALSE),"N/A")</f>
        <v>1</v>
      </c>
      <c r="FQ82" s="86">
        <f>IFERROR(VLOOKUP($B82,'LOD 300 - SITE'!$B:BL,63,FALSE),"N/A")</f>
        <v>1</v>
      </c>
      <c r="FR82" s="86">
        <f>IFERROR(VLOOKUP($B82,'LOD 300 - SITE'!$B:BO,66,FALSE),"N/A")</f>
        <v>1</v>
      </c>
      <c r="FS82" s="86">
        <f>IFERROR(VLOOKUP($B82,'LOD 300 - SITE'!$B:BR,69,FALSE),"N/A")</f>
        <v>1</v>
      </c>
      <c r="FT82" s="86">
        <f>IFERROR(VLOOKUP($B82,'LOD 300 - SITE'!$B:BU,72,FALSE),"N/A")</f>
        <v>1</v>
      </c>
      <c r="FU82" s="86">
        <f>IFERROR(VLOOKUP($B82,'LOD 300 - SITE'!$B:BX,75,FALSE),"N/A")</f>
        <v>1</v>
      </c>
      <c r="FV82" s="86">
        <f>IFERROR(VLOOKUP($B82,'LOD 300 - SITE'!$B:CA,78,FALSE),"N/A")</f>
        <v>1</v>
      </c>
      <c r="FW82" s="87">
        <f>IFERROR(VLOOKUP($B82,'LOD 300 - SITE'!$B:CD,81,FALSE),"N/A")</f>
        <v>1</v>
      </c>
      <c r="FX82" s="108">
        <f>IFERROR(VLOOKUP($B82,'LOD 300 - SITE'!$B:CG,84,FALSE),"N/A")</f>
        <v>1</v>
      </c>
      <c r="FY82" s="108">
        <f>IFERROR(VLOOKUP($B82,'LOD 300 - SITE'!$B:CJ,87,FALSE),"N/A")</f>
        <v>1</v>
      </c>
      <c r="FZ82" s="108">
        <f>IFERROR(VLOOKUP($B82,'LOD 300 - SITE'!$B:CM,90,FALSE),"N/A")</f>
        <v>1</v>
      </c>
      <c r="GA82" s="108">
        <f>IFERROR(VLOOKUP($B82,'LOD 300 - SITE'!$B:CP,93,FALSE),"N/A")</f>
        <v>1</v>
      </c>
      <c r="GB82" s="108">
        <f>IFERROR(VLOOKUP($B82,'LOD 300 - SITE'!$B:CS,96,FALSE),"N/A")</f>
        <v>1</v>
      </c>
      <c r="GC82" s="109">
        <f>IFERROR(VLOOKUP($B82,'LOD 300 - SITE'!$B:CV,99,FALSE),"N/A")</f>
        <v>1</v>
      </c>
      <c r="GD82" s="87">
        <f>IFERROR(VLOOKUP($B82,'LOD 300 - SITE'!$B:CY,102,FALSE),"N/A")</f>
        <v>1</v>
      </c>
      <c r="GE82" s="87">
        <f>IFERROR(VLOOKUP($B82,'LOD 300 - SITE'!$B:DB,105,FALSE),"N/A")</f>
        <v>1</v>
      </c>
      <c r="GF82" s="87">
        <f>IFERROR(VLOOKUP($B82,'LOD 300 - SITE'!$B:DE,108,FALSE),"N/A")</f>
        <v>1</v>
      </c>
      <c r="GG82" s="87">
        <f>IFERROR(VLOOKUP($B82,'LOD 300 - SITE'!$B:DH,111,FALSE),"N/A")</f>
        <v>1</v>
      </c>
      <c r="GH82" s="87">
        <f>IFERROR(VLOOKUP($B82,'LOD 300 - SITE'!$B:DK,114,FALSE),"N/A")</f>
        <v>1</v>
      </c>
      <c r="GI82" s="87">
        <f>IFERROR(VLOOKUP($B82,'LOD 300 - SITE'!$B:DN,117,FALSE),"N/A")</f>
        <v>1</v>
      </c>
      <c r="GJ82" s="87">
        <f>IFERROR(VLOOKUP($B82,'LOD 300 - SITE'!$B:DQ,120,FALSE),"N/A")</f>
        <v>1</v>
      </c>
      <c r="GK82" s="87">
        <f>IFERROR(VLOOKUP($B82,'LOD 300 - SITE'!$B:DT,123,FALSE),"N/A")</f>
        <v>1</v>
      </c>
      <c r="GL82" s="87">
        <f>IFERROR(VLOOKUP($B82,'LOD 300 - SITE'!$B:DW,126,FALSE),"N/A")</f>
        <v>1</v>
      </c>
      <c r="GM82" s="110">
        <f>IFERROR(__xludf.DUMMYFUNCTION("IFERROR(
  MAX(FILTER(FB82:GL82, ISNUMBER(FB82:GL82))),
  GL82
)"),1.0)</f>
        <v>1</v>
      </c>
      <c r="GN82" s="135"/>
      <c r="GO82" s="135"/>
      <c r="GP82" s="135"/>
    </row>
    <row r="83" ht="15.0" hidden="1" customHeight="1">
      <c r="A83" s="60">
        <v>86.0</v>
      </c>
      <c r="B83" s="429" t="s">
        <v>266</v>
      </c>
      <c r="C83" s="430"/>
      <c r="D83" s="431"/>
      <c r="E83" s="431"/>
      <c r="F83" s="13"/>
      <c r="G83" s="431"/>
      <c r="H83" s="432"/>
      <c r="I83" s="433"/>
      <c r="J83" s="433"/>
      <c r="K83" s="431"/>
      <c r="L83" s="431"/>
      <c r="M83" s="434"/>
      <c r="N83" s="434"/>
      <c r="O83" s="434"/>
      <c r="P83" s="435"/>
      <c r="Q83" s="434"/>
      <c r="R83" s="434"/>
      <c r="S83" s="79" t="str">
        <f>IF(OR($D83="C345",$D83="C12A",$D83="DATA"),
   VLOOKUP($B83,'LOD 300 - COLO4'!B:S,14,FALSE),"N/A")</f>
        <v>N/A</v>
      </c>
      <c r="T83" s="76" t="str">
        <f>IF(OR($D83="C345",$D83="C12A",$D83="DATA"),
   VLOOKUP($B83,'LOD 300 - COLO3'!B:T,13,FALSE),"N/A")</f>
        <v>N/A</v>
      </c>
      <c r="U83" s="434"/>
      <c r="V83" s="431"/>
      <c r="W83" s="436"/>
      <c r="X83" s="437"/>
      <c r="Y83" s="437"/>
      <c r="Z83" s="437"/>
      <c r="AA83" s="437"/>
      <c r="AB83" s="437"/>
      <c r="AC83" s="437"/>
      <c r="AD83" s="437"/>
      <c r="AE83" s="437"/>
      <c r="AF83" s="437"/>
      <c r="AG83" s="437"/>
      <c r="AH83" s="437"/>
      <c r="AI83" s="437"/>
      <c r="AJ83" s="438"/>
      <c r="AK83" s="438"/>
      <c r="AL83" s="439"/>
      <c r="AM83" s="438"/>
      <c r="AN83" s="438"/>
      <c r="AO83" s="438"/>
      <c r="AP83" s="438"/>
      <c r="AQ83" s="438"/>
      <c r="AR83" s="438"/>
      <c r="AS83" s="438"/>
      <c r="AT83" s="438"/>
      <c r="AU83" s="438"/>
      <c r="AV83" s="439"/>
      <c r="AW83" s="439"/>
      <c r="AX83" s="439"/>
      <c r="AY83" s="439"/>
      <c r="AZ83" s="439"/>
      <c r="BA83" s="438"/>
      <c r="BB83" s="439"/>
      <c r="BC83" s="440"/>
      <c r="BD83" s="440"/>
      <c r="BE83" s="440"/>
      <c r="BF83" s="440"/>
      <c r="BG83" s="440"/>
      <c r="BH83" s="440"/>
      <c r="BI83" s="440"/>
      <c r="BJ83" s="441"/>
      <c r="BK83" s="442"/>
      <c r="BL83" s="442"/>
      <c r="BM83" s="442"/>
      <c r="BN83" s="442"/>
      <c r="BO83" s="442"/>
      <c r="BP83" s="442"/>
      <c r="BQ83" s="442"/>
      <c r="BR83" s="442"/>
      <c r="BS83" s="442"/>
      <c r="BT83" s="442"/>
      <c r="BU83" s="442"/>
      <c r="BV83" s="442"/>
      <c r="BW83" s="442"/>
      <c r="BX83" s="443"/>
      <c r="BY83" s="443"/>
      <c r="BZ83" s="444"/>
      <c r="CA83" s="445"/>
      <c r="CB83" s="445"/>
      <c r="CC83" s="445"/>
      <c r="CD83" s="445"/>
      <c r="CE83" s="445"/>
      <c r="CF83" s="446"/>
      <c r="CG83" s="444"/>
      <c r="CH83" s="446"/>
      <c r="CI83" s="446"/>
      <c r="CJ83" s="444"/>
      <c r="CK83" s="444"/>
      <c r="CL83" s="444"/>
      <c r="CM83" s="444"/>
      <c r="CN83" s="444"/>
      <c r="CO83" s="446"/>
      <c r="CP83" s="447"/>
      <c r="CQ83" s="444"/>
      <c r="CR83" s="444"/>
      <c r="CS83" s="444"/>
      <c r="CT83" s="444"/>
      <c r="CU83" s="444"/>
      <c r="CV83" s="444"/>
      <c r="CW83" s="444"/>
      <c r="CX83" s="448"/>
      <c r="CY83" s="449"/>
      <c r="CZ83" s="450"/>
      <c r="DA83" s="450"/>
      <c r="DB83" s="450"/>
      <c r="DC83" s="451"/>
      <c r="DD83" s="452"/>
      <c r="DE83" s="449"/>
      <c r="DF83" s="449"/>
      <c r="DG83" s="453"/>
      <c r="DH83" s="446"/>
      <c r="DI83" s="443"/>
      <c r="DJ83" s="444"/>
      <c r="DK83" s="445"/>
      <c r="DL83" s="445"/>
      <c r="DM83" s="445"/>
      <c r="DN83" s="445"/>
      <c r="DO83" s="445"/>
      <c r="DP83" s="446"/>
      <c r="DQ83" s="446"/>
      <c r="DR83" s="446"/>
      <c r="DS83" s="454"/>
      <c r="DT83" s="455"/>
      <c r="DU83" s="455"/>
      <c r="DV83" s="455"/>
      <c r="DW83" s="455"/>
      <c r="DX83" s="455"/>
      <c r="DY83" s="446"/>
      <c r="DZ83" s="456"/>
      <c r="EA83" s="457"/>
      <c r="EB83" s="457"/>
      <c r="EC83" s="457"/>
      <c r="ED83" s="457"/>
      <c r="EE83" s="457"/>
      <c r="EF83" s="457"/>
      <c r="EG83" s="457"/>
      <c r="EH83" s="457"/>
      <c r="EI83" s="446"/>
      <c r="EJ83" s="446"/>
      <c r="EK83" s="446"/>
      <c r="EL83" s="446"/>
      <c r="EM83" s="446"/>
      <c r="EN83" s="446"/>
      <c r="EO83" s="446"/>
      <c r="EP83" s="446"/>
      <c r="EQ83" s="446"/>
      <c r="ER83" s="445"/>
      <c r="ES83" s="445"/>
      <c r="ET83" s="445"/>
      <c r="EU83" s="445"/>
      <c r="EV83" s="445"/>
      <c r="EW83" s="445"/>
      <c r="EX83" s="445"/>
      <c r="EY83" s="445"/>
      <c r="EZ83" s="458"/>
      <c r="FA83" s="458"/>
      <c r="FB83" s="459"/>
      <c r="FC83" s="459"/>
      <c r="FD83" s="459"/>
      <c r="FE83" s="459"/>
      <c r="FF83" s="459"/>
      <c r="FG83" s="459"/>
      <c r="FH83" s="459"/>
      <c r="FI83" s="459"/>
      <c r="FJ83" s="459"/>
      <c r="FK83" s="459"/>
      <c r="FL83" s="460"/>
      <c r="FM83" s="446"/>
      <c r="FN83" s="443"/>
      <c r="FO83" s="444"/>
      <c r="FP83" s="445"/>
      <c r="FQ83" s="445"/>
      <c r="FR83" s="445"/>
      <c r="FS83" s="445"/>
      <c r="FT83" s="445"/>
      <c r="FU83" s="445"/>
      <c r="FV83" s="445"/>
      <c r="FW83" s="446"/>
      <c r="FX83" s="443"/>
      <c r="FY83" s="444"/>
      <c r="FZ83" s="444"/>
      <c r="GA83" s="444"/>
      <c r="GB83" s="444"/>
      <c r="GC83" s="445"/>
      <c r="GD83" s="446"/>
      <c r="GE83" s="447"/>
      <c r="GF83" s="444"/>
      <c r="GG83" s="444"/>
      <c r="GH83" s="444"/>
      <c r="GI83" s="444"/>
      <c r="GJ83" s="444"/>
      <c r="GK83" s="444"/>
      <c r="GL83" s="444"/>
      <c r="GM83" s="461"/>
      <c r="GN83" s="215"/>
      <c r="GO83" s="215"/>
      <c r="GP83" s="215"/>
    </row>
    <row r="84" ht="15.0" customHeight="1" outlineLevel="1">
      <c r="A84" s="60">
        <v>87.0</v>
      </c>
      <c r="B84" s="140" t="s">
        <v>267</v>
      </c>
      <c r="C84" s="70" t="s">
        <v>268</v>
      </c>
      <c r="D84" s="71" t="s">
        <v>90</v>
      </c>
      <c r="E84" s="138" t="s">
        <v>269</v>
      </c>
      <c r="F84" s="149">
        <v>0.0</v>
      </c>
      <c r="G84" s="139" t="s">
        <v>115</v>
      </c>
      <c r="H84" s="150">
        <v>0.0</v>
      </c>
      <c r="I84" s="74" t="str">
        <f>IFERROR(VLOOKUP(C81:C223,'R22 RELATÓRIO ACC'!B:F,5,FALSE),"NOT PUBLISHED")</f>
        <v>NOT PUBLISHED</v>
      </c>
      <c r="J84" s="74" t="str">
        <f>IFERROR(VLOOKUP(C81:C223,'R22 RELATÓRIO ACC'!B:P,15,FALSE),"NOT PUBLISHED")</f>
        <v>NOT PUBLISHED</v>
      </c>
      <c r="K84" s="141" t="str">
        <f>IFERROR(VLOOKUP(B81:B271,'RELATÓRIO ACC'!B:F,5,FALSE),"NOT PUBLISHED")</f>
        <v>NOT PUBLISHED</v>
      </c>
      <c r="L84" s="142" t="str">
        <f>IFERROR(VLOOKUP(B81:B271,'RELATÓRIO ACC'!B:P,15,FALSE),"NOT PUBLISHED")</f>
        <v>NOT PUBLISHED</v>
      </c>
      <c r="M84" s="76" t="str">
        <f>IF(OR($D84="UTLS",$D84="GUAR",$D84="STIR",$D84="PUMP",$D84="SITE"),
   VLOOKUP($B84,'LOD 300 - SITE'!B:M,12,FALSE),
   VLOOKUP($B84,'LOD 300 - ADMN'!B:M,12,FALSE)
)</f>
        <v>NOT PUBLISHED</v>
      </c>
      <c r="N84" s="76" t="str">
        <f>IF(OR($D84="UTLS",$D84="GUAR",$D84="STIR",$D84="PUMP",$D84="SITE"),
   VLOOKUP($B84,'LOD 300 - SITE'!B:N,13,FALSE),
   VLOOKUP($B84,'LOD 300 - ADMN'!B:N,13,FALSE)
)</f>
        <v>NOT PUBLISHED</v>
      </c>
      <c r="O84" s="78" t="str">
        <f>IF(OR($D84="UTLS",$D84="GUAR",$D84="STIR",$D84="PUMP",$D84="SITE"),
   VLOOKUP($B84,'LOD 300 - SITE'!B:O,14,FALSE),
   VLOOKUP($B84,'LOD 300 - ADMN'!B:O,14,FALSE)
)</f>
        <v/>
      </c>
      <c r="P84" s="79" t="str">
        <f>IF(OR($D84="C345",$D84="C12A",$D84="DATA"),
   VLOOKUP($B84,'LOD 300 - COLO3'!B:M,12,FALSE),"N/A")</f>
        <v>N/A</v>
      </c>
      <c r="Q84" s="76" t="str">
        <f>IF(OR($D84="C345",$D84="C12A",$D84="DATA"),
   VLOOKUP($B84,'LOD 300 - COLO3'!B:N,13,FALSE),"N/A")</f>
        <v>N/A</v>
      </c>
      <c r="R84" s="76" t="str">
        <f>IF(OR($D84="C345",$D84="C12A",$D84="DATA"),
   VLOOKUP($B84,'LOD 300 - COLO3'!B:O,14,FALSE),"N/A")</f>
        <v>N/A</v>
      </c>
      <c r="S84" s="79" t="str">
        <f>IF(OR($D84="C345",$D84="C12A",$D84="DATA"),
   VLOOKUP($B84,'LOD 300 - COLO4'!B:M,12,FALSE),"N/A")</f>
        <v>N/A</v>
      </c>
      <c r="T84" s="76" t="str">
        <f>IF(OR($D84="C345",$D84="C12A",$D84="DATA"),
   VLOOKUP($B84,'LOD 300 - COLO4'!B:T,13,FALSE),"N/A")</f>
        <v>N/A</v>
      </c>
      <c r="U84" s="76" t="str">
        <f>IF(OR($D84="C345",$D84="C12A",$D84="DATA"),
   VLOOKUP($B84,'LOD 300 - COLO4'!B:U,17,FALSE),"N/A")</f>
        <v>N/A</v>
      </c>
      <c r="V84" s="126"/>
      <c r="W84" s="144" t="str">
        <f>IFERROR(VLOOKUP($B84,'LOD 300 - ADMN'!$B:S,18,FALSE),"N/A")</f>
        <v>N/A</v>
      </c>
      <c r="X84" s="122" t="str">
        <f>IFERROR(VLOOKUP($B84,'LOD 300 - ADMN'!$B:V,21,FALSE),"N/A")</f>
        <v>N/A</v>
      </c>
      <c r="Y84" s="122" t="str">
        <f>IFERROR(VLOOKUP($B84,'LOD 300 - ADMN'!$B:Y,24,FALSE),"N/A")</f>
        <v>N/A</v>
      </c>
      <c r="Z84" s="122" t="str">
        <f>IFERROR(VLOOKUP($B84,'LOD 300 - ADMN'!$B:AB,27,FALSE),"N/A")</f>
        <v>N/A</v>
      </c>
      <c r="AA84" s="122" t="str">
        <f>IFERROR(VLOOKUP($B84,'LOD 300 - ADMN'!$B:AE,30,FALSE),"N/A")</f>
        <v>N/A</v>
      </c>
      <c r="AB84" s="145" t="str">
        <f>IFERROR(VLOOKUP($B84,'LOD 300 - ADMN'!$B:AH,33,FALSE),"N/A")</f>
        <v>N/A</v>
      </c>
      <c r="AC84" s="145" t="str">
        <f>IFERROR(VLOOKUP($B84,'LOD 300 - ADMN'!$B:AK,36,FALSE),"N/A")</f>
        <v>N/A</v>
      </c>
      <c r="AD84" s="122" t="str">
        <f>IFERROR(VLOOKUP($B84,'LOD 300 - ADMN'!$B:AN,39,FALSE),"N/A")</f>
        <v>N/A</v>
      </c>
      <c r="AE84" s="122" t="str">
        <f>IFERROR(VLOOKUP($B84,'LOD 300 - ADMN'!$B:AQ,42,FALSE),"N/A")</f>
        <v>N/A</v>
      </c>
      <c r="AF84" s="122" t="str">
        <f>IFERROR(VLOOKUP($B84,'LOD 300 - ADMN'!$B:AT,45,FALSE),"N/A")</f>
        <v>N/A</v>
      </c>
      <c r="AG84" s="122" t="str">
        <f>IFERROR(VLOOKUP($B84,'LOD 300 - ADMN'!$B:AW,48,FALSE),"N/A")</f>
        <v>N/A</v>
      </c>
      <c r="AH84" s="122" t="str">
        <f>IFERROR(VLOOKUP($B84,'LOD 300 - ADMN'!$B:AZ,51,FALSE),"N/A")</f>
        <v>N/A</v>
      </c>
      <c r="AI84" s="122" t="str">
        <f>IFERROR(VLOOKUP($B84,'LOD 300 - ADMN'!$B:BC,54,FALSE),"N/A")</f>
        <v>N/A</v>
      </c>
      <c r="AJ84" s="87" t="str">
        <f>IFERROR(VLOOKUP($B84,'LOD 300 - ADMN'!$B:BF,57,FALSE),"N/A")</f>
        <v>N/A</v>
      </c>
      <c r="AK84" s="87" t="str">
        <f>IFERROR(VLOOKUP($B84,'LOD 300 - ADMN'!$B:EP,60,FALSE),"N/A")</f>
        <v>N/A</v>
      </c>
      <c r="AL84" s="87" t="str">
        <f>IFERROR(VLOOKUP($B84,'LOD 300 - ADMN'!$B:EQ,63,FALSE),"N/A")</f>
        <v>N/A</v>
      </c>
      <c r="AM84" s="87" t="str">
        <f>IFERROR(VLOOKUP($B84,'LOD 300 - ADMN'!$B:BO,66,FALSE),"N/A")</f>
        <v>N/A</v>
      </c>
      <c r="AN84" s="87" t="str">
        <f>IFERROR(VLOOKUP($B84,'LOD 300 - ADMN'!$B:BR,69,FALSE),"N/A")</f>
        <v>N/A</v>
      </c>
      <c r="AO84" s="87" t="str">
        <f>IFERROR(VLOOKUP($B84,'LOD 300 - ADMN'!$B:BU,72,FALSE),"N/A")</f>
        <v>N/A</v>
      </c>
      <c r="AP84" s="87" t="str">
        <f>IFERROR(VLOOKUP($B84,'LOD 300 - ADMN'!$B:BX,75,FALSE),"N/A")</f>
        <v>N/A</v>
      </c>
      <c r="AQ84" s="87" t="str">
        <f>IFERROR(VLOOKUP($B84,'LOD 300 - ADMN'!$B:CA,78,FALSE),"N/A")</f>
        <v>N/A</v>
      </c>
      <c r="AR84" s="87" t="str">
        <f>IFERROR(VLOOKUP($B84,'LOD 300 - ADMN'!$B:CD,81,FALSE),"N/A")</f>
        <v>N/A</v>
      </c>
      <c r="AS84" s="87" t="str">
        <f>IFERROR(VLOOKUP($B84,'LOD 300 - ADMN'!$B:CG,84,FALSE),"N/A")</f>
        <v>N/A</v>
      </c>
      <c r="AT84" s="87" t="str">
        <f>IFERROR(VLOOKUP($B84,'LOD 300 - ADMN'!$B:CJ,87,FALSE),"N/A")</f>
        <v>N/A</v>
      </c>
      <c r="AU84" s="88" t="str">
        <f>IFERROR(VLOOKUP($B84,'LOD 300 - ADMN'!$B:CM,90,FALSE),"N/A")</f>
        <v>N/A</v>
      </c>
      <c r="AV84" s="88" t="str">
        <f>IFERROR(VLOOKUP($B84,'LOD 300 - ADMN'!$B:CP,93,FALSE),"N/A")</f>
        <v>N/A</v>
      </c>
      <c r="AW84" s="88" t="str">
        <f>IFERROR(VLOOKUP($B84,'LOD 300 - ADMN'!$B:CS,96,FALSE),"N/A")</f>
        <v>N/A</v>
      </c>
      <c r="AX84" s="88" t="str">
        <f>IFERROR(VLOOKUP($B84,'LOD 300 - ADMN'!$B:CV,99,FALSE),"N/A")</f>
        <v>N/A</v>
      </c>
      <c r="AY84" s="88" t="str">
        <f>IFERROR(VLOOKUP($B84,'LOD 300 - ADMN'!$B:CY,102,FALSE),"N/A")</f>
        <v>N/A</v>
      </c>
      <c r="AZ84" s="88" t="str">
        <f>IFERROR(VLOOKUP($B84,'LOD 300 - ADMN'!$B:DB,105,FALSE),"N/A")</f>
        <v>N/A</v>
      </c>
      <c r="BA84" s="87" t="str">
        <f>IFERROR(VLOOKUP($B84,'LOD 300 - ADMN'!$B:DE,108,FALSE),"N/A")</f>
        <v>N/A</v>
      </c>
      <c r="BB84" s="87" t="str">
        <f>IFERROR(VLOOKUP($B84,'LOD 300 - ADMN'!$B:DH,111,FALSE),"N/A")</f>
        <v>N/A</v>
      </c>
      <c r="BC84" s="87" t="str">
        <f>IFERROR(VLOOKUP($B84,'LOD 300 - ADMN'!$B:DK,114,FALSE),"N/A")</f>
        <v>N/A</v>
      </c>
      <c r="BD84" s="87" t="str">
        <f>IFERROR(VLOOKUP($B84,'LOD 300 - ADMN'!$B:DN,117,FALSE),"N/A")</f>
        <v>N/A</v>
      </c>
      <c r="BE84" s="87" t="str">
        <f>IFERROR(VLOOKUP($B84,'LOD 300 - ADMN'!$B:DQ,120,FALSE),"N/A")</f>
        <v>N/A</v>
      </c>
      <c r="BF84" s="87" t="str">
        <f>IFERROR(VLOOKUP($B84,'LOD 300 - ADMN'!$B:DT,123,FALSE),"N/A")</f>
        <v>N/A</v>
      </c>
      <c r="BG84" s="87" t="str">
        <f>IFERROR(VLOOKUP($B84,'LOD 300 - ADMN'!$B:DW,126,FALSE),"N/A")</f>
        <v>N/A</v>
      </c>
      <c r="BH84" s="87" t="str">
        <f>IFERROR(VLOOKUP($B84,'LOD 300 - ADMN'!$B:DZ,129,FALSE),"N/A")</f>
        <v>N/A</v>
      </c>
      <c r="BI84" s="134"/>
      <c r="BJ84" s="90" t="str">
        <f>IFERROR(__xludf.DUMMYFUNCTION("IFERROR(
  MAX(FILTER(X84:BH84, ISNUMBER(X84:BH84))),
  BH84
)"),"N/A")</f>
        <v>N/A</v>
      </c>
      <c r="BK84" s="91" t="str">
        <f>IFERROR(VLOOKUP($B84,'LOD 300 - COLO1'!$B:S,18,FALSE),"N/A")</f>
        <v>N/A</v>
      </c>
      <c r="BL84" s="92" t="str">
        <f>IFERROR(VLOOKUP($B84,'LOD 300 - COLO1'!$B:V,21,FALSE),"N/A")</f>
        <v>N/A</v>
      </c>
      <c r="BM84" s="92" t="str">
        <f>IFERROR(VLOOKUP($B84,'LOD 300 - COLO1'!$B:Y,24,FALSE),"N/A")</f>
        <v>N/A</v>
      </c>
      <c r="BN84" s="92" t="str">
        <f>IFERROR(VLOOKUP($B84,'LOD 300 - COLO1'!$B:AB,27,FALSE),"N/A")</f>
        <v>N/A</v>
      </c>
      <c r="BO84" s="92" t="str">
        <f>IFERROR(VLOOKUP($B84,'LOD 300 - COLO1'!$B:AE,30,FALSE),"N/A")</f>
        <v>N/A</v>
      </c>
      <c r="BP84" s="92" t="str">
        <f>IFERROR(VLOOKUP($B84,'LOD 300 - COLO1'!$B:AH,33,FALSE),"N/A")</f>
        <v>N/A</v>
      </c>
      <c r="BQ84" s="92" t="str">
        <f>IFERROR(VLOOKUP($B84,'LOD 300 - COLO1'!$B:AK,36,FALSE),"N/A")</f>
        <v>N/A</v>
      </c>
      <c r="BR84" s="92" t="str">
        <f>IFERROR(VLOOKUP($B84,'LOD 300 - COLO1'!$B:AN,39,FALSE),"N/A")</f>
        <v>N/A</v>
      </c>
      <c r="BS84" s="92" t="str">
        <f>IFERROR(VLOOKUP($B84,'LOD 300 - COLO1'!$B:AQ,42,FALSE),"N/A")</f>
        <v>N/A</v>
      </c>
      <c r="BT84" s="92" t="str">
        <f>IFERROR(VLOOKUP($B84,'LOD 300 - COLO1'!$B:AT,45,FALSE),"N/A")</f>
        <v>N/A</v>
      </c>
      <c r="BU84" s="92" t="str">
        <f>IFERROR(VLOOKUP($B84,'LOD 300 - COLO1'!$B:AW,48,FALSE),"N/A")</f>
        <v>N/A</v>
      </c>
      <c r="BV84" s="92" t="str">
        <f>IFERROR(VLOOKUP($B84,'LOD 300 - COLO1'!$B:AZ,51,FALSE),"N/A")</f>
        <v>N/A</v>
      </c>
      <c r="BW84" s="92" t="str">
        <f>IFERROR(VLOOKUP($B84,'LOD 300 - COLO1'!$B:BC,54,FALSE),"N/A")</f>
        <v>N/A</v>
      </c>
      <c r="BX84" s="94" t="str">
        <f>IFERROR(VLOOKUP($B84,'LOD 300 - COLO1'!$B:BF,57,FALSE),"N/A")</f>
        <v>N/A</v>
      </c>
      <c r="BY84" s="94" t="str">
        <f>IFERROR(VLOOKUP($B84,'LOD 300 - COLO1'!$B:BI,60,FALSE),"N/A")</f>
        <v>N/A</v>
      </c>
      <c r="BZ84" s="95" t="str">
        <f>IFERROR(VLOOKUP($B84,'LOD 300 - COLO1'!$B:BL,63,FALSE),"N/A")</f>
        <v>N/A</v>
      </c>
      <c r="CA84" s="86" t="str">
        <f>IFERROR(VLOOKUP($B84,'LOD 300 - COLO1'!$B:BO,66,FALSE),"N/A")</f>
        <v>N/A</v>
      </c>
      <c r="CB84" s="86" t="str">
        <f>IFERROR(VLOOKUP($B84,'LOD 300 - COLO1'!$B:BR,69,FALSE),"N/A")</f>
        <v>N/A</v>
      </c>
      <c r="CC84" s="86" t="str">
        <f>IFERROR(VLOOKUP($B84,'LOD 300 - COLO1'!$B:BU,72,FALSE),"N/A")</f>
        <v>N/A</v>
      </c>
      <c r="CD84" s="86" t="str">
        <f>IFERROR(VLOOKUP($B84,'LOD 300 - COLO1'!$B:BX,75,FALSE),"N/A")</f>
        <v>N/A</v>
      </c>
      <c r="CE84" s="86" t="str">
        <f>IFERROR(VLOOKUP($B84,'LOD 300 - COLO1'!$B:CA,78,FALSE),"N/A")</f>
        <v>N/A</v>
      </c>
      <c r="CF84" s="87" t="str">
        <f>IFERROR(VLOOKUP($B84,'LOD 300 - COLO1'!$B:CD,81,FALSE),"N/A")</f>
        <v>N/A</v>
      </c>
      <c r="CG84" s="86" t="str">
        <f>IFERROR(VLOOKUP($B84,'LOD 300 - COLO1'!$B:CG,84,FALSE),"N/A")</f>
        <v>N/A</v>
      </c>
      <c r="CH84" s="87" t="str">
        <f>IFERROR(VLOOKUP($B84,'LOD 300 - COLO1'!$B:CJ,87,FALSE),"N/A")</f>
        <v>N/A</v>
      </c>
      <c r="CI84" s="88" t="str">
        <f>IFERROR(VLOOKUP($B84,'LOD 300 - COLO1'!$B:CM,90,FALSE),"N/A")</f>
        <v>N/A</v>
      </c>
      <c r="CJ84" s="88" t="str">
        <f>IFERROR(VLOOKUP($B84,'LOD 300 - COLO1'!$B:CP,93,FALSE),"N/A")</f>
        <v>N/A</v>
      </c>
      <c r="CK84" s="88" t="str">
        <f>IFERROR(VLOOKUP($B84,'LOD 300 - COLO1'!$B:CS,96,FALSE),"N/A")</f>
        <v>N/A</v>
      </c>
      <c r="CL84" s="88" t="str">
        <f>IFERROR(VLOOKUP($B84,'LOD 300 - COLO1'!$B:CV,99,FALSE),"N/A")</f>
        <v>N/A</v>
      </c>
      <c r="CM84" s="88" t="str">
        <f>IFERROR(VLOOKUP($B84,'LOD 300 - COLO1'!$B:CY,102,FALSE),"N/A")</f>
        <v>N/A</v>
      </c>
      <c r="CN84" s="89" t="str">
        <f>IFERROR(VLOOKUP($B84,'LOD 300 - COLO1'!$B:DB,105,FALSE),"N/A")</f>
        <v>N/A</v>
      </c>
      <c r="CO84" s="87" t="str">
        <f>IFERROR(VLOOKUP($B84,'LOD 300 - COLO1'!$B:EE,108,FALSE),"N/A")</f>
        <v>N/A</v>
      </c>
      <c r="CP84" s="87" t="str">
        <f>IFERROR(VLOOKUP($B84,'LOD 300 - COLO1'!$B:EH,111,FALSE),"N/A")</f>
        <v>N/A</v>
      </c>
      <c r="CQ84" s="87" t="str">
        <f>IFERROR(VLOOKUP($B84,'LOD 300 - COLO1'!$B:EK,114,FALSE),"N/A")</f>
        <v>N/A</v>
      </c>
      <c r="CR84" s="87" t="str">
        <f>IFERROR(VLOOKUP($B84,'LOD 300 - COLO1'!$B:EN,117,FALSE),"N/A")</f>
        <v>N/A</v>
      </c>
      <c r="CS84" s="87" t="str">
        <f>IFERROR(VLOOKUP($B84,'LOD 300 - COLO1'!$B:EQ,120,FALSE),"N/A")</f>
        <v>N/A</v>
      </c>
      <c r="CT84" s="87" t="str">
        <f>IFERROR(VLOOKUP($B84,'LOD 300 - COLO1'!$B:ET,123,FALSE),"N/A")</f>
        <v>N/A</v>
      </c>
      <c r="CU84" s="87" t="str">
        <f>IFERROR(VLOOKUP($B84,'LOD 300 - COLO1'!$B:EW,126,FALSE),"N/A")</f>
        <v>N/A</v>
      </c>
      <c r="CV84" s="87" t="str">
        <f>IFERROR(VLOOKUP($B84,'LOD 300 - COLO1'!$B:EZ,129,FALSE),"N/A")</f>
        <v>N/A</v>
      </c>
      <c r="CW84" s="135"/>
      <c r="CX84" s="96" t="str">
        <f>IFERROR(__xludf.DUMMYFUNCTION("IFERROR(
  MAX(FILTER(BK84:CV84, ISNUMBER(BK84:CV84))),
  CV84
)"),"N/A")</f>
        <v>N/A</v>
      </c>
      <c r="CY84" s="104" t="str">
        <f>IFERROR(VLOOKUP($B84,'LOD 300 - COLO2'!$B:S,18,FALSE),"N/A")</f>
        <v>N/A</v>
      </c>
      <c r="CZ84" s="117" t="str">
        <f>IFERROR(VLOOKUP($B84,'LOD 300 - COLO2'!$B:V,21,FALSE),"N/A")</f>
        <v>N/A</v>
      </c>
      <c r="DA84" s="117" t="str">
        <f>IFERROR(VLOOKUP($B84,'LOD 300 - COLO2'!$B:Y,24,FALSE),"N/A")</f>
        <v>N/A</v>
      </c>
      <c r="DB84" s="117" t="str">
        <f>IFERROR(VLOOKUP($B84,'LOD 300 - COLO2'!$B:AB,27,FALSE),"N/A")</f>
        <v>N/A</v>
      </c>
      <c r="DC84" s="92" t="str">
        <f>IFERROR(VLOOKUP($B84,'LOD 300 - COLO2'!$B:AE,30,FALSE),"N/A")</f>
        <v>N/A</v>
      </c>
      <c r="DD84" s="120" t="str">
        <f>IFERROR(VLOOKUP($B84,'LOD 300 - COLO2'!$B:AH,33,FALSE),"N/A")</f>
        <v>N/A</v>
      </c>
      <c r="DE84" s="117" t="str">
        <f>IFERROR(VLOOKUP($B84,'LOD 300 - COLO2'!$B:AK,36,FALSE),"N/A")</f>
        <v>N/A</v>
      </c>
      <c r="DF84" s="117" t="str">
        <f>IFERROR(VLOOKUP($B84,'LOD 300 - COLO2'!$B:AN,39,FALSE),"N/A")</f>
        <v>N/A</v>
      </c>
      <c r="DG84" s="119" t="str">
        <f>IFERROR(VLOOKUP($B84,'LOD 300 - COLO2'!$B:AQ,42,FALSE),"N/A")</f>
        <v>N/A</v>
      </c>
      <c r="DH84" s="87" t="str">
        <f>IFERROR(VLOOKUP($B84,'LOD 300 - COLO2'!$B:AT,45,FALSE),"N/A")</f>
        <v>N/A</v>
      </c>
      <c r="DI84" s="94" t="str">
        <f>IFERROR(VLOOKUP($B84,'LOD 300 - COLO2'!$B:AW,48,FALSE),"N/A")</f>
        <v>N/A</v>
      </c>
      <c r="DJ84" s="95" t="str">
        <f>IFERROR(VLOOKUP($B84,'LOD 300 - COLO2'!$B:AZ,51,FALSE),"N/A")</f>
        <v>N/A</v>
      </c>
      <c r="DK84" s="86" t="str">
        <f>IFERROR(VLOOKUP($B84,'LOD 300 - COLO2'!$B:BC,54,FALSE),"N/A")</f>
        <v>N/A</v>
      </c>
      <c r="DL84" s="86" t="str">
        <f>IFERROR(VLOOKUP($B84,'LOD 300 - COLO2'!$B:BF,57,FALSE),"N/A")</f>
        <v>N/A</v>
      </c>
      <c r="DM84" s="86" t="str">
        <f>IFERROR(VLOOKUP($B84,'LOD 300 - COLO2'!$B:BI,60,FALSE),"N/A")</f>
        <v>N/A</v>
      </c>
      <c r="DN84" s="86" t="str">
        <f>IFERROR(VLOOKUP($B84,'LOD 300 - COLO2'!$B:BL,63,FALSE),"N/A")</f>
        <v>N/A</v>
      </c>
      <c r="DO84" s="86" t="str">
        <f>IFERROR(VLOOKUP($B84,'LOD 300 - COLO2'!$B:BO,66,FALSE),"N/A")</f>
        <v>N/A</v>
      </c>
      <c r="DP84" s="87" t="str">
        <f>IFERROR(VLOOKUP($B84,'LOD 300 - COLO2'!$B:BR,69,FALSE),"N/A")</f>
        <v>N/A</v>
      </c>
      <c r="DQ84" s="87" t="str">
        <f>IFERROR(VLOOKUP($B84,'LOD 300 - COLO2'!$B:BU,72,FALSE),"N/A")</f>
        <v>N/A</v>
      </c>
      <c r="DR84" s="87" t="str">
        <f>IFERROR(VLOOKUP($B84,'LOD 300 - COLO2'!$B:BX,75,FALSE),"N/A")</f>
        <v>N/A</v>
      </c>
      <c r="DS84" s="98" t="str">
        <f>IFERROR(VLOOKUP($B84,'LOD 300 - COLO2'!$B:CA,78,FALSE),"N/A")</f>
        <v>N/A</v>
      </c>
      <c r="DT84" s="98" t="str">
        <f>IFERROR(VLOOKUP($B84,'LOD 300 - COLO2'!$B:CD,81,FALSE),"N/A")</f>
        <v>N/A</v>
      </c>
      <c r="DU84" s="98" t="str">
        <f>IFERROR(VLOOKUP($B84,'LOD 300 - COLO2'!$B:CG,84,FALSE),"N/A")</f>
        <v>N/A</v>
      </c>
      <c r="DV84" s="98" t="str">
        <f>IFERROR(VLOOKUP($B84,'LOD 300 - COLO2'!$B:CJ,87,FALSE),"N/A")</f>
        <v>N/A</v>
      </c>
      <c r="DW84" s="98" t="str">
        <f>IFERROR(VLOOKUP($B84,'LOD 300 - COLO2'!$B:CM,90,FALSE),"N/A")</f>
        <v>N/A</v>
      </c>
      <c r="DX84" s="98" t="str">
        <f>IFERROR(VLOOKUP($B84,'LOD 300 - COLO2'!$B:CP,93,FALSE),"N/A")</f>
        <v>N/A</v>
      </c>
      <c r="DY84" s="87" t="str">
        <f>IFERROR(VLOOKUP($B84,'LOD 300 - COLO2'!$B:CS,96,FALSE),"N/A")</f>
        <v>N/A</v>
      </c>
      <c r="DZ84" s="87" t="str">
        <f>IFERROR(VLOOKUP($B84,'LOD 300 - COLO2'!$B:CV,99,FALSE),"N/A")</f>
        <v>N/A</v>
      </c>
      <c r="EA84" s="87" t="str">
        <f>IFERROR(VLOOKUP($B84,'LOD 300 - COLO2'!$B:DB,105,FALSE),"N/A")</f>
        <v>N/A</v>
      </c>
      <c r="EB84" s="87" t="str">
        <f>IFERROR(VLOOKUP($B84,'LOD 300 - COLO2'!$B:DB,105,FALSE),"N/A")</f>
        <v>N/A</v>
      </c>
      <c r="EC84" s="87" t="str">
        <f>IFERROR(VLOOKUP($B84,'LOD 300 - COLO2'!$B:DE,108,FALSE),"N/A")</f>
        <v>N/A</v>
      </c>
      <c r="ED84" s="87" t="str">
        <f>IFERROR(VLOOKUP($B84,'LOD 300 - COLO2'!$B:DH,111,FALSE),"N/A")</f>
        <v>N/A</v>
      </c>
      <c r="EE84" s="87" t="str">
        <f>IFERROR(VLOOKUP($B84,'LOD 300 - COLO2'!$B:DK,114,FALSE),"N/A")</f>
        <v>N/A</v>
      </c>
      <c r="EF84" s="87" t="str">
        <f>IFERROR(VLOOKUP($B84,'LOD 300 - COLO2'!$B:DN,117,FALSE),"N/A")</f>
        <v>N/A</v>
      </c>
      <c r="EG84" s="135"/>
      <c r="EH84" s="99" t="str">
        <f>IFERROR(__xludf.DUMMYFUNCTION("IFERROR(
  MAX(FILTER(CZ84:EF84, ISNUMBER(CZ84:EF84))),
  EF84
)"),"N/A")</f>
        <v>N/A</v>
      </c>
      <c r="EI84" s="100" t="str">
        <f>IFERROR(VLOOKUP($B84,'LOD 300 - COLO3'!$B:R,17,FALSE),"N/A")</f>
        <v>N/A</v>
      </c>
      <c r="EJ84" s="127" t="str">
        <f>IFERROR(VLOOKUP($B84,'LOD 300 - COLO3'!$B:U,20,FALSE),"N/A")</f>
        <v>N/A</v>
      </c>
      <c r="EK84" s="127" t="str">
        <f>IFERROR(VLOOKUP($B84,'LOD 300 - COLO3'!$B:X,23,FALSE),"N/A")</f>
        <v>N/A</v>
      </c>
      <c r="EL84" s="127" t="str">
        <f>IFERROR(VLOOKUP($B84,'LOD 300 - COLO3'!$B:AA,26,FALSE),"N/A")</f>
        <v>N/A</v>
      </c>
      <c r="EM84" s="127" t="str">
        <f>IFERROR(VLOOKUP($B84,'LOD 300 - COLO3'!$B:AD,29,FALSE),"N/A")</f>
        <v>N/A</v>
      </c>
      <c r="EN84" s="127" t="str">
        <f>IFERROR(VLOOKUP($B84,'LOD 300 - COLO3'!$B:AG,32,FALSE),"N/A")</f>
        <v>N/A</v>
      </c>
      <c r="EO84" s="127" t="str">
        <f>IFERROR(VLOOKUP($B84,'LOD 300 - COLO3'!$B:AJ,35,FALSE),"N/A")</f>
        <v>N/A</v>
      </c>
      <c r="EP84" s="100" t="str">
        <f>IFERROR(VLOOKUP($B84,'LOD 300 - COLO3'!$B:AM,38,FALSE),"N/A")</f>
        <v>N/A</v>
      </c>
      <c r="EQ84" s="100" t="str">
        <f>IFERROR(VLOOKUP($B84,'LOD 300 - COLO3'!$B:AP,41,FALSE),"N/A")</f>
        <v>N/A</v>
      </c>
      <c r="ER84" s="100" t="str">
        <f>IFERROR(VLOOKUP($B84,'LOD 300 - COLO3'!$B:AS,44,FALSE),"N/A")</f>
        <v>N/A</v>
      </c>
      <c r="ES84" s="100" t="str">
        <f>IFERROR(VLOOKUP($B84,'LOD 300 - COLO3'!$B:AV,47,FALSE),"N/A")</f>
        <v>N/A</v>
      </c>
      <c r="ET84" s="100" t="str">
        <f>IFERROR(VLOOKUP($B84,'LOD 300 - COLO3'!$B:AY,50,FALSE),"N/A")</f>
        <v>N/A</v>
      </c>
      <c r="EU84" s="100" t="str">
        <f>IFERROR(VLOOKUP($B84,'LOD 300 - COLO3'!$B:BB,53,FALSE),"N/A")</f>
        <v>N/A</v>
      </c>
      <c r="EV84" s="100" t="str">
        <f>IFERROR(VLOOKUP($B84,'LOD 300 - COLO3'!$B:BE,56,FALSE),"N/A")</f>
        <v>N/A</v>
      </c>
      <c r="EW84" s="100" t="str">
        <f>IFERROR(VLOOKUP($B84,'LOD 300 - COLO3'!$B:BL,59,FALSE),"N/A")</f>
        <v>N/A</v>
      </c>
      <c r="EX84" s="136"/>
      <c r="EY84" s="103" t="str">
        <f>IFERROR(__xludf.DUMMYFUNCTION("IFERROR(
  MAX(FILTER(EI84:EW84, ISNUMBER(EI84:EW84))),
  EW84
)"),"N/A")</f>
        <v>N/A</v>
      </c>
      <c r="EZ84" s="104" t="str">
        <f>IFERROR(VLOOKUP($B84,'LOD 300 - COLO4'!$B:BT,17,FALSE),"N/A")</f>
        <v>N/A</v>
      </c>
      <c r="FA84" s="103" t="str">
        <f>IFERROR(__xludf.DUMMYFUNCTION("IFERROR(
  MAX(FILTER(EZ84, ISNUMBER(EZ84))),
  EZ84
)"),"N/A")</f>
        <v>N/A</v>
      </c>
      <c r="FB84" s="121" t="str">
        <f>IFERROR(VLOOKUP($B84,'LOD 300 - SITE'!$B:S,18,FALSE),"N/A")</f>
        <v>NOT PUBLISHED</v>
      </c>
      <c r="FC84" s="122" t="str">
        <f>IFERROR(VLOOKUP($B84,'LOD 300 - SITE'!$B:V,21,FALSE),"N/A")</f>
        <v>NOT PUBLISHED</v>
      </c>
      <c r="FD84" s="122" t="str">
        <f>IFERROR(VLOOKUP($B84,'LOD 300 - SITE'!$B:Y,24,FALSE),"N/A")</f>
        <v>NOT PUBLISHED</v>
      </c>
      <c r="FE84" s="122" t="str">
        <f>IFERROR(VLOOKUP($B84,'LOD 300 - SITE'!$B:AB,27,FALSE),"N/A")</f>
        <v>NOT PUBLISHED</v>
      </c>
      <c r="FF84" s="122" t="str">
        <f>IFERROR(VLOOKUP($B84,'LOD 300 - SITE'!$B:AE,30,FALSE),"N/A")</f>
        <v>NOT PUBLISHED</v>
      </c>
      <c r="FG84" s="122" t="str">
        <f>IFERROR(VLOOKUP($B84,'LOD 300 - SITE'!$B:AH,33,FALSE),"N/A")</f>
        <v>NOT PUBLISHED</v>
      </c>
      <c r="FH84" s="122" t="str">
        <f>IFERROR(VLOOKUP($B84,'LOD 300 - SITE'!$B:AK,36,FALSE),"N/A")</f>
        <v>NOT PUBLISHED</v>
      </c>
      <c r="FI84" s="122" t="str">
        <f>IFERROR(VLOOKUP($B84,'LOD 300 - SITE'!$B:AN,39,FALSE),"N/A")</f>
        <v>NOT PUBLISHED</v>
      </c>
      <c r="FJ84" s="122" t="str">
        <f>IFERROR(VLOOKUP($B84,'LOD 300 - SITE'!$B:AQ,42,FALSE),"N/A")</f>
        <v>NOT PUBLISHED</v>
      </c>
      <c r="FK84" s="122" t="str">
        <f>IFERROR(VLOOKUP($B84,'LOD 300 - SITE'!$B:AT,45,FALSE),"N/A")</f>
        <v>NOT PUBLISHED</v>
      </c>
      <c r="FL84" s="123" t="str">
        <f>IFERROR(VLOOKUP($B84,'LOD 300 - SITE'!$B:AW,48,FALSE),"N/A")</f>
        <v>NOT PUBLISHED</v>
      </c>
      <c r="FM84" s="87" t="str">
        <f>IFERROR(VLOOKUP($B84,'LOD 300 - SITE'!$B:AZ,51,FALSE),"N/A")</f>
        <v>NOT PUBLISHED</v>
      </c>
      <c r="FN84" s="94" t="str">
        <f>IFERROR(VLOOKUP($B84,'LOD 300 - SITE'!$B:BC,54,FALSE),"N/A")</f>
        <v>NOT PUBLISHED</v>
      </c>
      <c r="FO84" s="95" t="str">
        <f>IFERROR(VLOOKUP($B84,'LOD 300 - SITE'!$B:BF,57,FALSE),"N/A")</f>
        <v>NOT PUBLISHED</v>
      </c>
      <c r="FP84" s="86" t="str">
        <f>IFERROR(VLOOKUP($B84,'LOD 300 - SITE'!$B:BI,60,FALSE),"N/A")</f>
        <v>NOT PUBLISHED</v>
      </c>
      <c r="FQ84" s="86" t="str">
        <f>IFERROR(VLOOKUP($B84,'LOD 300 - SITE'!$B:BL,63,FALSE),"N/A")</f>
        <v>NOT PUBLISHED</v>
      </c>
      <c r="FR84" s="86" t="str">
        <f>IFERROR(VLOOKUP($B84,'LOD 300 - SITE'!$B:BO,66,FALSE),"N/A")</f>
        <v>NOT PUBLISHED</v>
      </c>
      <c r="FS84" s="86" t="str">
        <f>IFERROR(VLOOKUP($B84,'LOD 300 - SITE'!$B:BR,69,FALSE),"N/A")</f>
        <v>NOT PUBLISHED</v>
      </c>
      <c r="FT84" s="86" t="str">
        <f>IFERROR(VLOOKUP($B84,'LOD 300 - SITE'!$B:BU,72,FALSE),"N/A")</f>
        <v>NOT PUBLISHED</v>
      </c>
      <c r="FU84" s="86" t="str">
        <f>IFERROR(VLOOKUP($B84,'LOD 300 - SITE'!$B:BX,75,FALSE),"N/A")</f>
        <v>NOT PUBLISHED</v>
      </c>
      <c r="FV84" s="86" t="str">
        <f>IFERROR(VLOOKUP($B84,'LOD 300 - SITE'!$B:CA,78,FALSE),"N/A")</f>
        <v>NOT PUBLISHED</v>
      </c>
      <c r="FW84" s="87" t="str">
        <f>IFERROR(VLOOKUP($B84,'LOD 300 - SITE'!$B:CD,81,FALSE),"N/A")</f>
        <v>NOT PUBLISHED</v>
      </c>
      <c r="FX84" s="108" t="str">
        <f>IFERROR(VLOOKUP($B84,'LOD 300 - SITE'!$B:CG,84,FALSE),"N/A")</f>
        <v>NOT PUBLISHED</v>
      </c>
      <c r="FY84" s="108" t="str">
        <f>IFERROR(VLOOKUP($B84,'LOD 300 - SITE'!$B:CJ,87,FALSE),"N/A")</f>
        <v>NOT PUBLISHED</v>
      </c>
      <c r="FZ84" s="108" t="str">
        <f>IFERROR(VLOOKUP($B84,'LOD 300 - SITE'!$B:CM,90,FALSE),"N/A")</f>
        <v>NOT PUBLISHED</v>
      </c>
      <c r="GA84" s="108" t="str">
        <f>IFERROR(VLOOKUP($B84,'LOD 300 - SITE'!$B:CP,93,FALSE),"N/A")</f>
        <v>NOT PUBLISHED</v>
      </c>
      <c r="GB84" s="108" t="str">
        <f>IFERROR(VLOOKUP($B84,'LOD 300 - SITE'!$B:CS,96,FALSE),"N/A")</f>
        <v>NOT PUBLISHED</v>
      </c>
      <c r="GC84" s="109" t="str">
        <f>IFERROR(VLOOKUP($B84,'LOD 300 - SITE'!$B:CV,99,FALSE),"N/A")</f>
        <v>NOT PUBLISHED</v>
      </c>
      <c r="GD84" s="87" t="str">
        <f>IFERROR(VLOOKUP($B84,'LOD 300 - SITE'!$B:CY,102,FALSE),"N/A")</f>
        <v>NOT PUBLISHED</v>
      </c>
      <c r="GE84" s="87" t="str">
        <f>IFERROR(VLOOKUP($B84,'LOD 300 - SITE'!$B:DB,105,FALSE),"N/A")</f>
        <v>NOT PUBLISHED</v>
      </c>
      <c r="GF84" s="87" t="str">
        <f>IFERROR(VLOOKUP($B84,'LOD 300 - SITE'!$B:DE,108,FALSE),"N/A")</f>
        <v>NOT PUBLISHED</v>
      </c>
      <c r="GG84" s="87" t="str">
        <f>IFERROR(VLOOKUP($B84,'LOD 300 - SITE'!$B:DH,111,FALSE),"N/A")</f>
        <v>NOT PUBLISHED</v>
      </c>
      <c r="GH84" s="87" t="str">
        <f>IFERROR(VLOOKUP($B84,'LOD 300 - SITE'!$B:DK,114,FALSE),"N/A")</f>
        <v>NOT PUBLISHED</v>
      </c>
      <c r="GI84" s="87" t="str">
        <f>IFERROR(VLOOKUP($B84,'LOD 300 - SITE'!$B:DN,117,FALSE),"N/A")</f>
        <v>NOT PUBLISHED</v>
      </c>
      <c r="GJ84" s="87" t="str">
        <f>IFERROR(VLOOKUP($B84,'LOD 300 - SITE'!$B:DQ,120,FALSE),"N/A")</f>
        <v>NOT PUBLISHED</v>
      </c>
      <c r="GK84" s="87" t="str">
        <f>IFERROR(VLOOKUP($B84,'LOD 300 - SITE'!$B:DT,123,FALSE),"N/A")</f>
        <v>NOT PUBLISHED</v>
      </c>
      <c r="GL84" s="135"/>
      <c r="GM84" s="110" t="str">
        <f>IFERROR(__xludf.DUMMYFUNCTION("IFERROR(
  MAX(FILTER(FB84:GK84, ISNUMBER(FB84:GK84))),
  GK84
)"),"NOT PUBLISHED")</f>
        <v>NOT PUBLISHED</v>
      </c>
      <c r="GN84" s="68"/>
      <c r="GO84" s="68"/>
      <c r="GP84" s="68"/>
    </row>
    <row r="85" ht="15.0" hidden="1" customHeight="1">
      <c r="A85" s="60">
        <v>88.0</v>
      </c>
      <c r="B85" s="462" t="s">
        <v>270</v>
      </c>
      <c r="C85" s="463"/>
      <c r="D85" s="464"/>
      <c r="E85" s="464"/>
      <c r="F85" s="13"/>
      <c r="G85" s="464"/>
      <c r="H85" s="465"/>
      <c r="I85" s="466"/>
      <c r="J85" s="466"/>
      <c r="K85" s="464"/>
      <c r="L85" s="464"/>
      <c r="M85" s="467"/>
      <c r="N85" s="467"/>
      <c r="O85" s="467"/>
      <c r="P85" s="468"/>
      <c r="Q85" s="467"/>
      <c r="R85" s="467"/>
      <c r="S85" s="79" t="str">
        <f>IF(OR($D85="C345",$D85="C12A",$D85="DATA"),
   VLOOKUP($B85,'LOD 300 - COLO4'!B:S,14,FALSE),"N/A")</f>
        <v>N/A</v>
      </c>
      <c r="T85" s="76" t="str">
        <f>IF(OR($D85="C345",$D85="C12A",$D85="DATA"),
   VLOOKUP($B85,'LOD 300 - COLO3'!B:T,13,FALSE),"N/A")</f>
        <v>N/A</v>
      </c>
      <c r="U85" s="467"/>
      <c r="V85" s="464"/>
      <c r="W85" s="469"/>
      <c r="X85" s="470"/>
      <c r="Y85" s="470"/>
      <c r="Z85" s="470"/>
      <c r="AA85" s="470"/>
      <c r="AB85" s="470"/>
      <c r="AC85" s="470"/>
      <c r="AD85" s="470"/>
      <c r="AE85" s="470"/>
      <c r="AF85" s="470"/>
      <c r="AG85" s="470"/>
      <c r="AH85" s="470"/>
      <c r="AI85" s="470"/>
      <c r="AJ85" s="471"/>
      <c r="AK85" s="471"/>
      <c r="AL85" s="472"/>
      <c r="AM85" s="471"/>
      <c r="AN85" s="471"/>
      <c r="AO85" s="471"/>
      <c r="AP85" s="471"/>
      <c r="AQ85" s="471"/>
      <c r="AR85" s="471"/>
      <c r="AS85" s="471"/>
      <c r="AT85" s="471"/>
      <c r="AU85" s="471"/>
      <c r="AV85" s="472"/>
      <c r="AW85" s="472"/>
      <c r="AX85" s="472"/>
      <c r="AY85" s="472"/>
      <c r="AZ85" s="472"/>
      <c r="BA85" s="471"/>
      <c r="BB85" s="472"/>
      <c r="BC85" s="473"/>
      <c r="BD85" s="473"/>
      <c r="BE85" s="473"/>
      <c r="BF85" s="473"/>
      <c r="BG85" s="473"/>
      <c r="BH85" s="473"/>
      <c r="BI85" s="473"/>
      <c r="BJ85" s="474"/>
      <c r="BK85" s="475"/>
      <c r="BL85" s="475"/>
      <c r="BM85" s="475"/>
      <c r="BN85" s="476"/>
      <c r="BO85" s="476"/>
      <c r="BP85" s="476"/>
      <c r="BQ85" s="476"/>
      <c r="BR85" s="476"/>
      <c r="BS85" s="476"/>
      <c r="BT85" s="476"/>
      <c r="BU85" s="476"/>
      <c r="BV85" s="476"/>
      <c r="BW85" s="476"/>
      <c r="BX85" s="477"/>
      <c r="BY85" s="477"/>
      <c r="BZ85" s="478"/>
      <c r="CA85" s="479"/>
      <c r="CB85" s="479"/>
      <c r="CC85" s="479"/>
      <c r="CD85" s="479"/>
      <c r="CE85" s="479"/>
      <c r="CF85" s="471"/>
      <c r="CG85" s="478"/>
      <c r="CH85" s="471"/>
      <c r="CI85" s="471"/>
      <c r="CJ85" s="478"/>
      <c r="CK85" s="478"/>
      <c r="CL85" s="478"/>
      <c r="CM85" s="478"/>
      <c r="CN85" s="478"/>
      <c r="CO85" s="471"/>
      <c r="CP85" s="480"/>
      <c r="CQ85" s="478"/>
      <c r="CR85" s="478"/>
      <c r="CS85" s="478"/>
      <c r="CT85" s="478"/>
      <c r="CU85" s="478"/>
      <c r="CV85" s="478"/>
      <c r="CW85" s="478"/>
      <c r="CX85" s="474"/>
      <c r="CY85" s="481"/>
      <c r="CZ85" s="482"/>
      <c r="DA85" s="482"/>
      <c r="DB85" s="482"/>
      <c r="DC85" s="483"/>
      <c r="DD85" s="484"/>
      <c r="DE85" s="481"/>
      <c r="DF85" s="481"/>
      <c r="DG85" s="485"/>
      <c r="DH85" s="471"/>
      <c r="DI85" s="477"/>
      <c r="DJ85" s="478"/>
      <c r="DK85" s="479"/>
      <c r="DL85" s="479"/>
      <c r="DM85" s="479"/>
      <c r="DN85" s="479"/>
      <c r="DO85" s="479"/>
      <c r="DP85" s="471"/>
      <c r="DQ85" s="471"/>
      <c r="DR85" s="471"/>
      <c r="DS85" s="486"/>
      <c r="DT85" s="487"/>
      <c r="DU85" s="487"/>
      <c r="DV85" s="487"/>
      <c r="DW85" s="487"/>
      <c r="DX85" s="487"/>
      <c r="DY85" s="471"/>
      <c r="DZ85" s="472"/>
      <c r="EA85" s="473"/>
      <c r="EB85" s="473"/>
      <c r="EC85" s="473"/>
      <c r="ED85" s="473"/>
      <c r="EE85" s="473"/>
      <c r="EF85" s="473"/>
      <c r="EG85" s="473"/>
      <c r="EH85" s="473"/>
      <c r="EI85" s="471"/>
      <c r="EJ85" s="471"/>
      <c r="EK85" s="471"/>
      <c r="EL85" s="471"/>
      <c r="EM85" s="471"/>
      <c r="EN85" s="471"/>
      <c r="EO85" s="471"/>
      <c r="EP85" s="471"/>
      <c r="EQ85" s="471"/>
      <c r="ER85" s="479"/>
      <c r="ES85" s="479"/>
      <c r="ET85" s="479"/>
      <c r="EU85" s="479"/>
      <c r="EV85" s="479"/>
      <c r="EW85" s="479"/>
      <c r="EX85" s="479"/>
      <c r="EY85" s="479"/>
      <c r="EZ85" s="488"/>
      <c r="FA85" s="488"/>
      <c r="FB85" s="470"/>
      <c r="FC85" s="470"/>
      <c r="FD85" s="470"/>
      <c r="FE85" s="470"/>
      <c r="FF85" s="470"/>
      <c r="FG85" s="470"/>
      <c r="FH85" s="470"/>
      <c r="FI85" s="470"/>
      <c r="FJ85" s="470"/>
      <c r="FK85" s="470"/>
      <c r="FL85" s="489"/>
      <c r="FM85" s="471"/>
      <c r="FN85" s="477"/>
      <c r="FO85" s="478"/>
      <c r="FP85" s="479"/>
      <c r="FQ85" s="479"/>
      <c r="FR85" s="479"/>
      <c r="FS85" s="479"/>
      <c r="FT85" s="479"/>
      <c r="FU85" s="479"/>
      <c r="FV85" s="479"/>
      <c r="FW85" s="471"/>
      <c r="FX85" s="477"/>
      <c r="FY85" s="478"/>
      <c r="FZ85" s="478"/>
      <c r="GA85" s="478"/>
      <c r="GB85" s="478"/>
      <c r="GC85" s="479"/>
      <c r="GD85" s="471"/>
      <c r="GE85" s="480"/>
      <c r="GF85" s="478"/>
      <c r="GG85" s="478"/>
      <c r="GH85" s="478"/>
      <c r="GI85" s="478"/>
      <c r="GJ85" s="478"/>
      <c r="GK85" s="478"/>
      <c r="GL85" s="478"/>
      <c r="GM85" s="490"/>
      <c r="GN85" s="215"/>
      <c r="GO85" s="215"/>
      <c r="GP85" s="215"/>
    </row>
    <row r="86" ht="15.0" customHeight="1" outlineLevel="1">
      <c r="A86" s="60">
        <v>89.0</v>
      </c>
      <c r="B86" s="140" t="s">
        <v>271</v>
      </c>
      <c r="C86" s="70" t="s">
        <v>272</v>
      </c>
      <c r="D86" s="71" t="s">
        <v>90</v>
      </c>
      <c r="E86" s="146" t="s">
        <v>273</v>
      </c>
      <c r="F86" s="13">
        <v>1119.0</v>
      </c>
      <c r="G86" s="147" t="s">
        <v>133</v>
      </c>
      <c r="H86" s="150">
        <v>0.0</v>
      </c>
      <c r="I86" s="74" t="str">
        <f>IFERROR(VLOOKUP(C83:C225,'R22 RELATÓRIO ACC'!B:F,5,FALSE),"NOT PUBLISHED")</f>
        <v>V20</v>
      </c>
      <c r="J86" s="74" t="str">
        <f>IFERROR(VLOOKUP(C83:C225,'R22 RELATÓRIO ACC'!B:P,15,FALSE),"NOT PUBLISHED")</f>
        <v>06/05/2026</v>
      </c>
      <c r="K86" s="141" t="str">
        <f>IFERROR(VLOOKUP(B83:B273,'RELATÓRIO ACC'!B:F,5,FALSE),"NOT PUBLISHED")</f>
        <v>V4</v>
      </c>
      <c r="L86" s="142" t="str">
        <f>IFERROR(VLOOKUP(B83:B273,'RELATÓRIO ACC'!B:P,15,FALSE),"NOT PUBLISHED")</f>
        <v>11/06/2026</v>
      </c>
      <c r="M86" s="76" t="str">
        <f>IF(OR($D86="UTLS",$D86="GUAR",$D86="STIR",$D86="PUMP",$D86="SITE"),
   VLOOKUP($B86,'LOD 300 - SITE'!B:M,12,FALSE),
   VLOOKUP($B86,'LOD 300 - ADMN'!B:M,12,FALSE)
)</f>
        <v>V3</v>
      </c>
      <c r="N86" s="77" t="str">
        <f>IF(OR($D86="UTLS",$D86="GUAR",$D86="STIR",$D86="PUMP",$D86="SITE"),
   VLOOKUP($B86,'LOD 300 - SITE'!B:N,13,FALSE),
   VLOOKUP($B86,'LOD 300 - ADMN'!B:N,13,FALSE)
)</f>
        <v>05/10/2025</v>
      </c>
      <c r="O86" s="114" t="str">
        <f>IF(OR($D86="UTLS",$D86="GUAR",$D86="STIR",$D86="PUMP",$D86="SITE"),
   VLOOKUP($B86,'LOD 300 - SITE'!B:O,14,FALSE),
   VLOOKUP($B86,'LOD 300 - ADMN'!B:O,14,FALSE)
)</f>
        <v>R22</v>
      </c>
      <c r="P86" s="79" t="str">
        <f>IF(OR($D86="C345",$D86="C12A",$D86="DATA"),
   VLOOKUP($B86,'LOD 300 - COLO3'!B:M,12,FALSE),"N/A")</f>
        <v>N/A</v>
      </c>
      <c r="Q86" s="76" t="str">
        <f>IF(OR($D86="C345",$D86="C12A",$D86="DATA"),
   VLOOKUP($B86,'LOD 300 - COLO3'!B:N,13,FALSE),"N/A")</f>
        <v>N/A</v>
      </c>
      <c r="R86" s="76" t="str">
        <f>IF(OR($D86="C345",$D86="C12A",$D86="DATA"),
   VLOOKUP($B86,'LOD 300 - COLO3'!B:O,14,FALSE),"N/A")</f>
        <v>N/A</v>
      </c>
      <c r="S86" s="79" t="str">
        <f>IF(OR($D86="C345",$D86="C12A",$D86="DATA"),
   VLOOKUP($B86,'LOD 300 - COLO4'!B:M,12,FALSE),"N/A")</f>
        <v>N/A</v>
      </c>
      <c r="T86" s="76" t="str">
        <f>IF(OR($D86="C345",$D86="C12A",$D86="DATA"),
   VLOOKUP($B86,'LOD 300 - COLO4'!B:T,13,FALSE),"N/A")</f>
        <v>N/A</v>
      </c>
      <c r="U86" s="76" t="str">
        <f>IF(OR($D86="C345",$D86="C12A",$D86="DATA"),
   VLOOKUP($B86,'LOD 300 - COLO4'!B:U,17,FALSE),"N/A")</f>
        <v>N/A</v>
      </c>
      <c r="V86" s="126"/>
      <c r="W86" s="144" t="str">
        <f>IFERROR(VLOOKUP($B86,'LOD 300 - ADMN'!$B:S,18,FALSE),"N/A")</f>
        <v>N/A</v>
      </c>
      <c r="X86" s="122" t="str">
        <f>IFERROR(VLOOKUP($B86,'LOD 300 - ADMN'!$B:V,21,FALSE),"N/A")</f>
        <v>N/A</v>
      </c>
      <c r="Y86" s="122" t="str">
        <f>IFERROR(VLOOKUP($B86,'LOD 300 - ADMN'!$B:Y,24,FALSE),"N/A")</f>
        <v>N/A</v>
      </c>
      <c r="Z86" s="122" t="str">
        <f>IFERROR(VLOOKUP($B86,'LOD 300 - ADMN'!$B:AB,27,FALSE),"N/A")</f>
        <v>N/A</v>
      </c>
      <c r="AA86" s="122" t="str">
        <f>IFERROR(VLOOKUP($B86,'LOD 300 - ADMN'!$B:AE,30,FALSE),"N/A")</f>
        <v>N/A</v>
      </c>
      <c r="AB86" s="145" t="str">
        <f>IFERROR(VLOOKUP($B86,'LOD 300 - ADMN'!$B:AH,33,FALSE),"N/A")</f>
        <v>N/A</v>
      </c>
      <c r="AC86" s="145" t="str">
        <f>IFERROR(VLOOKUP($B86,'LOD 300 - ADMN'!$B:AK,36,FALSE),"N/A")</f>
        <v>N/A</v>
      </c>
      <c r="AD86" s="122" t="str">
        <f>IFERROR(VLOOKUP($B86,'LOD 300 - ADMN'!$B:AN,39,FALSE),"N/A")</f>
        <v>N/A</v>
      </c>
      <c r="AE86" s="122" t="str">
        <f>IFERROR(VLOOKUP($B86,'LOD 300 - ADMN'!$B:AQ,42,FALSE),"N/A")</f>
        <v>N/A</v>
      </c>
      <c r="AF86" s="122" t="str">
        <f>IFERROR(VLOOKUP($B86,'LOD 300 - ADMN'!$B:AT,45,FALSE),"N/A")</f>
        <v>N/A</v>
      </c>
      <c r="AG86" s="122" t="str">
        <f>IFERROR(VLOOKUP($B86,'LOD 300 - ADMN'!$B:AW,48,FALSE),"N/A")</f>
        <v>N/A</v>
      </c>
      <c r="AH86" s="122" t="str">
        <f>IFERROR(VLOOKUP($B86,'LOD 300 - ADMN'!$B:AZ,51,FALSE),"N/A")</f>
        <v>N/A</v>
      </c>
      <c r="AI86" s="122" t="str">
        <f>IFERROR(VLOOKUP($B86,'LOD 300 - ADMN'!$B:BC,54,FALSE),"N/A")</f>
        <v>N/A</v>
      </c>
      <c r="AJ86" s="87" t="str">
        <f>IFERROR(VLOOKUP($B86,'LOD 300 - ADMN'!$B:BF,57,FALSE),"N/A")</f>
        <v>N/A</v>
      </c>
      <c r="AK86" s="87" t="str">
        <f>IFERROR(VLOOKUP($B86,'LOD 300 - ADMN'!$B:EP,60,FALSE),"N/A")</f>
        <v>N/A</v>
      </c>
      <c r="AL86" s="87" t="str">
        <f>IFERROR(VLOOKUP($B86,'LOD 300 - ADMN'!$B:EQ,63,FALSE),"N/A")</f>
        <v>N/A</v>
      </c>
      <c r="AM86" s="87" t="str">
        <f>IFERROR(VLOOKUP($B86,'LOD 300 - ADMN'!$B:BO,66,FALSE),"N/A")</f>
        <v>N/A</v>
      </c>
      <c r="AN86" s="87" t="str">
        <f>IFERROR(VLOOKUP($B86,'LOD 300 - ADMN'!$B:BR,69,FALSE),"N/A")</f>
        <v>N/A</v>
      </c>
      <c r="AO86" s="87" t="str">
        <f>IFERROR(VLOOKUP($B86,'LOD 300 - ADMN'!$B:BU,72,FALSE),"N/A")</f>
        <v>N/A</v>
      </c>
      <c r="AP86" s="87" t="str">
        <f>IFERROR(VLOOKUP($B86,'LOD 300 - ADMN'!$B:BX,75,FALSE),"N/A")</f>
        <v>N/A</v>
      </c>
      <c r="AQ86" s="87" t="str">
        <f>IFERROR(VLOOKUP($B86,'LOD 300 - ADMN'!$B:CA,78,FALSE),"N/A")</f>
        <v>N/A</v>
      </c>
      <c r="AR86" s="87" t="str">
        <f>IFERROR(VLOOKUP($B86,'LOD 300 - ADMN'!$B:CD,81,FALSE),"N/A")</f>
        <v>N/A</v>
      </c>
      <c r="AS86" s="87" t="str">
        <f>IFERROR(VLOOKUP($B86,'LOD 300 - ADMN'!$B:CG,84,FALSE),"N/A")</f>
        <v>N/A</v>
      </c>
      <c r="AT86" s="87" t="str">
        <f>IFERROR(VLOOKUP($B86,'LOD 300 - ADMN'!$B:CJ,87,FALSE),"N/A")</f>
        <v>N/A</v>
      </c>
      <c r="AU86" s="88" t="str">
        <f>IFERROR(VLOOKUP($B86,'LOD 300 - ADMN'!$B:CM,90,FALSE),"N/A")</f>
        <v>N/A</v>
      </c>
      <c r="AV86" s="88" t="str">
        <f>IFERROR(VLOOKUP($B86,'LOD 300 - ADMN'!$B:CP,93,FALSE),"N/A")</f>
        <v>N/A</v>
      </c>
      <c r="AW86" s="88" t="str">
        <f>IFERROR(VLOOKUP($B86,'LOD 300 - ADMN'!$B:CS,96,FALSE),"N/A")</f>
        <v>N/A</v>
      </c>
      <c r="AX86" s="88" t="str">
        <f>IFERROR(VLOOKUP($B86,'LOD 300 - ADMN'!$B:CV,99,FALSE),"N/A")</f>
        <v>N/A</v>
      </c>
      <c r="AY86" s="88" t="str">
        <f>IFERROR(VLOOKUP($B86,'LOD 300 - ADMN'!$B:CY,102,FALSE),"N/A")</f>
        <v>N/A</v>
      </c>
      <c r="AZ86" s="88" t="str">
        <f>IFERROR(VLOOKUP($B86,'LOD 300 - ADMN'!$B:DB,105,FALSE),"N/A")</f>
        <v>N/A</v>
      </c>
      <c r="BA86" s="87" t="str">
        <f>IFERROR(VLOOKUP($B86,'LOD 300 - ADMN'!$B:DE,108,FALSE),"N/A")</f>
        <v>N/A</v>
      </c>
      <c r="BB86" s="87" t="str">
        <f>IFERROR(VLOOKUP($B86,'LOD 300 - ADMN'!$B:DH,111,FALSE),"N/A")</f>
        <v>N/A</v>
      </c>
      <c r="BC86" s="87" t="str">
        <f>IFERROR(VLOOKUP($B86,'LOD 300 - ADMN'!$B:DK,114,FALSE),"N/A")</f>
        <v>N/A</v>
      </c>
      <c r="BD86" s="87" t="str">
        <f>IFERROR(VLOOKUP($B86,'LOD 300 - ADMN'!$B:DN,117,FALSE),"N/A")</f>
        <v>N/A</v>
      </c>
      <c r="BE86" s="87" t="str">
        <f>IFERROR(VLOOKUP($B86,'LOD 300 - ADMN'!$B:DQ,120,FALSE),"N/A")</f>
        <v>N/A</v>
      </c>
      <c r="BF86" s="87" t="str">
        <f>IFERROR(VLOOKUP($B86,'LOD 300 - ADMN'!$B:DT,123,FALSE),"N/A")</f>
        <v>N/A</v>
      </c>
      <c r="BG86" s="87" t="str">
        <f>IFERROR(VLOOKUP($B86,'LOD 300 - ADMN'!$B:DW,126,FALSE),"N/A")</f>
        <v>N/A</v>
      </c>
      <c r="BH86" s="87" t="str">
        <f>IFERROR(VLOOKUP($B86,'LOD 300 - ADMN'!$B:DZ,129,FALSE),"N/A")</f>
        <v>N/A</v>
      </c>
      <c r="BI86" s="87" t="str">
        <f>IFERROR(VLOOKUP($B86,'LOD 300 - ADMN'!$B:EC,132,FALSE),"N/A")</f>
        <v>N/A</v>
      </c>
      <c r="BJ86" s="90" t="str">
        <f>IFERROR(__xludf.DUMMYFUNCTION("IFERROR(
  MAX(FILTER(X86:BI86, ISNUMBER(X86:BI86))),
  BI86
)"),"N/A")</f>
        <v>N/A</v>
      </c>
      <c r="BK86" s="91" t="str">
        <f>IFERROR(VLOOKUP($B86,'LOD 300 - COLO1'!$B:S,18,FALSE),"N/A")</f>
        <v>N/A</v>
      </c>
      <c r="BL86" s="92" t="str">
        <f>IFERROR(VLOOKUP($B86,'LOD 300 - COLO1'!$B:V,21,FALSE),"N/A")</f>
        <v>N/A</v>
      </c>
      <c r="BM86" s="92" t="str">
        <f>IFERROR(VLOOKUP($B86,'LOD 300 - COLO1'!$B:Y,24,FALSE),"N/A")</f>
        <v>N/A</v>
      </c>
      <c r="BN86" s="92" t="str">
        <f>IFERROR(VLOOKUP($B86,'LOD 300 - COLO1'!$B:AB,27,FALSE),"N/A")</f>
        <v>N/A</v>
      </c>
      <c r="BO86" s="92" t="str">
        <f>IFERROR(VLOOKUP($B86,'LOD 300 - COLO1'!$B:AE,30,FALSE),"N/A")</f>
        <v>N/A</v>
      </c>
      <c r="BP86" s="92" t="str">
        <f>IFERROR(VLOOKUP($B86,'LOD 300 - COLO1'!$B:AH,33,FALSE),"N/A")</f>
        <v>N/A</v>
      </c>
      <c r="BQ86" s="92" t="str">
        <f>IFERROR(VLOOKUP($B86,'LOD 300 - COLO1'!$B:AK,36,FALSE),"N/A")</f>
        <v>N/A</v>
      </c>
      <c r="BR86" s="92" t="str">
        <f>IFERROR(VLOOKUP($B86,'LOD 300 - COLO1'!$B:AN,39,FALSE),"N/A")</f>
        <v>N/A</v>
      </c>
      <c r="BS86" s="92" t="str">
        <f>IFERROR(VLOOKUP($B86,'LOD 300 - COLO1'!$B:AQ,42,FALSE),"N/A")</f>
        <v>N/A</v>
      </c>
      <c r="BT86" s="92" t="str">
        <f>IFERROR(VLOOKUP($B86,'LOD 300 - COLO1'!$B:AT,45,FALSE),"N/A")</f>
        <v>N/A</v>
      </c>
      <c r="BU86" s="92" t="str">
        <f>IFERROR(VLOOKUP($B86,'LOD 300 - COLO1'!$B:AW,48,FALSE),"N/A")</f>
        <v>N/A</v>
      </c>
      <c r="BV86" s="92" t="str">
        <f>IFERROR(VLOOKUP($B86,'LOD 300 - COLO1'!$B:AZ,51,FALSE),"N/A")</f>
        <v>N/A</v>
      </c>
      <c r="BW86" s="92" t="str">
        <f>IFERROR(VLOOKUP($B86,'LOD 300 - COLO1'!$B:BC,54,FALSE),"N/A")</f>
        <v>N/A</v>
      </c>
      <c r="BX86" s="94" t="str">
        <f>IFERROR(VLOOKUP($B86,'LOD 300 - COLO1'!$B:BF,57,FALSE),"N/A")</f>
        <v>N/A</v>
      </c>
      <c r="BY86" s="94" t="str">
        <f>IFERROR(VLOOKUP($B86,'LOD 300 - COLO1'!$B:BI,60,FALSE),"N/A")</f>
        <v>N/A</v>
      </c>
      <c r="BZ86" s="95" t="str">
        <f>IFERROR(VLOOKUP($B86,'LOD 300 - COLO1'!$B:BL,63,FALSE),"N/A")</f>
        <v>N/A</v>
      </c>
      <c r="CA86" s="86" t="str">
        <f>IFERROR(VLOOKUP($B86,'LOD 300 - COLO1'!$B:BO,66,FALSE),"N/A")</f>
        <v>N/A</v>
      </c>
      <c r="CB86" s="86" t="str">
        <f>IFERROR(VLOOKUP($B86,'LOD 300 - COLO1'!$B:BR,69,FALSE),"N/A")</f>
        <v>N/A</v>
      </c>
      <c r="CC86" s="86" t="str">
        <f>IFERROR(VLOOKUP($B86,'LOD 300 - COLO1'!$B:BU,72,FALSE),"N/A")</f>
        <v>N/A</v>
      </c>
      <c r="CD86" s="86" t="str">
        <f>IFERROR(VLOOKUP($B86,'LOD 300 - COLO1'!$B:BX,75,FALSE),"N/A")</f>
        <v>N/A</v>
      </c>
      <c r="CE86" s="86" t="str">
        <f>IFERROR(VLOOKUP($B86,'LOD 300 - COLO1'!$B:CA,78,FALSE),"N/A")</f>
        <v>N/A</v>
      </c>
      <c r="CF86" s="87" t="str">
        <f>IFERROR(VLOOKUP($B86,'LOD 300 - COLO1'!$B:CD,81,FALSE),"N/A")</f>
        <v>N/A</v>
      </c>
      <c r="CG86" s="86" t="str">
        <f>IFERROR(VLOOKUP($B86,'LOD 300 - COLO1'!$B:CG,84,FALSE),"N/A")</f>
        <v>N/A</v>
      </c>
      <c r="CH86" s="87" t="str">
        <f>IFERROR(VLOOKUP($B86,'LOD 300 - COLO1'!$B:CJ,87,FALSE),"N/A")</f>
        <v>N/A</v>
      </c>
      <c r="CI86" s="88" t="str">
        <f>IFERROR(VLOOKUP($B86,'LOD 300 - COLO1'!$B:CM,90,FALSE),"N/A")</f>
        <v>N/A</v>
      </c>
      <c r="CJ86" s="88" t="str">
        <f>IFERROR(VLOOKUP($B86,'LOD 300 - COLO1'!$B:CP,93,FALSE),"N/A")</f>
        <v>N/A</v>
      </c>
      <c r="CK86" s="88" t="str">
        <f>IFERROR(VLOOKUP($B86,'LOD 300 - COLO1'!$B:CS,96,FALSE),"N/A")</f>
        <v>N/A</v>
      </c>
      <c r="CL86" s="88" t="str">
        <f>IFERROR(VLOOKUP($B86,'LOD 300 - COLO1'!$B:CV,99,FALSE),"N/A")</f>
        <v>N/A</v>
      </c>
      <c r="CM86" s="88" t="str">
        <f>IFERROR(VLOOKUP($B86,'LOD 300 - COLO1'!$B:CY,102,FALSE),"N/A")</f>
        <v>N/A</v>
      </c>
      <c r="CN86" s="89" t="str">
        <f>IFERROR(VLOOKUP($B86,'LOD 300 - COLO1'!$B:DB,105,FALSE),"N/A")</f>
        <v>N/A</v>
      </c>
      <c r="CO86" s="87" t="str">
        <f>IFERROR(VLOOKUP($B86,'LOD 300 - COLO1'!$B:EE,108,FALSE),"N/A")</f>
        <v>N/A</v>
      </c>
      <c r="CP86" s="87" t="str">
        <f>IFERROR(VLOOKUP($B86,'LOD 300 - COLO1'!$B:EH,111,FALSE),"N/A")</f>
        <v>N/A</v>
      </c>
      <c r="CQ86" s="87" t="str">
        <f>IFERROR(VLOOKUP($B86,'LOD 300 - COLO1'!$B:EK,114,FALSE),"N/A")</f>
        <v>N/A</v>
      </c>
      <c r="CR86" s="87" t="str">
        <f>IFERROR(VLOOKUP($B86,'LOD 300 - COLO1'!$B:EN,117,FALSE),"N/A")</f>
        <v>N/A</v>
      </c>
      <c r="CS86" s="87" t="str">
        <f>IFERROR(VLOOKUP($B86,'LOD 300 - COLO1'!$B:EQ,120,FALSE),"N/A")</f>
        <v>N/A</v>
      </c>
      <c r="CT86" s="87" t="str">
        <f>IFERROR(VLOOKUP($B86,'LOD 300 - COLO1'!$B:ET,123,FALSE),"N/A")</f>
        <v>N/A</v>
      </c>
      <c r="CU86" s="87" t="str">
        <f>IFERROR(VLOOKUP($B86,'LOD 300 - COLO1'!$B:EW,126,FALSE),"N/A")</f>
        <v>N/A</v>
      </c>
      <c r="CV86" s="87" t="str">
        <f>IFERROR(VLOOKUP($B86,'LOD 300 - COLO1'!$B:EZ,129,FALSE),"N/A")</f>
        <v>N/A</v>
      </c>
      <c r="CW86" s="87" t="str">
        <f>IFERROR(VLOOKUP($B86,'LOD 300 - COLO1'!$B:FC,132,FALSE),"N/A")</f>
        <v>N/A</v>
      </c>
      <c r="CX86" s="96" t="str">
        <f>IFERROR(__xludf.DUMMYFUNCTION("IFERROR(
  MAX(FILTER(BK86:CW86, ISNUMBER(BK86:CW86))),
  CW86
)"),"N/A")</f>
        <v>N/A</v>
      </c>
      <c r="CY86" s="104" t="str">
        <f>IFERROR(VLOOKUP($B86,'LOD 300 - COLO2'!$B:S,18,FALSE),"N/A")</f>
        <v>N/A</v>
      </c>
      <c r="CZ86" s="117" t="str">
        <f>IFERROR(VLOOKUP($B86,'LOD 300 - COLO2'!$B:V,21,FALSE),"N/A")</f>
        <v>N/A</v>
      </c>
      <c r="DA86" s="117" t="str">
        <f>IFERROR(VLOOKUP($B86,'LOD 300 - COLO2'!$B:Y,24,FALSE),"N/A")</f>
        <v>N/A</v>
      </c>
      <c r="DB86" s="117" t="str">
        <f>IFERROR(VLOOKUP($B86,'LOD 300 - COLO2'!$B:AB,27,FALSE),"N/A")</f>
        <v>N/A</v>
      </c>
      <c r="DC86" s="92" t="str">
        <f>IFERROR(VLOOKUP($B86,'LOD 300 - COLO2'!$B:AE,30,FALSE),"N/A")</f>
        <v>N/A</v>
      </c>
      <c r="DD86" s="120" t="str">
        <f>IFERROR(VLOOKUP($B86,'LOD 300 - COLO2'!$B:AH,33,FALSE),"N/A")</f>
        <v>N/A</v>
      </c>
      <c r="DE86" s="117" t="str">
        <f>IFERROR(VLOOKUP($B86,'LOD 300 - COLO2'!$B:AK,36,FALSE),"N/A")</f>
        <v>N/A</v>
      </c>
      <c r="DF86" s="117" t="str">
        <f>IFERROR(VLOOKUP($B86,'LOD 300 - COLO2'!$B:AN,39,FALSE),"N/A")</f>
        <v>N/A</v>
      </c>
      <c r="DG86" s="119" t="str">
        <f>IFERROR(VLOOKUP($B86,'LOD 300 - COLO2'!$B:AQ,42,FALSE),"N/A")</f>
        <v>N/A</v>
      </c>
      <c r="DH86" s="87" t="str">
        <f>IFERROR(VLOOKUP($B86,'LOD 300 - COLO2'!$B:AT,45,FALSE),"N/A")</f>
        <v>N/A</v>
      </c>
      <c r="DI86" s="94" t="str">
        <f>IFERROR(VLOOKUP($B86,'LOD 300 - COLO2'!$B:AW,48,FALSE),"N/A")</f>
        <v>N/A</v>
      </c>
      <c r="DJ86" s="95" t="str">
        <f>IFERROR(VLOOKUP($B86,'LOD 300 - COLO2'!$B:AZ,51,FALSE),"N/A")</f>
        <v>N/A</v>
      </c>
      <c r="DK86" s="86" t="str">
        <f>IFERROR(VLOOKUP($B86,'LOD 300 - COLO2'!$B:BC,54,FALSE),"N/A")</f>
        <v>N/A</v>
      </c>
      <c r="DL86" s="86" t="str">
        <f>IFERROR(VLOOKUP($B86,'LOD 300 - COLO2'!$B:BF,57,FALSE),"N/A")</f>
        <v>N/A</v>
      </c>
      <c r="DM86" s="86" t="str">
        <f>IFERROR(VLOOKUP($B86,'LOD 300 - COLO2'!$B:BI,60,FALSE),"N/A")</f>
        <v>N/A</v>
      </c>
      <c r="DN86" s="86" t="str">
        <f>IFERROR(VLOOKUP($B86,'LOD 300 - COLO2'!$B:BL,63,FALSE),"N/A")</f>
        <v>N/A</v>
      </c>
      <c r="DO86" s="86" t="str">
        <f>IFERROR(VLOOKUP($B86,'LOD 300 - COLO2'!$B:BO,66,FALSE),"N/A")</f>
        <v>N/A</v>
      </c>
      <c r="DP86" s="87" t="str">
        <f>IFERROR(VLOOKUP($B86,'LOD 300 - COLO2'!$B:BR,69,FALSE),"N/A")</f>
        <v>N/A</v>
      </c>
      <c r="DQ86" s="87" t="str">
        <f>IFERROR(VLOOKUP($B86,'LOD 300 - COLO2'!$B:BU,72,FALSE),"N/A")</f>
        <v>N/A</v>
      </c>
      <c r="DR86" s="87" t="str">
        <f>IFERROR(VLOOKUP($B86,'LOD 300 - COLO2'!$B:BX,75,FALSE),"N/A")</f>
        <v>N/A</v>
      </c>
      <c r="DS86" s="98" t="str">
        <f>IFERROR(VLOOKUP($B86,'LOD 300 - COLO2'!$B:CA,78,FALSE),"N/A")</f>
        <v>N/A</v>
      </c>
      <c r="DT86" s="98" t="str">
        <f>IFERROR(VLOOKUP($B86,'LOD 300 - COLO2'!$B:CD,81,FALSE),"N/A")</f>
        <v>N/A</v>
      </c>
      <c r="DU86" s="98" t="str">
        <f>IFERROR(VLOOKUP($B86,'LOD 300 - COLO2'!$B:CG,84,FALSE),"N/A")</f>
        <v>N/A</v>
      </c>
      <c r="DV86" s="98" t="str">
        <f>IFERROR(VLOOKUP($B86,'LOD 300 - COLO2'!$B:CJ,87,FALSE),"N/A")</f>
        <v>N/A</v>
      </c>
      <c r="DW86" s="98" t="str">
        <f>IFERROR(VLOOKUP($B86,'LOD 300 - COLO2'!$B:CM,90,FALSE),"N/A")</f>
        <v>N/A</v>
      </c>
      <c r="DX86" s="98" t="str">
        <f>IFERROR(VLOOKUP($B86,'LOD 300 - COLO2'!$B:CP,93,FALSE),"N/A")</f>
        <v>N/A</v>
      </c>
      <c r="DY86" s="87" t="str">
        <f>IFERROR(VLOOKUP($B86,'LOD 300 - COLO2'!$B:CS,96,FALSE),"N/A")</f>
        <v>N/A</v>
      </c>
      <c r="DZ86" s="87" t="str">
        <f>IFERROR(VLOOKUP($B86,'LOD 300 - COLO2'!$B:CV,99,FALSE),"N/A")</f>
        <v>N/A</v>
      </c>
      <c r="EA86" s="87" t="str">
        <f>IFERROR(VLOOKUP($B86,'LOD 300 - COLO2'!$B:DB,105,FALSE),"N/A")</f>
        <v>N/A</v>
      </c>
      <c r="EB86" s="87" t="str">
        <f>IFERROR(VLOOKUP($B86,'LOD 300 - COLO2'!$B:DB,105,FALSE),"N/A")</f>
        <v>N/A</v>
      </c>
      <c r="EC86" s="87" t="str">
        <f>IFERROR(VLOOKUP($B86,'LOD 300 - COLO2'!$B:DE,108,FALSE),"N/A")</f>
        <v>N/A</v>
      </c>
      <c r="ED86" s="87" t="str">
        <f>IFERROR(VLOOKUP($B86,'LOD 300 - COLO2'!$B:DH,111,FALSE),"N/A")</f>
        <v>N/A</v>
      </c>
      <c r="EE86" s="87" t="str">
        <f>IFERROR(VLOOKUP($B86,'LOD 300 - COLO2'!$B:DK,114,FALSE),"N/A")</f>
        <v>N/A</v>
      </c>
      <c r="EF86" s="87" t="str">
        <f>IFERROR(VLOOKUP($B86,'LOD 300 - COLO2'!$B:DN,117,FALSE),"N/A")</f>
        <v>N/A</v>
      </c>
      <c r="EG86" s="87" t="str">
        <f>IFERROR(VLOOKUP($B86,'LOD 300 - COLO2'!$B:DQ,120,FALSE),"N/A")</f>
        <v>N/A</v>
      </c>
      <c r="EH86" s="99" t="str">
        <f>IFERROR(__xludf.DUMMYFUNCTION("IFERROR(
  MAX(FILTER(CZ86:EG86, ISNUMBER(CZ86:EG86))),
  EG86
)"),"N/A")</f>
        <v>N/A</v>
      </c>
      <c r="EI86" s="100" t="str">
        <f>IFERROR(VLOOKUP($B86,'LOD 300 - COLO3'!$B:R,17,FALSE),"N/A")</f>
        <v>N/A</v>
      </c>
      <c r="EJ86" s="127" t="str">
        <f>IFERROR(VLOOKUP($B86,'LOD 300 - COLO3'!$B:U,20,FALSE),"N/A")</f>
        <v>N/A</v>
      </c>
      <c r="EK86" s="127" t="str">
        <f>IFERROR(VLOOKUP($B86,'LOD 300 - COLO3'!$B:X,23,FALSE),"N/A")</f>
        <v>N/A</v>
      </c>
      <c r="EL86" s="127" t="str">
        <f>IFERROR(VLOOKUP($B86,'LOD 300 - COLO3'!$B:AA,26,FALSE),"N/A")</f>
        <v>N/A</v>
      </c>
      <c r="EM86" s="127" t="str">
        <f>IFERROR(VLOOKUP($B86,'LOD 300 - COLO3'!$B:AD,29,FALSE),"N/A")</f>
        <v>N/A</v>
      </c>
      <c r="EN86" s="127" t="str">
        <f>IFERROR(VLOOKUP($B86,'LOD 300 - COLO3'!$B:AG,32,FALSE),"N/A")</f>
        <v>N/A</v>
      </c>
      <c r="EO86" s="127" t="str">
        <f>IFERROR(VLOOKUP($B86,'LOD 300 - COLO3'!$B:AJ,35,FALSE),"N/A")</f>
        <v>N/A</v>
      </c>
      <c r="EP86" s="100" t="str">
        <f>IFERROR(VLOOKUP($B86,'LOD 300 - COLO3'!$B:AM,38,FALSE),"N/A")</f>
        <v>N/A</v>
      </c>
      <c r="EQ86" s="100" t="str">
        <f>IFERROR(VLOOKUP($B86,'LOD 300 - COLO3'!$B:AP,41,FALSE),"N/A")</f>
        <v>N/A</v>
      </c>
      <c r="ER86" s="100" t="str">
        <f>IFERROR(VLOOKUP($B86,'LOD 300 - COLO3'!$B:AS,44,FALSE),"N/A")</f>
        <v>N/A</v>
      </c>
      <c r="ES86" s="100" t="str">
        <f>IFERROR(VLOOKUP($B86,'LOD 300 - COLO3'!$B:AV,47,FALSE),"N/A")</f>
        <v>N/A</v>
      </c>
      <c r="ET86" s="100" t="str">
        <f>IFERROR(VLOOKUP($B86,'LOD 300 - COLO3'!$B:AY,50,FALSE),"N/A")</f>
        <v>N/A</v>
      </c>
      <c r="EU86" s="100" t="str">
        <f>IFERROR(VLOOKUP($B86,'LOD 300 - COLO3'!$B:BB,53,FALSE),"N/A")</f>
        <v>N/A</v>
      </c>
      <c r="EV86" s="100" t="str">
        <f>IFERROR(VLOOKUP($B86,'LOD 300 - COLO3'!$B:BE,56,FALSE),"N/A")</f>
        <v>N/A</v>
      </c>
      <c r="EW86" s="100" t="str">
        <f>IFERROR(VLOOKUP($B86,'LOD 300 - COLO3'!$B:BL,59,FALSE),"N/A")</f>
        <v>N/A</v>
      </c>
      <c r="EX86" s="100" t="str">
        <f>IFERROR(VLOOKUP($B86,'LOD 300 - COLO3'!$B:BO,62,FALSE),"N/A")</f>
        <v>N/A</v>
      </c>
      <c r="EY86" s="103" t="str">
        <f>IFERROR(__xludf.DUMMYFUNCTION("IFERROR(
  MAX(FILTER(EI86:EX86, ISNUMBER(EI86:EX86))),
  EX86
)"),"N/A")</f>
        <v>N/A</v>
      </c>
      <c r="EZ86" s="104" t="str">
        <f>IFERROR(VLOOKUP($B86,'LOD 300 - COLO4'!$B:BT,17,FALSE),"N/A")</f>
        <v>N/A</v>
      </c>
      <c r="FA86" s="103" t="str">
        <f>IFERROR(__xludf.DUMMYFUNCTION("IFERROR(
  MAX(FILTER(EZ86, ISNUMBER(EZ86))),
  EZ86
)"),"N/A")</f>
        <v>N/A</v>
      </c>
      <c r="FB86" s="121" t="str">
        <f>IFERROR(VLOOKUP($B86,'LOD 300 - SITE'!$B:S,18,FALSE),"N/A")</f>
        <v>NOT PUBLISHED</v>
      </c>
      <c r="FC86" s="122" t="str">
        <f>IFERROR(VLOOKUP($B86,'LOD 300 - SITE'!$B:V,21,FALSE),"N/A")</f>
        <v>NOT PUBLISHED</v>
      </c>
      <c r="FD86" s="122" t="str">
        <f>IFERROR(VLOOKUP($B86,'LOD 300 - SITE'!$B:Y,24,FALSE),"N/A")</f>
        <v>NOT PUBLISHED</v>
      </c>
      <c r="FE86" s="122">
        <f>IFERROR(VLOOKUP($B86,'LOD 300 - SITE'!$B:AB,27,FALSE),"N/A")</f>
        <v>0.51</v>
      </c>
      <c r="FF86" s="122" t="str">
        <f>IFERROR(VLOOKUP($B86,'LOD 300 - SITE'!$B:AE,30,FALSE),"N/A")</f>
        <v>OUTDATED MODEL</v>
      </c>
      <c r="FG86" s="122">
        <f>IFERROR(VLOOKUP($B86,'LOD 300 - SITE'!$B:AH,33,FALSE),"N/A")</f>
        <v>1</v>
      </c>
      <c r="FH86" s="122">
        <f>IFERROR(VLOOKUP($B86,'LOD 300 - SITE'!$B:AK,36,FALSE),"N/A")</f>
        <v>1</v>
      </c>
      <c r="FI86" s="122">
        <f>IFERROR(VLOOKUP($B86,'LOD 300 - SITE'!$B:AN,39,FALSE),"N/A")</f>
        <v>1</v>
      </c>
      <c r="FJ86" s="122">
        <f>IFERROR(VLOOKUP($B86,'LOD 300 - SITE'!$B:AQ,42,FALSE),"N/A")</f>
        <v>1</v>
      </c>
      <c r="FK86" s="122">
        <f>IFERROR(VLOOKUP($B86,'LOD 300 - SITE'!$B:AT,45,FALSE),"N/A")</f>
        <v>1</v>
      </c>
      <c r="FL86" s="123">
        <f>IFERROR(VLOOKUP($B86,'LOD 300 - SITE'!$B:AW,48,FALSE),"N/A")</f>
        <v>1</v>
      </c>
      <c r="FM86" s="87">
        <f>IFERROR(VLOOKUP($B86,'LOD 300 - SITE'!$B:AZ,51,FALSE),"N/A")</f>
        <v>1</v>
      </c>
      <c r="FN86" s="94">
        <f>IFERROR(VLOOKUP($B86,'LOD 300 - SITE'!$B:BC,54,FALSE),"N/A")</f>
        <v>1</v>
      </c>
      <c r="FO86" s="95">
        <f>IFERROR(VLOOKUP($B86,'LOD 300 - SITE'!$B:BF,57,FALSE),"N/A")</f>
        <v>1</v>
      </c>
      <c r="FP86" s="86">
        <f>IFERROR(VLOOKUP($B86,'LOD 300 - SITE'!$B:BI,60,FALSE),"N/A")</f>
        <v>1</v>
      </c>
      <c r="FQ86" s="86">
        <f>IFERROR(VLOOKUP($B86,'LOD 300 - SITE'!$B:BL,63,FALSE),"N/A")</f>
        <v>1</v>
      </c>
      <c r="FR86" s="86">
        <f>IFERROR(VLOOKUP($B86,'LOD 300 - SITE'!$B:BO,66,FALSE),"N/A")</f>
        <v>1</v>
      </c>
      <c r="FS86" s="86">
        <f>IFERROR(VLOOKUP($B86,'LOD 300 - SITE'!$B:BR,69,FALSE),"N/A")</f>
        <v>1</v>
      </c>
      <c r="FT86" s="86">
        <f>IFERROR(VLOOKUP($B86,'LOD 300 - SITE'!$B:BU,72,FALSE),"N/A")</f>
        <v>1</v>
      </c>
      <c r="FU86" s="86">
        <f>IFERROR(VLOOKUP($B86,'LOD 300 - SITE'!$B:BX,75,FALSE),"N/A")</f>
        <v>1</v>
      </c>
      <c r="FV86" s="86">
        <f>IFERROR(VLOOKUP($B86,'LOD 300 - SITE'!$B:CA,78,FALSE),"N/A")</f>
        <v>1</v>
      </c>
      <c r="FW86" s="87">
        <f>IFERROR(VLOOKUP($B86,'LOD 300 - SITE'!$B:CD,81,FALSE),"N/A")</f>
        <v>1</v>
      </c>
      <c r="FX86" s="108">
        <f>IFERROR(VLOOKUP($B86,'LOD 300 - SITE'!$B:CG,84,FALSE),"N/A")</f>
        <v>1</v>
      </c>
      <c r="FY86" s="108">
        <f>IFERROR(VLOOKUP($B86,'LOD 300 - SITE'!$B:CJ,87,FALSE),"N/A")</f>
        <v>1</v>
      </c>
      <c r="FZ86" s="108">
        <f>IFERROR(VLOOKUP($B86,'LOD 300 - SITE'!$B:CM,90,FALSE),"N/A")</f>
        <v>1</v>
      </c>
      <c r="GA86" s="108">
        <f>IFERROR(VLOOKUP($B86,'LOD 300 - SITE'!$B:CP,93,FALSE),"N/A")</f>
        <v>1</v>
      </c>
      <c r="GB86" s="108">
        <f>IFERROR(VLOOKUP($B86,'LOD 300 - SITE'!$B:CS,96,FALSE),"N/A")</f>
        <v>1</v>
      </c>
      <c r="GC86" s="109">
        <f>IFERROR(VLOOKUP($B86,'LOD 300 - SITE'!$B:CV,99,FALSE),"N/A")</f>
        <v>1</v>
      </c>
      <c r="GD86" s="87">
        <f>IFERROR(VLOOKUP($B86,'LOD 300 - SITE'!$B:CY,102,FALSE),"N/A")</f>
        <v>1</v>
      </c>
      <c r="GE86" s="87">
        <f>IFERROR(VLOOKUP($B86,'LOD 300 - SITE'!$B:DB,105,FALSE),"N/A")</f>
        <v>1</v>
      </c>
      <c r="GF86" s="87">
        <f>IFERROR(VLOOKUP($B86,'LOD 300 - SITE'!$B:DE,108,FALSE),"N/A")</f>
        <v>1</v>
      </c>
      <c r="GG86" s="87">
        <f>IFERROR(VLOOKUP($B86,'LOD 300 - SITE'!$B:DH,111,FALSE),"N/A")</f>
        <v>1</v>
      </c>
      <c r="GH86" s="87">
        <f>IFERROR(VLOOKUP($B86,'LOD 300 - SITE'!$B:DK,114,FALSE),"N/A")</f>
        <v>1</v>
      </c>
      <c r="GI86" s="87">
        <f>IFERROR(VLOOKUP($B86,'LOD 300 - SITE'!$B:DN,117,FALSE),"N/A")</f>
        <v>1</v>
      </c>
      <c r="GJ86" s="87">
        <f>IFERROR(VLOOKUP($B86,'LOD 300 - SITE'!$B:DQ,120,FALSE),"N/A")</f>
        <v>1</v>
      </c>
      <c r="GK86" s="87">
        <f>IFERROR(VLOOKUP($B86,'LOD 300 - SITE'!$B:DT,123,FALSE),"N/A")</f>
        <v>1</v>
      </c>
      <c r="GL86" s="87">
        <f>IFERROR(VLOOKUP($B86,'LOD 300 - SITE'!$B:DW,126,FALSE),"N/A")</f>
        <v>1</v>
      </c>
      <c r="GM86" s="110">
        <f>IFERROR(__xludf.DUMMYFUNCTION("IFERROR(
  MAX(FILTER(FB86:GL86, ISNUMBER(FB86:GL86))),
  GL86
)"),1.0)</f>
        <v>1</v>
      </c>
      <c r="GN86" s="68"/>
      <c r="GO86" s="68"/>
      <c r="GP86" s="68"/>
    </row>
    <row r="87" ht="15.0" customHeight="1" outlineLevel="1">
      <c r="A87" s="60">
        <v>90.0</v>
      </c>
      <c r="B87" s="140" t="s">
        <v>274</v>
      </c>
      <c r="C87" s="70" t="s">
        <v>275</v>
      </c>
      <c r="D87" s="71" t="s">
        <v>90</v>
      </c>
      <c r="E87" s="146" t="s">
        <v>273</v>
      </c>
      <c r="F87" s="13">
        <v>1119.0</v>
      </c>
      <c r="G87" s="147" t="s">
        <v>133</v>
      </c>
      <c r="H87" s="150">
        <v>0.0</v>
      </c>
      <c r="I87" s="74" t="str">
        <f>IFERROR(VLOOKUP(C84:C226,'R22 RELATÓRIO ACC'!B:F,5,FALSE),"NOT PUBLISHED")</f>
        <v>V18</v>
      </c>
      <c r="J87" s="74" t="str">
        <f>IFERROR(VLOOKUP(C84:C226,'R22 RELATÓRIO ACC'!B:P,15,FALSE),"NOT PUBLISHED")</f>
        <v>08/04/2026</v>
      </c>
      <c r="K87" s="141" t="str">
        <f>IFERROR(VLOOKUP(B84:B274,'RELATÓRIO ACC'!B:F,5,FALSE),"NOT PUBLISHED")</f>
        <v>V6</v>
      </c>
      <c r="L87" s="142" t="str">
        <f>IFERROR(VLOOKUP(B84:B274,'RELATÓRIO ACC'!B:P,15,FALSE),"NOT PUBLISHED")</f>
        <v>24/06/2026</v>
      </c>
      <c r="M87" s="76" t="str">
        <f>IF(OR($D87="UTLS",$D87="GUAR",$D87="STIR",$D87="PUMP",$D87="SITE"),
   VLOOKUP($B87,'LOD 300 - SITE'!B:M,12,FALSE),
   VLOOKUP($B87,'LOD 300 - ADMN'!B:M,12,FALSE)
)</f>
        <v>V2</v>
      </c>
      <c r="N87" s="80">
        <f>IF(OR($D87="UTLS",$D87="GUAR",$D87="STIR",$D87="PUMP",$D87="SITE"),
   VLOOKUP($B87,'LOD 300 - SITE'!B:N,13,FALSE),
   VLOOKUP($B87,'LOD 300 - ADMN'!B:N,13,FALSE)
)</f>
        <v>45895</v>
      </c>
      <c r="O87" s="143" t="str">
        <f>IF(OR($D87="UTLS",$D87="GUAR",$D87="STIR",$D87="PUMP",$D87="SITE"),
   VLOOKUP($B87,'LOD 300 - SITE'!B:O,14,FALSE),
   VLOOKUP($B87,'LOD 300 - ADMN'!B:O,14,FALSE)
)</f>
        <v>R22</v>
      </c>
      <c r="P87" s="79" t="str">
        <f>IF(OR($D87="C345",$D87="C12A",$D87="DATA"),
   VLOOKUP($B87,'LOD 300 - COLO3'!B:M,12,FALSE),"N/A")</f>
        <v>N/A</v>
      </c>
      <c r="Q87" s="76" t="str">
        <f>IF(OR($D87="C345",$D87="C12A",$D87="DATA"),
   VLOOKUP($B87,'LOD 300 - COLO3'!B:N,13,FALSE),"N/A")</f>
        <v>N/A</v>
      </c>
      <c r="R87" s="76" t="str">
        <f>IF(OR($D87="C345",$D87="C12A",$D87="DATA"),
   VLOOKUP($B87,'LOD 300 - COLO3'!B:O,14,FALSE),"N/A")</f>
        <v>N/A</v>
      </c>
      <c r="S87" s="79" t="str">
        <f>IF(OR($D87="C345",$D87="C12A",$D87="DATA"),
   VLOOKUP($B87,'LOD 300 - COLO4'!B:M,12,FALSE),"N/A")</f>
        <v>N/A</v>
      </c>
      <c r="T87" s="76" t="str">
        <f>IF(OR($D87="C345",$D87="C12A",$D87="DATA"),
   VLOOKUP($B87,'LOD 300 - COLO4'!B:T,13,FALSE),"N/A")</f>
        <v>N/A</v>
      </c>
      <c r="U87" s="76" t="str">
        <f>IF(OR($D87="C345",$D87="C12A",$D87="DATA"),
   VLOOKUP($B87,'LOD 300 - COLO4'!B:U,17,FALSE),"N/A")</f>
        <v>N/A</v>
      </c>
      <c r="V87" s="126"/>
      <c r="W87" s="144" t="str">
        <f>IFERROR(VLOOKUP($B87,'LOD 300 - ADMN'!$B:S,18,FALSE),"N/A")</f>
        <v>N/A</v>
      </c>
      <c r="X87" s="122" t="str">
        <f>IFERROR(VLOOKUP($B87,'LOD 300 - ADMN'!$B:V,21,FALSE),"N/A")</f>
        <v>N/A</v>
      </c>
      <c r="Y87" s="122" t="str">
        <f>IFERROR(VLOOKUP($B87,'LOD 300 - ADMN'!$B:Y,24,FALSE),"N/A")</f>
        <v>N/A</v>
      </c>
      <c r="Z87" s="122" t="str">
        <f>IFERROR(VLOOKUP($B87,'LOD 300 - ADMN'!$B:AB,27,FALSE),"N/A")</f>
        <v>N/A</v>
      </c>
      <c r="AA87" s="122" t="str">
        <f>IFERROR(VLOOKUP($B87,'LOD 300 - ADMN'!$B:AE,30,FALSE),"N/A")</f>
        <v>N/A</v>
      </c>
      <c r="AB87" s="145" t="str">
        <f>IFERROR(VLOOKUP($B87,'LOD 300 - ADMN'!$B:AH,33,FALSE),"N/A")</f>
        <v>N/A</v>
      </c>
      <c r="AC87" s="145" t="str">
        <f>IFERROR(VLOOKUP($B87,'LOD 300 - ADMN'!$B:AK,36,FALSE),"N/A")</f>
        <v>N/A</v>
      </c>
      <c r="AD87" s="122" t="str">
        <f>IFERROR(VLOOKUP($B87,'LOD 300 - ADMN'!$B:AN,39,FALSE),"N/A")</f>
        <v>N/A</v>
      </c>
      <c r="AE87" s="122" t="str">
        <f>IFERROR(VLOOKUP($B87,'LOD 300 - ADMN'!$B:AQ,42,FALSE),"N/A")</f>
        <v>N/A</v>
      </c>
      <c r="AF87" s="122" t="str">
        <f>IFERROR(VLOOKUP($B87,'LOD 300 - ADMN'!$B:AT,45,FALSE),"N/A")</f>
        <v>N/A</v>
      </c>
      <c r="AG87" s="122" t="str">
        <f>IFERROR(VLOOKUP($B87,'LOD 300 - ADMN'!$B:AW,48,FALSE),"N/A")</f>
        <v>N/A</v>
      </c>
      <c r="AH87" s="122" t="str">
        <f>IFERROR(VLOOKUP($B87,'LOD 300 - ADMN'!$B:AZ,51,FALSE),"N/A")</f>
        <v>N/A</v>
      </c>
      <c r="AI87" s="122" t="str">
        <f>IFERROR(VLOOKUP($B87,'LOD 300 - ADMN'!$B:BC,54,FALSE),"N/A")</f>
        <v>N/A</v>
      </c>
      <c r="AJ87" s="87" t="str">
        <f>IFERROR(VLOOKUP($B87,'LOD 300 - ADMN'!$B:BF,57,FALSE),"N/A")</f>
        <v>N/A</v>
      </c>
      <c r="AK87" s="87" t="str">
        <f>IFERROR(VLOOKUP($B87,'LOD 300 - ADMN'!$B:EP,60,FALSE),"N/A")</f>
        <v>N/A</v>
      </c>
      <c r="AL87" s="87" t="str">
        <f>IFERROR(VLOOKUP($B87,'LOD 300 - ADMN'!$B:EQ,63,FALSE),"N/A")</f>
        <v>N/A</v>
      </c>
      <c r="AM87" s="87" t="str">
        <f>IFERROR(VLOOKUP($B87,'LOD 300 - ADMN'!$B:BO,66,FALSE),"N/A")</f>
        <v>N/A</v>
      </c>
      <c r="AN87" s="87" t="str">
        <f>IFERROR(VLOOKUP($B87,'LOD 300 - ADMN'!$B:BR,69,FALSE),"N/A")</f>
        <v>N/A</v>
      </c>
      <c r="AO87" s="87" t="str">
        <f>IFERROR(VLOOKUP($B87,'LOD 300 - ADMN'!$B:BU,72,FALSE),"N/A")</f>
        <v>N/A</v>
      </c>
      <c r="AP87" s="87" t="str">
        <f>IFERROR(VLOOKUP($B87,'LOD 300 - ADMN'!$B:BX,75,FALSE),"N/A")</f>
        <v>N/A</v>
      </c>
      <c r="AQ87" s="87" t="str">
        <f>IFERROR(VLOOKUP($B87,'LOD 300 - ADMN'!$B:CA,78,FALSE),"N/A")</f>
        <v>N/A</v>
      </c>
      <c r="AR87" s="87" t="str">
        <f>IFERROR(VLOOKUP($B87,'LOD 300 - ADMN'!$B:CD,81,FALSE),"N/A")</f>
        <v>N/A</v>
      </c>
      <c r="AS87" s="87" t="str">
        <f>IFERROR(VLOOKUP($B87,'LOD 300 - ADMN'!$B:CG,84,FALSE),"N/A")</f>
        <v>N/A</v>
      </c>
      <c r="AT87" s="87" t="str">
        <f>IFERROR(VLOOKUP($B87,'LOD 300 - ADMN'!$B:CJ,87,FALSE),"N/A")</f>
        <v>N/A</v>
      </c>
      <c r="AU87" s="88" t="str">
        <f>IFERROR(VLOOKUP($B87,'LOD 300 - ADMN'!$B:CM,90,FALSE),"N/A")</f>
        <v>N/A</v>
      </c>
      <c r="AV87" s="88" t="str">
        <f>IFERROR(VLOOKUP($B87,'LOD 300 - ADMN'!$B:CP,93,FALSE),"N/A")</f>
        <v>N/A</v>
      </c>
      <c r="AW87" s="88" t="str">
        <f>IFERROR(VLOOKUP($B87,'LOD 300 - ADMN'!$B:CS,96,FALSE),"N/A")</f>
        <v>N/A</v>
      </c>
      <c r="AX87" s="88" t="str">
        <f>IFERROR(VLOOKUP($B87,'LOD 300 - ADMN'!$B:CV,99,FALSE),"N/A")</f>
        <v>N/A</v>
      </c>
      <c r="AY87" s="88" t="str">
        <f>IFERROR(VLOOKUP($B87,'LOD 300 - ADMN'!$B:CY,102,FALSE),"N/A")</f>
        <v>N/A</v>
      </c>
      <c r="AZ87" s="88" t="str">
        <f>IFERROR(VLOOKUP($B87,'LOD 300 - ADMN'!$B:DB,105,FALSE),"N/A")</f>
        <v>N/A</v>
      </c>
      <c r="BA87" s="87" t="str">
        <f>IFERROR(VLOOKUP($B87,'LOD 300 - ADMN'!$B:DE,108,FALSE),"N/A")</f>
        <v>N/A</v>
      </c>
      <c r="BB87" s="87" t="str">
        <f>IFERROR(VLOOKUP($B87,'LOD 300 - ADMN'!$B:DH,111,FALSE),"N/A")</f>
        <v>N/A</v>
      </c>
      <c r="BC87" s="87" t="str">
        <f>IFERROR(VLOOKUP($B87,'LOD 300 - ADMN'!$B:DK,114,FALSE),"N/A")</f>
        <v>N/A</v>
      </c>
      <c r="BD87" s="87" t="str">
        <f>IFERROR(VLOOKUP($B87,'LOD 300 - ADMN'!$B:DN,117,FALSE),"N/A")</f>
        <v>N/A</v>
      </c>
      <c r="BE87" s="87" t="str">
        <f>IFERROR(VLOOKUP($B87,'LOD 300 - ADMN'!$B:DQ,120,FALSE),"N/A")</f>
        <v>N/A</v>
      </c>
      <c r="BF87" s="87" t="str">
        <f>IFERROR(VLOOKUP($B87,'LOD 300 - ADMN'!$B:DT,123,FALSE),"N/A")</f>
        <v>N/A</v>
      </c>
      <c r="BG87" s="87" t="str">
        <f>IFERROR(VLOOKUP($B87,'LOD 300 - ADMN'!$B:DW,126,FALSE),"N/A")</f>
        <v>N/A</v>
      </c>
      <c r="BH87" s="87" t="str">
        <f>IFERROR(VLOOKUP($B87,'LOD 300 - ADMN'!$B:DZ,129,FALSE),"N/A")</f>
        <v>N/A</v>
      </c>
      <c r="BI87" s="87" t="str">
        <f>IFERROR(VLOOKUP($B87,'LOD 300 - ADMN'!$B:EC,132,FALSE),"N/A")</f>
        <v>N/A</v>
      </c>
      <c r="BJ87" s="90" t="str">
        <f>IFERROR(__xludf.DUMMYFUNCTION("IFERROR(
  MAX(FILTER(X87:BI87, ISNUMBER(X87:BI87))),
  BI87
)"),"N/A")</f>
        <v>N/A</v>
      </c>
      <c r="BK87" s="91" t="str">
        <f>IFERROR(VLOOKUP($B87,'LOD 300 - COLO1'!$B:S,18,FALSE),"N/A")</f>
        <v>N/A</v>
      </c>
      <c r="BL87" s="92" t="str">
        <f>IFERROR(VLOOKUP($B87,'LOD 300 - COLO1'!$B:V,21,FALSE),"N/A")</f>
        <v>N/A</v>
      </c>
      <c r="BM87" s="92" t="str">
        <f>IFERROR(VLOOKUP($B87,'LOD 300 - COLO1'!$B:Y,24,FALSE),"N/A")</f>
        <v>N/A</v>
      </c>
      <c r="BN87" s="92" t="str">
        <f>IFERROR(VLOOKUP($B87,'LOD 300 - COLO1'!$B:AB,27,FALSE),"N/A")</f>
        <v>N/A</v>
      </c>
      <c r="BO87" s="92" t="str">
        <f>IFERROR(VLOOKUP($B87,'LOD 300 - COLO1'!$B:AE,30,FALSE),"N/A")</f>
        <v>N/A</v>
      </c>
      <c r="BP87" s="92" t="str">
        <f>IFERROR(VLOOKUP($B87,'LOD 300 - COLO1'!$B:AH,33,FALSE),"N/A")</f>
        <v>N/A</v>
      </c>
      <c r="BQ87" s="92" t="str">
        <f>IFERROR(VLOOKUP($B87,'LOD 300 - COLO1'!$B:AK,36,FALSE),"N/A")</f>
        <v>N/A</v>
      </c>
      <c r="BR87" s="92" t="str">
        <f>IFERROR(VLOOKUP($B87,'LOD 300 - COLO1'!$B:AN,39,FALSE),"N/A")</f>
        <v>N/A</v>
      </c>
      <c r="BS87" s="92" t="str">
        <f>IFERROR(VLOOKUP($B87,'LOD 300 - COLO1'!$B:AQ,42,FALSE),"N/A")</f>
        <v>N/A</v>
      </c>
      <c r="BT87" s="92" t="str">
        <f>IFERROR(VLOOKUP($B87,'LOD 300 - COLO1'!$B:AT,45,FALSE),"N/A")</f>
        <v>N/A</v>
      </c>
      <c r="BU87" s="92" t="str">
        <f>IFERROR(VLOOKUP($B87,'LOD 300 - COLO1'!$B:AW,48,FALSE),"N/A")</f>
        <v>N/A</v>
      </c>
      <c r="BV87" s="92" t="str">
        <f>IFERROR(VLOOKUP($B87,'LOD 300 - COLO1'!$B:AZ,51,FALSE),"N/A")</f>
        <v>N/A</v>
      </c>
      <c r="BW87" s="92" t="str">
        <f>IFERROR(VLOOKUP($B87,'LOD 300 - COLO1'!$B:BC,54,FALSE),"N/A")</f>
        <v>N/A</v>
      </c>
      <c r="BX87" s="94" t="str">
        <f>IFERROR(VLOOKUP($B87,'LOD 300 - COLO1'!$B:BF,57,FALSE),"N/A")</f>
        <v>N/A</v>
      </c>
      <c r="BY87" s="94" t="str">
        <f>IFERROR(VLOOKUP($B87,'LOD 300 - COLO1'!$B:BI,60,FALSE),"N/A")</f>
        <v>N/A</v>
      </c>
      <c r="BZ87" s="95" t="str">
        <f>IFERROR(VLOOKUP($B87,'LOD 300 - COLO1'!$B:BL,63,FALSE),"N/A")</f>
        <v>N/A</v>
      </c>
      <c r="CA87" s="86" t="str">
        <f>IFERROR(VLOOKUP($B87,'LOD 300 - COLO1'!$B:BO,66,FALSE),"N/A")</f>
        <v>N/A</v>
      </c>
      <c r="CB87" s="86" t="str">
        <f>IFERROR(VLOOKUP($B87,'LOD 300 - COLO1'!$B:BR,69,FALSE),"N/A")</f>
        <v>N/A</v>
      </c>
      <c r="CC87" s="86" t="str">
        <f>IFERROR(VLOOKUP($B87,'LOD 300 - COLO1'!$B:BU,72,FALSE),"N/A")</f>
        <v>N/A</v>
      </c>
      <c r="CD87" s="86" t="str">
        <f>IFERROR(VLOOKUP($B87,'LOD 300 - COLO1'!$B:BX,75,FALSE),"N/A")</f>
        <v>N/A</v>
      </c>
      <c r="CE87" s="86" t="str">
        <f>IFERROR(VLOOKUP($B87,'LOD 300 - COLO1'!$B:CA,78,FALSE),"N/A")</f>
        <v>N/A</v>
      </c>
      <c r="CF87" s="87" t="str">
        <f>IFERROR(VLOOKUP($B87,'LOD 300 - COLO1'!$B:CD,81,FALSE),"N/A")</f>
        <v>N/A</v>
      </c>
      <c r="CG87" s="86" t="str">
        <f>IFERROR(VLOOKUP($B87,'LOD 300 - COLO1'!$B:CG,84,FALSE),"N/A")</f>
        <v>N/A</v>
      </c>
      <c r="CH87" s="87" t="str">
        <f>IFERROR(VLOOKUP($B87,'LOD 300 - COLO1'!$B:CJ,87,FALSE),"N/A")</f>
        <v>N/A</v>
      </c>
      <c r="CI87" s="88" t="str">
        <f>IFERROR(VLOOKUP($B87,'LOD 300 - COLO1'!$B:CM,90,FALSE),"N/A")</f>
        <v>N/A</v>
      </c>
      <c r="CJ87" s="88" t="str">
        <f>IFERROR(VLOOKUP($B87,'LOD 300 - COLO1'!$B:CP,93,FALSE),"N/A")</f>
        <v>N/A</v>
      </c>
      <c r="CK87" s="88" t="str">
        <f>IFERROR(VLOOKUP($B87,'LOD 300 - COLO1'!$B:CS,96,FALSE),"N/A")</f>
        <v>N/A</v>
      </c>
      <c r="CL87" s="88" t="str">
        <f>IFERROR(VLOOKUP($B87,'LOD 300 - COLO1'!$B:CV,99,FALSE),"N/A")</f>
        <v>N/A</v>
      </c>
      <c r="CM87" s="88" t="str">
        <f>IFERROR(VLOOKUP($B87,'LOD 300 - COLO1'!$B:CY,102,FALSE),"N/A")</f>
        <v>N/A</v>
      </c>
      <c r="CN87" s="89" t="str">
        <f>IFERROR(VLOOKUP($B87,'LOD 300 - COLO1'!$B:DB,105,FALSE),"N/A")</f>
        <v>N/A</v>
      </c>
      <c r="CO87" s="87" t="str">
        <f>IFERROR(VLOOKUP($B87,'LOD 300 - COLO1'!$B:EE,108,FALSE),"N/A")</f>
        <v>N/A</v>
      </c>
      <c r="CP87" s="87" t="str">
        <f>IFERROR(VLOOKUP($B87,'LOD 300 - COLO1'!$B:EH,111,FALSE),"N/A")</f>
        <v>N/A</v>
      </c>
      <c r="CQ87" s="87" t="str">
        <f>IFERROR(VLOOKUP($B87,'LOD 300 - COLO1'!$B:EK,114,FALSE),"N/A")</f>
        <v>N/A</v>
      </c>
      <c r="CR87" s="87" t="str">
        <f>IFERROR(VLOOKUP($B87,'LOD 300 - COLO1'!$B:EN,117,FALSE),"N/A")</f>
        <v>N/A</v>
      </c>
      <c r="CS87" s="87" t="str">
        <f>IFERROR(VLOOKUP($B87,'LOD 300 - COLO1'!$B:EQ,120,FALSE),"N/A")</f>
        <v>N/A</v>
      </c>
      <c r="CT87" s="87" t="str">
        <f>IFERROR(VLOOKUP($B87,'LOD 300 - COLO1'!$B:ET,123,FALSE),"N/A")</f>
        <v>N/A</v>
      </c>
      <c r="CU87" s="87" t="str">
        <f>IFERROR(VLOOKUP($B87,'LOD 300 - COLO1'!$B:EW,126,FALSE),"N/A")</f>
        <v>N/A</v>
      </c>
      <c r="CV87" s="87" t="str">
        <f>IFERROR(VLOOKUP($B87,'LOD 300 - COLO1'!$B:EZ,129,FALSE),"N/A")</f>
        <v>N/A</v>
      </c>
      <c r="CW87" s="87" t="str">
        <f>IFERROR(VLOOKUP($B87,'LOD 300 - COLO1'!$B:FC,132,FALSE),"N/A")</f>
        <v>N/A</v>
      </c>
      <c r="CX87" s="96" t="str">
        <f>IFERROR(__xludf.DUMMYFUNCTION("IFERROR(
  MAX(FILTER(BK87:CW87, ISNUMBER(BK87:CW87))),
  CW87
)"),"N/A")</f>
        <v>N/A</v>
      </c>
      <c r="CY87" s="104" t="str">
        <f>IFERROR(VLOOKUP($B87,'LOD 300 - COLO2'!$B:S,18,FALSE),"N/A")</f>
        <v>N/A</v>
      </c>
      <c r="CZ87" s="117" t="str">
        <f>IFERROR(VLOOKUP($B87,'LOD 300 - COLO2'!$B:V,21,FALSE),"N/A")</f>
        <v>N/A</v>
      </c>
      <c r="DA87" s="117" t="str">
        <f>IFERROR(VLOOKUP($B87,'LOD 300 - COLO2'!$B:Y,24,FALSE),"N/A")</f>
        <v>N/A</v>
      </c>
      <c r="DB87" s="117" t="str">
        <f>IFERROR(VLOOKUP($B87,'LOD 300 - COLO2'!$B:AB,27,FALSE),"N/A")</f>
        <v>N/A</v>
      </c>
      <c r="DC87" s="92" t="str">
        <f>IFERROR(VLOOKUP($B87,'LOD 300 - COLO2'!$B:AE,30,FALSE),"N/A")</f>
        <v>N/A</v>
      </c>
      <c r="DD87" s="120" t="str">
        <f>IFERROR(VLOOKUP($B87,'LOD 300 - COLO2'!$B:AH,33,FALSE),"N/A")</f>
        <v>N/A</v>
      </c>
      <c r="DE87" s="117" t="str">
        <f>IFERROR(VLOOKUP($B87,'LOD 300 - COLO2'!$B:AK,36,FALSE),"N/A")</f>
        <v>N/A</v>
      </c>
      <c r="DF87" s="117" t="str">
        <f>IFERROR(VLOOKUP($B87,'LOD 300 - COLO2'!$B:AN,39,FALSE),"N/A")</f>
        <v>N/A</v>
      </c>
      <c r="DG87" s="119" t="str">
        <f>IFERROR(VLOOKUP($B87,'LOD 300 - COLO2'!$B:AQ,42,FALSE),"N/A")</f>
        <v>N/A</v>
      </c>
      <c r="DH87" s="87" t="str">
        <f>IFERROR(VLOOKUP($B87,'LOD 300 - COLO2'!$B:AT,45,FALSE),"N/A")</f>
        <v>N/A</v>
      </c>
      <c r="DI87" s="94" t="str">
        <f>IFERROR(VLOOKUP($B87,'LOD 300 - COLO2'!$B:AW,48,FALSE),"N/A")</f>
        <v>N/A</v>
      </c>
      <c r="DJ87" s="95" t="str">
        <f>IFERROR(VLOOKUP($B87,'LOD 300 - COLO2'!$B:AZ,51,FALSE),"N/A")</f>
        <v>N/A</v>
      </c>
      <c r="DK87" s="86" t="str">
        <f>IFERROR(VLOOKUP($B87,'LOD 300 - COLO2'!$B:BC,54,FALSE),"N/A")</f>
        <v>N/A</v>
      </c>
      <c r="DL87" s="86" t="str">
        <f>IFERROR(VLOOKUP($B87,'LOD 300 - COLO2'!$B:BF,57,FALSE),"N/A")</f>
        <v>N/A</v>
      </c>
      <c r="DM87" s="86" t="str">
        <f>IFERROR(VLOOKUP($B87,'LOD 300 - COLO2'!$B:BI,60,FALSE),"N/A")</f>
        <v>N/A</v>
      </c>
      <c r="DN87" s="86" t="str">
        <f>IFERROR(VLOOKUP($B87,'LOD 300 - COLO2'!$B:BL,63,FALSE),"N/A")</f>
        <v>N/A</v>
      </c>
      <c r="DO87" s="86" t="str">
        <f>IFERROR(VLOOKUP($B87,'LOD 300 - COLO2'!$B:BO,66,FALSE),"N/A")</f>
        <v>N/A</v>
      </c>
      <c r="DP87" s="87" t="str">
        <f>IFERROR(VLOOKUP($B87,'LOD 300 - COLO2'!$B:BR,69,FALSE),"N/A")</f>
        <v>N/A</v>
      </c>
      <c r="DQ87" s="87" t="str">
        <f>IFERROR(VLOOKUP($B87,'LOD 300 - COLO2'!$B:BU,72,FALSE),"N/A")</f>
        <v>N/A</v>
      </c>
      <c r="DR87" s="87" t="str">
        <f>IFERROR(VLOOKUP($B87,'LOD 300 - COLO2'!$B:BX,75,FALSE),"N/A")</f>
        <v>N/A</v>
      </c>
      <c r="DS87" s="98" t="str">
        <f>IFERROR(VLOOKUP($B87,'LOD 300 - COLO2'!$B:CA,78,FALSE),"N/A")</f>
        <v>N/A</v>
      </c>
      <c r="DT87" s="98" t="str">
        <f>IFERROR(VLOOKUP($B87,'LOD 300 - COLO2'!$B:CD,81,FALSE),"N/A")</f>
        <v>N/A</v>
      </c>
      <c r="DU87" s="98" t="str">
        <f>IFERROR(VLOOKUP($B87,'LOD 300 - COLO2'!$B:CG,84,FALSE),"N/A")</f>
        <v>N/A</v>
      </c>
      <c r="DV87" s="98" t="str">
        <f>IFERROR(VLOOKUP($B87,'LOD 300 - COLO2'!$B:CJ,87,FALSE),"N/A")</f>
        <v>N/A</v>
      </c>
      <c r="DW87" s="98" t="str">
        <f>IFERROR(VLOOKUP($B87,'LOD 300 - COLO2'!$B:CM,90,FALSE),"N/A")</f>
        <v>N/A</v>
      </c>
      <c r="DX87" s="98" t="str">
        <f>IFERROR(VLOOKUP($B87,'LOD 300 - COLO2'!$B:CP,93,FALSE),"N/A")</f>
        <v>N/A</v>
      </c>
      <c r="DY87" s="87" t="str">
        <f>IFERROR(VLOOKUP($B87,'LOD 300 - COLO2'!$B:CS,96,FALSE),"N/A")</f>
        <v>N/A</v>
      </c>
      <c r="DZ87" s="87" t="str">
        <f>IFERROR(VLOOKUP($B87,'LOD 300 - COLO2'!$B:CV,99,FALSE),"N/A")</f>
        <v>N/A</v>
      </c>
      <c r="EA87" s="87" t="str">
        <f>IFERROR(VLOOKUP($B87,'LOD 300 - COLO2'!$B:DB,105,FALSE),"N/A")</f>
        <v>N/A</v>
      </c>
      <c r="EB87" s="87" t="str">
        <f>IFERROR(VLOOKUP($B87,'LOD 300 - COLO2'!$B:DB,105,FALSE),"N/A")</f>
        <v>N/A</v>
      </c>
      <c r="EC87" s="87" t="str">
        <f>IFERROR(VLOOKUP($B87,'LOD 300 - COLO2'!$B:DE,108,FALSE),"N/A")</f>
        <v>N/A</v>
      </c>
      <c r="ED87" s="87" t="str">
        <f>IFERROR(VLOOKUP($B87,'LOD 300 - COLO2'!$B:DH,111,FALSE),"N/A")</f>
        <v>N/A</v>
      </c>
      <c r="EE87" s="87" t="str">
        <f>IFERROR(VLOOKUP($B87,'LOD 300 - COLO2'!$B:DK,114,FALSE),"N/A")</f>
        <v>N/A</v>
      </c>
      <c r="EF87" s="87" t="str">
        <f>IFERROR(VLOOKUP($B87,'LOD 300 - COLO2'!$B:DN,117,FALSE),"N/A")</f>
        <v>N/A</v>
      </c>
      <c r="EG87" s="87" t="str">
        <f>IFERROR(VLOOKUP($B87,'LOD 300 - COLO2'!$B:DQ,120,FALSE),"N/A")</f>
        <v>N/A</v>
      </c>
      <c r="EH87" s="99" t="str">
        <f>IFERROR(__xludf.DUMMYFUNCTION("IFERROR(
  MAX(FILTER(CZ87:EG87, ISNUMBER(CZ87:EG87))),
  EG87
)"),"N/A")</f>
        <v>N/A</v>
      </c>
      <c r="EI87" s="100" t="str">
        <f>IFERROR(VLOOKUP($B87,'LOD 300 - COLO3'!$B:R,17,FALSE),"N/A")</f>
        <v>N/A</v>
      </c>
      <c r="EJ87" s="127" t="str">
        <f>IFERROR(VLOOKUP($B87,'LOD 300 - COLO3'!$B:U,20,FALSE),"N/A")</f>
        <v>N/A</v>
      </c>
      <c r="EK87" s="127" t="str">
        <f>IFERROR(VLOOKUP($B87,'LOD 300 - COLO3'!$B:X,23,FALSE),"N/A")</f>
        <v>N/A</v>
      </c>
      <c r="EL87" s="127" t="str">
        <f>IFERROR(VLOOKUP($B87,'LOD 300 - COLO3'!$B:AA,26,FALSE),"N/A")</f>
        <v>N/A</v>
      </c>
      <c r="EM87" s="127" t="str">
        <f>IFERROR(VLOOKUP($B87,'LOD 300 - COLO3'!$B:AD,29,FALSE),"N/A")</f>
        <v>N/A</v>
      </c>
      <c r="EN87" s="127" t="str">
        <f>IFERROR(VLOOKUP($B87,'LOD 300 - COLO3'!$B:AG,32,FALSE),"N/A")</f>
        <v>N/A</v>
      </c>
      <c r="EO87" s="127" t="str">
        <f>IFERROR(VLOOKUP($B87,'LOD 300 - COLO3'!$B:AJ,35,FALSE),"N/A")</f>
        <v>N/A</v>
      </c>
      <c r="EP87" s="100" t="str">
        <f>IFERROR(VLOOKUP($B87,'LOD 300 - COLO3'!$B:AM,38,FALSE),"N/A")</f>
        <v>N/A</v>
      </c>
      <c r="EQ87" s="100" t="str">
        <f>IFERROR(VLOOKUP($B87,'LOD 300 - COLO3'!$B:AP,41,FALSE),"N/A")</f>
        <v>N/A</v>
      </c>
      <c r="ER87" s="100" t="str">
        <f>IFERROR(VLOOKUP($B87,'LOD 300 - COLO3'!$B:AS,44,FALSE),"N/A")</f>
        <v>N/A</v>
      </c>
      <c r="ES87" s="100" t="str">
        <f>IFERROR(VLOOKUP($B87,'LOD 300 - COLO3'!$B:AV,47,FALSE),"N/A")</f>
        <v>N/A</v>
      </c>
      <c r="ET87" s="100" t="str">
        <f>IFERROR(VLOOKUP($B87,'LOD 300 - COLO3'!$B:AY,50,FALSE),"N/A")</f>
        <v>N/A</v>
      </c>
      <c r="EU87" s="100" t="str">
        <f>IFERROR(VLOOKUP($B87,'LOD 300 - COLO3'!$B:BB,53,FALSE),"N/A")</f>
        <v>N/A</v>
      </c>
      <c r="EV87" s="100" t="str">
        <f>IFERROR(VLOOKUP($B87,'LOD 300 - COLO3'!$B:BE,56,FALSE),"N/A")</f>
        <v>N/A</v>
      </c>
      <c r="EW87" s="100" t="str">
        <f>IFERROR(VLOOKUP($B87,'LOD 300 - COLO3'!$B:BL,59,FALSE),"N/A")</f>
        <v>N/A</v>
      </c>
      <c r="EX87" s="100" t="str">
        <f>IFERROR(VLOOKUP($B87,'LOD 300 - COLO3'!$B:BO,62,FALSE),"N/A")</f>
        <v>N/A</v>
      </c>
      <c r="EY87" s="103" t="str">
        <f>IFERROR(__xludf.DUMMYFUNCTION("IFERROR(
  MAX(FILTER(EI87:EX87, ISNUMBER(EI87:EX87))),
  EX87
)"),"N/A")</f>
        <v>N/A</v>
      </c>
      <c r="EZ87" s="104" t="str">
        <f>IFERROR(VLOOKUP($B87,'LOD 300 - COLO4'!$B:BT,17,FALSE),"N/A")</f>
        <v>N/A</v>
      </c>
      <c r="FA87" s="103" t="str">
        <f>IFERROR(__xludf.DUMMYFUNCTION("IFERROR(
  MAX(FILTER(EZ87, ISNUMBER(EZ87))),
  EZ87
)"),"N/A")</f>
        <v>N/A</v>
      </c>
      <c r="FB87" s="121">
        <f>IFERROR(VLOOKUP($B87,'LOD 300 - SITE'!$B:S,18,FALSE),"N/A")</f>
        <v>0.67</v>
      </c>
      <c r="FC87" s="122">
        <f>IFERROR(VLOOKUP($B87,'LOD 300 - SITE'!$B:V,21,FALSE),"N/A")</f>
        <v>1</v>
      </c>
      <c r="FD87" s="122">
        <f>IFERROR(VLOOKUP($B87,'LOD 300 - SITE'!$B:Y,24,FALSE),"N/A")</f>
        <v>1</v>
      </c>
      <c r="FE87" s="122">
        <f>IFERROR(VLOOKUP($B87,'LOD 300 - SITE'!$B:AB,27,FALSE),"N/A")</f>
        <v>1</v>
      </c>
      <c r="FF87" s="122">
        <f>IFERROR(VLOOKUP($B87,'LOD 300 - SITE'!$B:AE,30,FALSE),"N/A")</f>
        <v>1</v>
      </c>
      <c r="FG87" s="122">
        <f>IFERROR(VLOOKUP($B87,'LOD 300 - SITE'!$B:AH,33,FALSE),"N/A")</f>
        <v>1</v>
      </c>
      <c r="FH87" s="122">
        <f>IFERROR(VLOOKUP($B87,'LOD 300 - SITE'!$B:AK,36,FALSE),"N/A")</f>
        <v>1</v>
      </c>
      <c r="FI87" s="122">
        <f>IFERROR(VLOOKUP($B87,'LOD 300 - SITE'!$B:AN,39,FALSE),"N/A")</f>
        <v>1</v>
      </c>
      <c r="FJ87" s="122">
        <f>IFERROR(VLOOKUP($B87,'LOD 300 - SITE'!$B:AQ,42,FALSE),"N/A")</f>
        <v>1</v>
      </c>
      <c r="FK87" s="122">
        <f>IFERROR(VLOOKUP($B87,'LOD 300 - SITE'!$B:AT,45,FALSE),"N/A")</f>
        <v>1</v>
      </c>
      <c r="FL87" s="123">
        <f>IFERROR(VLOOKUP($B87,'LOD 300 - SITE'!$B:AW,48,FALSE),"N/A")</f>
        <v>1</v>
      </c>
      <c r="FM87" s="87">
        <f>IFERROR(VLOOKUP($B87,'LOD 300 - SITE'!$B:AZ,51,FALSE),"N/A")</f>
        <v>1</v>
      </c>
      <c r="FN87" s="94">
        <f>IFERROR(VLOOKUP($B87,'LOD 300 - SITE'!$B:BC,54,FALSE),"N/A")</f>
        <v>1</v>
      </c>
      <c r="FO87" s="95">
        <f>IFERROR(VLOOKUP($B87,'LOD 300 - SITE'!$B:BF,57,FALSE),"N/A")</f>
        <v>1</v>
      </c>
      <c r="FP87" s="86">
        <f>IFERROR(VLOOKUP($B87,'LOD 300 - SITE'!$B:BI,60,FALSE),"N/A")</f>
        <v>1</v>
      </c>
      <c r="FQ87" s="86">
        <f>IFERROR(VLOOKUP($B87,'LOD 300 - SITE'!$B:BL,63,FALSE),"N/A")</f>
        <v>1</v>
      </c>
      <c r="FR87" s="86">
        <f>IFERROR(VLOOKUP($B87,'LOD 300 - SITE'!$B:BO,66,FALSE),"N/A")</f>
        <v>1</v>
      </c>
      <c r="FS87" s="86">
        <f>IFERROR(VLOOKUP($B87,'LOD 300 - SITE'!$B:BR,69,FALSE),"N/A")</f>
        <v>1</v>
      </c>
      <c r="FT87" s="86">
        <f>IFERROR(VLOOKUP($B87,'LOD 300 - SITE'!$B:BU,72,FALSE),"N/A")</f>
        <v>1</v>
      </c>
      <c r="FU87" s="86">
        <f>IFERROR(VLOOKUP($B87,'LOD 300 - SITE'!$B:BX,75,FALSE),"N/A")</f>
        <v>1</v>
      </c>
      <c r="FV87" s="86">
        <f>IFERROR(VLOOKUP($B87,'LOD 300 - SITE'!$B:CA,78,FALSE),"N/A")</f>
        <v>1</v>
      </c>
      <c r="FW87" s="87">
        <f>IFERROR(VLOOKUP($B87,'LOD 300 - SITE'!$B:CD,81,FALSE),"N/A")</f>
        <v>1</v>
      </c>
      <c r="FX87" s="108">
        <f>IFERROR(VLOOKUP($B87,'LOD 300 - SITE'!$B:CG,84,FALSE),"N/A")</f>
        <v>1</v>
      </c>
      <c r="FY87" s="108">
        <f>IFERROR(VLOOKUP($B87,'LOD 300 - SITE'!$B:CJ,87,FALSE),"N/A")</f>
        <v>1</v>
      </c>
      <c r="FZ87" s="108">
        <f>IFERROR(VLOOKUP($B87,'LOD 300 - SITE'!$B:CM,90,FALSE),"N/A")</f>
        <v>1</v>
      </c>
      <c r="GA87" s="108">
        <f>IFERROR(VLOOKUP($B87,'LOD 300 - SITE'!$B:CP,93,FALSE),"N/A")</f>
        <v>1</v>
      </c>
      <c r="GB87" s="108">
        <f>IFERROR(VLOOKUP($B87,'LOD 300 - SITE'!$B:CS,96,FALSE),"N/A")</f>
        <v>1</v>
      </c>
      <c r="GC87" s="109">
        <f>IFERROR(VLOOKUP($B87,'LOD 300 - SITE'!$B:CV,99,FALSE),"N/A")</f>
        <v>1</v>
      </c>
      <c r="GD87" s="87">
        <f>IFERROR(VLOOKUP($B87,'LOD 300 - SITE'!$B:CY,102,FALSE),"N/A")</f>
        <v>1</v>
      </c>
      <c r="GE87" s="87">
        <f>IFERROR(VLOOKUP($B87,'LOD 300 - SITE'!$B:DB,105,FALSE),"N/A")</f>
        <v>1</v>
      </c>
      <c r="GF87" s="87">
        <f>IFERROR(VLOOKUP($B87,'LOD 300 - SITE'!$B:DE,108,FALSE),"N/A")</f>
        <v>1</v>
      </c>
      <c r="GG87" s="87">
        <f>IFERROR(VLOOKUP($B87,'LOD 300 - SITE'!$B:DH,111,FALSE),"N/A")</f>
        <v>1</v>
      </c>
      <c r="GH87" s="87">
        <f>IFERROR(VLOOKUP($B87,'LOD 300 - SITE'!$B:DK,114,FALSE),"N/A")</f>
        <v>1</v>
      </c>
      <c r="GI87" s="87">
        <f>IFERROR(VLOOKUP($B87,'LOD 300 - SITE'!$B:DN,117,FALSE),"N/A")</f>
        <v>1</v>
      </c>
      <c r="GJ87" s="87">
        <f>IFERROR(VLOOKUP($B87,'LOD 300 - SITE'!$B:DQ,120,FALSE),"N/A")</f>
        <v>1</v>
      </c>
      <c r="GK87" s="87">
        <f>IFERROR(VLOOKUP($B87,'LOD 300 - SITE'!$B:DT,123,FALSE),"N/A")</f>
        <v>1</v>
      </c>
      <c r="GL87" s="87">
        <f>IFERROR(VLOOKUP($B87,'LOD 300 - SITE'!$B:DW,126,FALSE),"N/A")</f>
        <v>1</v>
      </c>
      <c r="GM87" s="110">
        <f>IFERROR(__xludf.DUMMYFUNCTION("IFERROR(
  MAX(FILTER(FB87:GL87, ISNUMBER(FB87:GL87))),
  GL87
)"),1.0)</f>
        <v>1</v>
      </c>
      <c r="GN87" s="135"/>
      <c r="GO87" s="135"/>
      <c r="GP87" s="135"/>
    </row>
    <row r="88" ht="15.0" customHeight="1" outlineLevel="1">
      <c r="A88" s="60">
        <v>91.0</v>
      </c>
      <c r="B88" s="140" t="s">
        <v>276</v>
      </c>
      <c r="C88" s="70" t="s">
        <v>277</v>
      </c>
      <c r="D88" s="71" t="s">
        <v>90</v>
      </c>
      <c r="E88" s="146" t="s">
        <v>273</v>
      </c>
      <c r="F88" s="13">
        <v>1119.0</v>
      </c>
      <c r="G88" s="147" t="s">
        <v>133</v>
      </c>
      <c r="H88" s="150">
        <v>0.0</v>
      </c>
      <c r="I88" s="74" t="str">
        <f>IFERROR(VLOOKUP(C85:C227,'R22 RELATÓRIO ACC'!B:F,5,FALSE),"NOT PUBLISHED")</f>
        <v>V18</v>
      </c>
      <c r="J88" s="74" t="str">
        <f>IFERROR(VLOOKUP(C85:C227,'R22 RELATÓRIO ACC'!B:P,15,FALSE),"NOT PUBLISHED")</f>
        <v>30/04/2026</v>
      </c>
      <c r="K88" s="141" t="str">
        <f>IFERROR(VLOOKUP(B85:B275,'RELATÓRIO ACC'!B:F,5,FALSE),"NOT PUBLISHED")</f>
        <v>V2</v>
      </c>
      <c r="L88" s="142" t="str">
        <f>IFERROR(VLOOKUP(B85:B275,'RELATÓRIO ACC'!B:P,15,FALSE),"NOT PUBLISHED")</f>
        <v>20/05/2026</v>
      </c>
      <c r="M88" s="76" t="str">
        <f>IF(OR($D88="UTLS",$D88="GUAR",$D88="STIR",$D88="PUMP",$D88="SITE"),
   VLOOKUP($B88,'LOD 300 - SITE'!B:M,12,FALSE),
   VLOOKUP($B88,'LOD 300 - ADMN'!B:M,12,FALSE)
)</f>
        <v>V3</v>
      </c>
      <c r="N88" s="77" t="str">
        <f>IF(OR($D88="UTLS",$D88="GUAR",$D88="STIR",$D88="PUMP",$D88="SITE"),
   VLOOKUP($B88,'LOD 300 - SITE'!B:N,13,FALSE),
   VLOOKUP($B88,'LOD 300 - ADMN'!B:N,13,FALSE)
)</f>
        <v>09/10/2025</v>
      </c>
      <c r="O88" s="114" t="str">
        <f>IF(OR($D88="UTLS",$D88="GUAR",$D88="STIR",$D88="PUMP",$D88="SITE"),
   VLOOKUP($B88,'LOD 300 - SITE'!B:O,14,FALSE),
   VLOOKUP($B88,'LOD 300 - ADMN'!B:O,14,FALSE)
)</f>
        <v>R22</v>
      </c>
      <c r="P88" s="79" t="str">
        <f>IF(OR($D88="C345",$D88="C12A",$D88="DATA"),
   VLOOKUP($B88,'LOD 300 - COLO3'!B:M,12,FALSE),"N/A")</f>
        <v>N/A</v>
      </c>
      <c r="Q88" s="76" t="str">
        <f>IF(OR($D88="C345",$D88="C12A",$D88="DATA"),
   VLOOKUP($B88,'LOD 300 - COLO3'!B:N,13,FALSE),"N/A")</f>
        <v>N/A</v>
      </c>
      <c r="R88" s="76" t="str">
        <f>IF(OR($D88="C345",$D88="C12A",$D88="DATA"),
   VLOOKUP($B88,'LOD 300 - COLO3'!B:O,14,FALSE),"N/A")</f>
        <v>N/A</v>
      </c>
      <c r="S88" s="79" t="str">
        <f>IF(OR($D88="C345",$D88="C12A",$D88="DATA"),
   VLOOKUP($B88,'LOD 300 - COLO4'!B:M,12,FALSE),"N/A")</f>
        <v>N/A</v>
      </c>
      <c r="T88" s="76" t="str">
        <f>IF(OR($D88="C345",$D88="C12A",$D88="DATA"),
   VLOOKUP($B88,'LOD 300 - COLO4'!B:T,13,FALSE),"N/A")</f>
        <v>N/A</v>
      </c>
      <c r="U88" s="76" t="str">
        <f>IF(OR($D88="C345",$D88="C12A",$D88="DATA"),
   VLOOKUP($B88,'LOD 300 - COLO4'!B:U,17,FALSE),"N/A")</f>
        <v>N/A</v>
      </c>
      <c r="V88" s="126"/>
      <c r="W88" s="144" t="str">
        <f>IFERROR(VLOOKUP($B88,'LOD 300 - ADMN'!$B:S,18,FALSE),"N/A")</f>
        <v>N/A</v>
      </c>
      <c r="X88" s="122" t="str">
        <f>IFERROR(VLOOKUP($B88,'LOD 300 - ADMN'!$B:V,21,FALSE),"N/A")</f>
        <v>N/A</v>
      </c>
      <c r="Y88" s="122" t="str">
        <f>IFERROR(VLOOKUP($B88,'LOD 300 - ADMN'!$B:Y,24,FALSE),"N/A")</f>
        <v>N/A</v>
      </c>
      <c r="Z88" s="122" t="str">
        <f>IFERROR(VLOOKUP($B88,'LOD 300 - ADMN'!$B:AB,27,FALSE),"N/A")</f>
        <v>N/A</v>
      </c>
      <c r="AA88" s="122" t="str">
        <f>IFERROR(VLOOKUP($B88,'LOD 300 - ADMN'!$B:AE,30,FALSE),"N/A")</f>
        <v>N/A</v>
      </c>
      <c r="AB88" s="145" t="str">
        <f>IFERROR(VLOOKUP($B88,'LOD 300 - ADMN'!$B:AH,33,FALSE),"N/A")</f>
        <v>N/A</v>
      </c>
      <c r="AC88" s="145" t="str">
        <f>IFERROR(VLOOKUP($B88,'LOD 300 - ADMN'!$B:AK,36,FALSE),"N/A")</f>
        <v>N/A</v>
      </c>
      <c r="AD88" s="122" t="str">
        <f>IFERROR(VLOOKUP($B88,'LOD 300 - ADMN'!$B:AN,39,FALSE),"N/A")</f>
        <v>N/A</v>
      </c>
      <c r="AE88" s="122" t="str">
        <f>IFERROR(VLOOKUP($B88,'LOD 300 - ADMN'!$B:AQ,42,FALSE),"N/A")</f>
        <v>N/A</v>
      </c>
      <c r="AF88" s="122" t="str">
        <f>IFERROR(VLOOKUP($B88,'LOD 300 - ADMN'!$B:AT,45,FALSE),"N/A")</f>
        <v>N/A</v>
      </c>
      <c r="AG88" s="122" t="str">
        <f>IFERROR(VLOOKUP($B88,'LOD 300 - ADMN'!$B:AW,48,FALSE),"N/A")</f>
        <v>N/A</v>
      </c>
      <c r="AH88" s="122" t="str">
        <f>IFERROR(VLOOKUP($B88,'LOD 300 - ADMN'!$B:AZ,51,FALSE),"N/A")</f>
        <v>N/A</v>
      </c>
      <c r="AI88" s="122" t="str">
        <f>IFERROR(VLOOKUP($B88,'LOD 300 - ADMN'!$B:BC,54,FALSE),"N/A")</f>
        <v>N/A</v>
      </c>
      <c r="AJ88" s="87" t="str">
        <f>IFERROR(VLOOKUP($B88,'LOD 300 - ADMN'!$B:BF,57,FALSE),"N/A")</f>
        <v>N/A</v>
      </c>
      <c r="AK88" s="87" t="str">
        <f>IFERROR(VLOOKUP($B88,'LOD 300 - ADMN'!$B:EP,60,FALSE),"N/A")</f>
        <v>N/A</v>
      </c>
      <c r="AL88" s="87" t="str">
        <f>IFERROR(VLOOKUP($B88,'LOD 300 - ADMN'!$B:EQ,63,FALSE),"N/A")</f>
        <v>N/A</v>
      </c>
      <c r="AM88" s="87" t="str">
        <f>IFERROR(VLOOKUP($B88,'LOD 300 - ADMN'!$B:BO,66,FALSE),"N/A")</f>
        <v>N/A</v>
      </c>
      <c r="AN88" s="87" t="str">
        <f>IFERROR(VLOOKUP($B88,'LOD 300 - ADMN'!$B:BR,69,FALSE),"N/A")</f>
        <v>N/A</v>
      </c>
      <c r="AO88" s="87" t="str">
        <f>IFERROR(VLOOKUP($B88,'LOD 300 - ADMN'!$B:BU,72,FALSE),"N/A")</f>
        <v>N/A</v>
      </c>
      <c r="AP88" s="87" t="str">
        <f>IFERROR(VLOOKUP($B88,'LOD 300 - ADMN'!$B:BX,75,FALSE),"N/A")</f>
        <v>N/A</v>
      </c>
      <c r="AQ88" s="87" t="str">
        <f>IFERROR(VLOOKUP($B88,'LOD 300 - ADMN'!$B:CA,78,FALSE),"N/A")</f>
        <v>N/A</v>
      </c>
      <c r="AR88" s="87" t="str">
        <f>IFERROR(VLOOKUP($B88,'LOD 300 - ADMN'!$B:CD,81,FALSE),"N/A")</f>
        <v>N/A</v>
      </c>
      <c r="AS88" s="87" t="str">
        <f>IFERROR(VLOOKUP($B88,'LOD 300 - ADMN'!$B:CG,84,FALSE),"N/A")</f>
        <v>N/A</v>
      </c>
      <c r="AT88" s="87" t="str">
        <f>IFERROR(VLOOKUP($B88,'LOD 300 - ADMN'!$B:CJ,87,FALSE),"N/A")</f>
        <v>N/A</v>
      </c>
      <c r="AU88" s="88" t="str">
        <f>IFERROR(VLOOKUP($B88,'LOD 300 - ADMN'!$B:CM,90,FALSE),"N/A")</f>
        <v>N/A</v>
      </c>
      <c r="AV88" s="88" t="str">
        <f>IFERROR(VLOOKUP($B88,'LOD 300 - ADMN'!$B:CP,93,FALSE),"N/A")</f>
        <v>N/A</v>
      </c>
      <c r="AW88" s="88" t="str">
        <f>IFERROR(VLOOKUP($B88,'LOD 300 - ADMN'!$B:CS,96,FALSE),"N/A")</f>
        <v>N/A</v>
      </c>
      <c r="AX88" s="88" t="str">
        <f>IFERROR(VLOOKUP($B88,'LOD 300 - ADMN'!$B:CV,99,FALSE),"N/A")</f>
        <v>N/A</v>
      </c>
      <c r="AY88" s="88" t="str">
        <f>IFERROR(VLOOKUP($B88,'LOD 300 - ADMN'!$B:CY,102,FALSE),"N/A")</f>
        <v>N/A</v>
      </c>
      <c r="AZ88" s="88" t="str">
        <f>IFERROR(VLOOKUP($B88,'LOD 300 - ADMN'!$B:DB,105,FALSE),"N/A")</f>
        <v>N/A</v>
      </c>
      <c r="BA88" s="87" t="str">
        <f>IFERROR(VLOOKUP($B88,'LOD 300 - ADMN'!$B:DE,108,FALSE),"N/A")</f>
        <v>N/A</v>
      </c>
      <c r="BB88" s="87" t="str">
        <f>IFERROR(VLOOKUP($B88,'LOD 300 - ADMN'!$B:DH,111,FALSE),"N/A")</f>
        <v>N/A</v>
      </c>
      <c r="BC88" s="87" t="str">
        <f>IFERROR(VLOOKUP($B88,'LOD 300 - ADMN'!$B:DK,114,FALSE),"N/A")</f>
        <v>N/A</v>
      </c>
      <c r="BD88" s="87" t="str">
        <f>IFERROR(VLOOKUP($B88,'LOD 300 - ADMN'!$B:DN,117,FALSE),"N/A")</f>
        <v>N/A</v>
      </c>
      <c r="BE88" s="87" t="str">
        <f>IFERROR(VLOOKUP($B88,'LOD 300 - ADMN'!$B:DQ,120,FALSE),"N/A")</f>
        <v>N/A</v>
      </c>
      <c r="BF88" s="87" t="str">
        <f>IFERROR(VLOOKUP($B88,'LOD 300 - ADMN'!$B:DT,123,FALSE),"N/A")</f>
        <v>N/A</v>
      </c>
      <c r="BG88" s="87" t="str">
        <f>IFERROR(VLOOKUP($B88,'LOD 300 - ADMN'!$B:DW,126,FALSE),"N/A")</f>
        <v>N/A</v>
      </c>
      <c r="BH88" s="87" t="str">
        <f>IFERROR(VLOOKUP($B88,'LOD 300 - ADMN'!$B:DZ,129,FALSE),"N/A")</f>
        <v>N/A</v>
      </c>
      <c r="BI88" s="87" t="str">
        <f>IFERROR(VLOOKUP($B88,'LOD 300 - ADMN'!$B:EC,132,FALSE),"N/A")</f>
        <v>N/A</v>
      </c>
      <c r="BJ88" s="90" t="str">
        <f>IFERROR(__xludf.DUMMYFUNCTION("IFERROR(
  MAX(FILTER(X88:BI88, ISNUMBER(X88:BI88))),
  BI88
)"),"N/A")</f>
        <v>N/A</v>
      </c>
      <c r="BK88" s="91" t="str">
        <f>IFERROR(VLOOKUP($B88,'LOD 300 - COLO1'!$B:S,18,FALSE),"N/A")</f>
        <v>N/A</v>
      </c>
      <c r="BL88" s="92" t="str">
        <f>IFERROR(VLOOKUP($B88,'LOD 300 - COLO1'!$B:V,21,FALSE),"N/A")</f>
        <v>N/A</v>
      </c>
      <c r="BM88" s="92" t="str">
        <f>IFERROR(VLOOKUP($B88,'LOD 300 - COLO1'!$B:Y,24,FALSE),"N/A")</f>
        <v>N/A</v>
      </c>
      <c r="BN88" s="92" t="str">
        <f>IFERROR(VLOOKUP($B88,'LOD 300 - COLO1'!$B:AB,27,FALSE),"N/A")</f>
        <v>N/A</v>
      </c>
      <c r="BO88" s="92" t="str">
        <f>IFERROR(VLOOKUP($B88,'LOD 300 - COLO1'!$B:AE,30,FALSE),"N/A")</f>
        <v>N/A</v>
      </c>
      <c r="BP88" s="92" t="str">
        <f>IFERROR(VLOOKUP($B88,'LOD 300 - COLO1'!$B:AH,33,FALSE),"N/A")</f>
        <v>N/A</v>
      </c>
      <c r="BQ88" s="92" t="str">
        <f>IFERROR(VLOOKUP($B88,'LOD 300 - COLO1'!$B:AK,36,FALSE),"N/A")</f>
        <v>N/A</v>
      </c>
      <c r="BR88" s="92" t="str">
        <f>IFERROR(VLOOKUP($B88,'LOD 300 - COLO1'!$B:AN,39,FALSE),"N/A")</f>
        <v>N/A</v>
      </c>
      <c r="BS88" s="92" t="str">
        <f>IFERROR(VLOOKUP($B88,'LOD 300 - COLO1'!$B:AQ,42,FALSE),"N/A")</f>
        <v>N/A</v>
      </c>
      <c r="BT88" s="92" t="str">
        <f>IFERROR(VLOOKUP($B88,'LOD 300 - COLO1'!$B:AT,45,FALSE),"N/A")</f>
        <v>N/A</v>
      </c>
      <c r="BU88" s="92" t="str">
        <f>IFERROR(VLOOKUP($B88,'LOD 300 - COLO1'!$B:AW,48,FALSE),"N/A")</f>
        <v>N/A</v>
      </c>
      <c r="BV88" s="92" t="str">
        <f>IFERROR(VLOOKUP($B88,'LOD 300 - COLO1'!$B:AZ,51,FALSE),"N/A")</f>
        <v>N/A</v>
      </c>
      <c r="BW88" s="92" t="str">
        <f>IFERROR(VLOOKUP($B88,'LOD 300 - COLO1'!$B:BC,54,FALSE),"N/A")</f>
        <v>N/A</v>
      </c>
      <c r="BX88" s="94" t="str">
        <f>IFERROR(VLOOKUP($B88,'LOD 300 - COLO1'!$B:BF,57,FALSE),"N/A")</f>
        <v>N/A</v>
      </c>
      <c r="BY88" s="94" t="str">
        <f>IFERROR(VLOOKUP($B88,'LOD 300 - COLO1'!$B:BI,60,FALSE),"N/A")</f>
        <v>N/A</v>
      </c>
      <c r="BZ88" s="95" t="str">
        <f>IFERROR(VLOOKUP($B88,'LOD 300 - COLO1'!$B:BL,63,FALSE),"N/A")</f>
        <v>N/A</v>
      </c>
      <c r="CA88" s="86" t="str">
        <f>IFERROR(VLOOKUP($B88,'LOD 300 - COLO1'!$B:BO,66,FALSE),"N/A")</f>
        <v>N/A</v>
      </c>
      <c r="CB88" s="86" t="str">
        <f>IFERROR(VLOOKUP($B88,'LOD 300 - COLO1'!$B:BR,69,FALSE),"N/A")</f>
        <v>N/A</v>
      </c>
      <c r="CC88" s="86" t="str">
        <f>IFERROR(VLOOKUP($B88,'LOD 300 - COLO1'!$B:BU,72,FALSE),"N/A")</f>
        <v>N/A</v>
      </c>
      <c r="CD88" s="86" t="str">
        <f>IFERROR(VLOOKUP($B88,'LOD 300 - COLO1'!$B:BX,75,FALSE),"N/A")</f>
        <v>N/A</v>
      </c>
      <c r="CE88" s="86" t="str">
        <f>IFERROR(VLOOKUP($B88,'LOD 300 - COLO1'!$B:CA,78,FALSE),"N/A")</f>
        <v>N/A</v>
      </c>
      <c r="CF88" s="87" t="str">
        <f>IFERROR(VLOOKUP($B88,'LOD 300 - COLO1'!$B:CD,81,FALSE),"N/A")</f>
        <v>N/A</v>
      </c>
      <c r="CG88" s="86" t="str">
        <f>IFERROR(VLOOKUP($B88,'LOD 300 - COLO1'!$B:CG,84,FALSE),"N/A")</f>
        <v>N/A</v>
      </c>
      <c r="CH88" s="87" t="str">
        <f>IFERROR(VLOOKUP($B88,'LOD 300 - COLO1'!$B:CJ,87,FALSE),"N/A")</f>
        <v>N/A</v>
      </c>
      <c r="CI88" s="88" t="str">
        <f>IFERROR(VLOOKUP($B88,'LOD 300 - COLO1'!$B:CM,90,FALSE),"N/A")</f>
        <v>N/A</v>
      </c>
      <c r="CJ88" s="88" t="str">
        <f>IFERROR(VLOOKUP($B88,'LOD 300 - COLO1'!$B:CP,93,FALSE),"N/A")</f>
        <v>N/A</v>
      </c>
      <c r="CK88" s="88" t="str">
        <f>IFERROR(VLOOKUP($B88,'LOD 300 - COLO1'!$B:CS,96,FALSE),"N/A")</f>
        <v>N/A</v>
      </c>
      <c r="CL88" s="88" t="str">
        <f>IFERROR(VLOOKUP($B88,'LOD 300 - COLO1'!$B:CV,99,FALSE),"N/A")</f>
        <v>N/A</v>
      </c>
      <c r="CM88" s="88" t="str">
        <f>IFERROR(VLOOKUP($B88,'LOD 300 - COLO1'!$B:CY,102,FALSE),"N/A")</f>
        <v>N/A</v>
      </c>
      <c r="CN88" s="89" t="str">
        <f>IFERROR(VLOOKUP($B88,'LOD 300 - COLO1'!$B:DB,105,FALSE),"N/A")</f>
        <v>N/A</v>
      </c>
      <c r="CO88" s="87" t="str">
        <f>IFERROR(VLOOKUP($B88,'LOD 300 - COLO1'!$B:EE,108,FALSE),"N/A")</f>
        <v>N/A</v>
      </c>
      <c r="CP88" s="87" t="str">
        <f>IFERROR(VLOOKUP($B88,'LOD 300 - COLO1'!$B:EH,111,FALSE),"N/A")</f>
        <v>N/A</v>
      </c>
      <c r="CQ88" s="87" t="str">
        <f>IFERROR(VLOOKUP($B88,'LOD 300 - COLO1'!$B:EK,114,FALSE),"N/A")</f>
        <v>N/A</v>
      </c>
      <c r="CR88" s="87" t="str">
        <f>IFERROR(VLOOKUP($B88,'LOD 300 - COLO1'!$B:EN,117,FALSE),"N/A")</f>
        <v>N/A</v>
      </c>
      <c r="CS88" s="87" t="str">
        <f>IFERROR(VLOOKUP($B88,'LOD 300 - COLO1'!$B:EQ,120,FALSE),"N/A")</f>
        <v>N/A</v>
      </c>
      <c r="CT88" s="87" t="str">
        <f>IFERROR(VLOOKUP($B88,'LOD 300 - COLO1'!$B:ET,123,FALSE),"N/A")</f>
        <v>N/A</v>
      </c>
      <c r="CU88" s="87" t="str">
        <f>IFERROR(VLOOKUP($B88,'LOD 300 - COLO1'!$B:EW,126,FALSE),"N/A")</f>
        <v>N/A</v>
      </c>
      <c r="CV88" s="87" t="str">
        <f>IFERROR(VLOOKUP($B88,'LOD 300 - COLO1'!$B:EZ,129,FALSE),"N/A")</f>
        <v>N/A</v>
      </c>
      <c r="CW88" s="87" t="str">
        <f>IFERROR(VLOOKUP($B88,'LOD 300 - COLO1'!$B:FC,132,FALSE),"N/A")</f>
        <v>N/A</v>
      </c>
      <c r="CX88" s="96" t="str">
        <f>IFERROR(__xludf.DUMMYFUNCTION("IFERROR(
  MAX(FILTER(BK88:CW88, ISNUMBER(BK88:CW88))),
  CW88
)"),"N/A")</f>
        <v>N/A</v>
      </c>
      <c r="CY88" s="104" t="str">
        <f>IFERROR(VLOOKUP($B88,'LOD 300 - COLO2'!$B:S,18,FALSE),"N/A")</f>
        <v>N/A</v>
      </c>
      <c r="CZ88" s="117" t="str">
        <f>IFERROR(VLOOKUP($B88,'LOD 300 - COLO2'!$B:V,21,FALSE),"N/A")</f>
        <v>N/A</v>
      </c>
      <c r="DA88" s="117" t="str">
        <f>IFERROR(VLOOKUP($B88,'LOD 300 - COLO2'!$B:Y,24,FALSE),"N/A")</f>
        <v>N/A</v>
      </c>
      <c r="DB88" s="117" t="str">
        <f>IFERROR(VLOOKUP($B88,'LOD 300 - COLO2'!$B:AB,27,FALSE),"N/A")</f>
        <v>N/A</v>
      </c>
      <c r="DC88" s="92" t="str">
        <f>IFERROR(VLOOKUP($B88,'LOD 300 - COLO2'!$B:AE,30,FALSE),"N/A")</f>
        <v>N/A</v>
      </c>
      <c r="DD88" s="120" t="str">
        <f>IFERROR(VLOOKUP($B88,'LOD 300 - COLO2'!$B:AH,33,FALSE),"N/A")</f>
        <v>N/A</v>
      </c>
      <c r="DE88" s="117" t="str">
        <f>IFERROR(VLOOKUP($B88,'LOD 300 - COLO2'!$B:AK,36,FALSE),"N/A")</f>
        <v>N/A</v>
      </c>
      <c r="DF88" s="117" t="str">
        <f>IFERROR(VLOOKUP($B88,'LOD 300 - COLO2'!$B:AN,39,FALSE),"N/A")</f>
        <v>N/A</v>
      </c>
      <c r="DG88" s="119" t="str">
        <f>IFERROR(VLOOKUP($B88,'LOD 300 - COLO2'!$B:AQ,42,FALSE),"N/A")</f>
        <v>N/A</v>
      </c>
      <c r="DH88" s="87" t="str">
        <f>IFERROR(VLOOKUP($B88,'LOD 300 - COLO2'!$B:AT,45,FALSE),"N/A")</f>
        <v>N/A</v>
      </c>
      <c r="DI88" s="94" t="str">
        <f>IFERROR(VLOOKUP($B88,'LOD 300 - COLO2'!$B:AW,48,FALSE),"N/A")</f>
        <v>N/A</v>
      </c>
      <c r="DJ88" s="95" t="str">
        <f>IFERROR(VLOOKUP($B88,'LOD 300 - COLO2'!$B:AZ,51,FALSE),"N/A")</f>
        <v>N/A</v>
      </c>
      <c r="DK88" s="86" t="str">
        <f>IFERROR(VLOOKUP($B88,'LOD 300 - COLO2'!$B:BC,54,FALSE),"N/A")</f>
        <v>N/A</v>
      </c>
      <c r="DL88" s="86" t="str">
        <f>IFERROR(VLOOKUP($B88,'LOD 300 - COLO2'!$B:BF,57,FALSE),"N/A")</f>
        <v>N/A</v>
      </c>
      <c r="DM88" s="86" t="str">
        <f>IFERROR(VLOOKUP($B88,'LOD 300 - COLO2'!$B:BI,60,FALSE),"N/A")</f>
        <v>N/A</v>
      </c>
      <c r="DN88" s="86" t="str">
        <f>IFERROR(VLOOKUP($B88,'LOD 300 - COLO2'!$B:BL,63,FALSE),"N/A")</f>
        <v>N/A</v>
      </c>
      <c r="DO88" s="86" t="str">
        <f>IFERROR(VLOOKUP($B88,'LOD 300 - COLO2'!$B:BO,66,FALSE),"N/A")</f>
        <v>N/A</v>
      </c>
      <c r="DP88" s="87" t="str">
        <f>IFERROR(VLOOKUP($B88,'LOD 300 - COLO2'!$B:BR,69,FALSE),"N/A")</f>
        <v>N/A</v>
      </c>
      <c r="DQ88" s="87" t="str">
        <f>IFERROR(VLOOKUP($B88,'LOD 300 - COLO2'!$B:BU,72,FALSE),"N/A")</f>
        <v>N/A</v>
      </c>
      <c r="DR88" s="87" t="str">
        <f>IFERROR(VLOOKUP($B88,'LOD 300 - COLO2'!$B:BX,75,FALSE),"N/A")</f>
        <v>N/A</v>
      </c>
      <c r="DS88" s="98" t="str">
        <f>IFERROR(VLOOKUP($B88,'LOD 300 - COLO2'!$B:CA,78,FALSE),"N/A")</f>
        <v>N/A</v>
      </c>
      <c r="DT88" s="98" t="str">
        <f>IFERROR(VLOOKUP($B88,'LOD 300 - COLO2'!$B:CD,81,FALSE),"N/A")</f>
        <v>N/A</v>
      </c>
      <c r="DU88" s="98" t="str">
        <f>IFERROR(VLOOKUP($B88,'LOD 300 - COLO2'!$B:CG,84,FALSE),"N/A")</f>
        <v>N/A</v>
      </c>
      <c r="DV88" s="98" t="str">
        <f>IFERROR(VLOOKUP($B88,'LOD 300 - COLO2'!$B:CJ,87,FALSE),"N/A")</f>
        <v>N/A</v>
      </c>
      <c r="DW88" s="98" t="str">
        <f>IFERROR(VLOOKUP($B88,'LOD 300 - COLO2'!$B:CM,90,FALSE),"N/A")</f>
        <v>N/A</v>
      </c>
      <c r="DX88" s="98" t="str">
        <f>IFERROR(VLOOKUP($B88,'LOD 300 - COLO2'!$B:CP,93,FALSE),"N/A")</f>
        <v>N/A</v>
      </c>
      <c r="DY88" s="87" t="str">
        <f>IFERROR(VLOOKUP($B88,'LOD 300 - COLO2'!$B:CS,96,FALSE),"N/A")</f>
        <v>N/A</v>
      </c>
      <c r="DZ88" s="87" t="str">
        <f>IFERROR(VLOOKUP($B88,'LOD 300 - COLO2'!$B:CV,99,FALSE),"N/A")</f>
        <v>N/A</v>
      </c>
      <c r="EA88" s="87" t="str">
        <f>IFERROR(VLOOKUP($B88,'LOD 300 - COLO2'!$B:DB,105,FALSE),"N/A")</f>
        <v>N/A</v>
      </c>
      <c r="EB88" s="87" t="str">
        <f>IFERROR(VLOOKUP($B88,'LOD 300 - COLO2'!$B:DB,105,FALSE),"N/A")</f>
        <v>N/A</v>
      </c>
      <c r="EC88" s="87" t="str">
        <f>IFERROR(VLOOKUP($B88,'LOD 300 - COLO2'!$B:DE,108,FALSE),"N/A")</f>
        <v>N/A</v>
      </c>
      <c r="ED88" s="87" t="str">
        <f>IFERROR(VLOOKUP($B88,'LOD 300 - COLO2'!$B:DH,111,FALSE),"N/A")</f>
        <v>N/A</v>
      </c>
      <c r="EE88" s="87" t="str">
        <f>IFERROR(VLOOKUP($B88,'LOD 300 - COLO2'!$B:DK,114,FALSE),"N/A")</f>
        <v>N/A</v>
      </c>
      <c r="EF88" s="87" t="str">
        <f>IFERROR(VLOOKUP($B88,'LOD 300 - COLO2'!$B:DN,117,FALSE),"N/A")</f>
        <v>N/A</v>
      </c>
      <c r="EG88" s="87" t="str">
        <f>IFERROR(VLOOKUP($B88,'LOD 300 - COLO2'!$B:DQ,120,FALSE),"N/A")</f>
        <v>N/A</v>
      </c>
      <c r="EH88" s="99" t="str">
        <f>IFERROR(__xludf.DUMMYFUNCTION("IFERROR(
  MAX(FILTER(CZ88:EG88, ISNUMBER(CZ88:EG88))),
  EG88
)"),"N/A")</f>
        <v>N/A</v>
      </c>
      <c r="EI88" s="100" t="str">
        <f>IFERROR(VLOOKUP($B88,'LOD 300 - COLO3'!$B:R,17,FALSE),"N/A")</f>
        <v>N/A</v>
      </c>
      <c r="EJ88" s="127" t="str">
        <f>IFERROR(VLOOKUP($B88,'LOD 300 - COLO3'!$B:U,20,FALSE),"N/A")</f>
        <v>N/A</v>
      </c>
      <c r="EK88" s="127" t="str">
        <f>IFERROR(VLOOKUP($B88,'LOD 300 - COLO3'!$B:X,23,FALSE),"N/A")</f>
        <v>N/A</v>
      </c>
      <c r="EL88" s="127" t="str">
        <f>IFERROR(VLOOKUP($B88,'LOD 300 - COLO3'!$B:AA,26,FALSE),"N/A")</f>
        <v>N/A</v>
      </c>
      <c r="EM88" s="127" t="str">
        <f>IFERROR(VLOOKUP($B88,'LOD 300 - COLO3'!$B:AD,29,FALSE),"N/A")</f>
        <v>N/A</v>
      </c>
      <c r="EN88" s="127" t="str">
        <f>IFERROR(VLOOKUP($B88,'LOD 300 - COLO3'!$B:AG,32,FALSE),"N/A")</f>
        <v>N/A</v>
      </c>
      <c r="EO88" s="127" t="str">
        <f>IFERROR(VLOOKUP($B88,'LOD 300 - COLO3'!$B:AJ,35,FALSE),"N/A")</f>
        <v>N/A</v>
      </c>
      <c r="EP88" s="100" t="str">
        <f>IFERROR(VLOOKUP($B88,'LOD 300 - COLO3'!$B:AM,38,FALSE),"N/A")</f>
        <v>N/A</v>
      </c>
      <c r="EQ88" s="100" t="str">
        <f>IFERROR(VLOOKUP($B88,'LOD 300 - COLO3'!$B:AP,41,FALSE),"N/A")</f>
        <v>N/A</v>
      </c>
      <c r="ER88" s="100" t="str">
        <f>IFERROR(VLOOKUP($B88,'LOD 300 - COLO3'!$B:AS,44,FALSE),"N/A")</f>
        <v>N/A</v>
      </c>
      <c r="ES88" s="100" t="str">
        <f>IFERROR(VLOOKUP($B88,'LOD 300 - COLO3'!$B:AV,47,FALSE),"N/A")</f>
        <v>N/A</v>
      </c>
      <c r="ET88" s="100" t="str">
        <f>IFERROR(VLOOKUP($B88,'LOD 300 - COLO3'!$B:AY,50,FALSE),"N/A")</f>
        <v>N/A</v>
      </c>
      <c r="EU88" s="100" t="str">
        <f>IFERROR(VLOOKUP($B88,'LOD 300 - COLO3'!$B:BB,53,FALSE),"N/A")</f>
        <v>N/A</v>
      </c>
      <c r="EV88" s="100" t="str">
        <f>IFERROR(VLOOKUP($B88,'LOD 300 - COLO3'!$B:BE,56,FALSE),"N/A")</f>
        <v>N/A</v>
      </c>
      <c r="EW88" s="100" t="str">
        <f>IFERROR(VLOOKUP($B88,'LOD 300 - COLO3'!$B:BL,59,FALSE),"N/A")</f>
        <v>N/A</v>
      </c>
      <c r="EX88" s="100" t="str">
        <f>IFERROR(VLOOKUP($B88,'LOD 300 - COLO3'!$B:BO,62,FALSE),"N/A")</f>
        <v>N/A</v>
      </c>
      <c r="EY88" s="103" t="str">
        <f>IFERROR(__xludf.DUMMYFUNCTION("IFERROR(
  MAX(FILTER(EI88:EX88, ISNUMBER(EI88:EX88))),
  EX88
)"),"N/A")</f>
        <v>N/A</v>
      </c>
      <c r="EZ88" s="104" t="str">
        <f>IFERROR(VLOOKUP($B88,'LOD 300 - COLO4'!$B:BT,17,FALSE),"N/A")</f>
        <v>N/A</v>
      </c>
      <c r="FA88" s="103" t="str">
        <f>IFERROR(__xludf.DUMMYFUNCTION("IFERROR(
  MAX(FILTER(EZ88, ISNUMBER(EZ88))),
  EZ88
)"),"N/A")</f>
        <v>N/A</v>
      </c>
      <c r="FB88" s="121" t="str">
        <f>IFERROR(VLOOKUP($B88,'LOD 300 - SITE'!$B:S,18,FALSE),"N/A")</f>
        <v>NOT PUBLISHED</v>
      </c>
      <c r="FC88" s="122" t="str">
        <f>IFERROR(VLOOKUP($B88,'LOD 300 - SITE'!$B:V,21,FALSE),"N/A")</f>
        <v>NOT PUBLISHED</v>
      </c>
      <c r="FD88" s="122" t="str">
        <f>IFERROR(VLOOKUP($B88,'LOD 300 - SITE'!$B:Y,24,FALSE),"N/A")</f>
        <v>NOT PUBLISHED</v>
      </c>
      <c r="FE88" s="122">
        <f>IFERROR(VLOOKUP($B88,'LOD 300 - SITE'!$B:AB,27,FALSE),"N/A")</f>
        <v>0.58</v>
      </c>
      <c r="FF88" s="122" t="str">
        <f>IFERROR(VLOOKUP($B88,'LOD 300 - SITE'!$B:AE,30,FALSE),"N/A")</f>
        <v>OUTDATED MODEL</v>
      </c>
      <c r="FG88" s="122">
        <f>IFERROR(VLOOKUP($B88,'LOD 300 - SITE'!$B:AH,33,FALSE),"N/A")</f>
        <v>0.94</v>
      </c>
      <c r="FH88" s="122">
        <f>IFERROR(VLOOKUP($B88,'LOD 300 - SITE'!$B:AK,36,FALSE),"N/A")</f>
        <v>1</v>
      </c>
      <c r="FI88" s="122">
        <f>IFERROR(VLOOKUP($B88,'LOD 300 - SITE'!$B:AN,39,FALSE),"N/A")</f>
        <v>1</v>
      </c>
      <c r="FJ88" s="122">
        <f>IFERROR(VLOOKUP($B88,'LOD 300 - SITE'!$B:AQ,42,FALSE),"N/A")</f>
        <v>1</v>
      </c>
      <c r="FK88" s="122">
        <f>IFERROR(VLOOKUP($B88,'LOD 300 - SITE'!$B:AT,45,FALSE),"N/A")</f>
        <v>1</v>
      </c>
      <c r="FL88" s="123">
        <f>IFERROR(VLOOKUP($B88,'LOD 300 - SITE'!$B:AW,48,FALSE),"N/A")</f>
        <v>1</v>
      </c>
      <c r="FM88" s="87">
        <f>IFERROR(VLOOKUP($B88,'LOD 300 - SITE'!$B:AZ,51,FALSE),"N/A")</f>
        <v>1</v>
      </c>
      <c r="FN88" s="94">
        <f>IFERROR(VLOOKUP($B88,'LOD 300 - SITE'!$B:BC,54,FALSE),"N/A")</f>
        <v>1</v>
      </c>
      <c r="FO88" s="95">
        <f>IFERROR(VLOOKUP($B88,'LOD 300 - SITE'!$B:BF,57,FALSE),"N/A")</f>
        <v>1</v>
      </c>
      <c r="FP88" s="86">
        <f>IFERROR(VLOOKUP($B88,'LOD 300 - SITE'!$B:BI,60,FALSE),"N/A")</f>
        <v>1</v>
      </c>
      <c r="FQ88" s="86">
        <f>IFERROR(VLOOKUP($B88,'LOD 300 - SITE'!$B:BL,63,FALSE),"N/A")</f>
        <v>1</v>
      </c>
      <c r="FR88" s="86">
        <f>IFERROR(VLOOKUP($B88,'LOD 300 - SITE'!$B:BO,66,FALSE),"N/A")</f>
        <v>1</v>
      </c>
      <c r="FS88" s="86">
        <f>IFERROR(VLOOKUP($B88,'LOD 300 - SITE'!$B:BR,69,FALSE),"N/A")</f>
        <v>1</v>
      </c>
      <c r="FT88" s="86">
        <f>IFERROR(VLOOKUP($B88,'LOD 300 - SITE'!$B:BU,72,FALSE),"N/A")</f>
        <v>1</v>
      </c>
      <c r="FU88" s="86">
        <f>IFERROR(VLOOKUP($B88,'LOD 300 - SITE'!$B:BX,75,FALSE),"N/A")</f>
        <v>1</v>
      </c>
      <c r="FV88" s="86">
        <f>IFERROR(VLOOKUP($B88,'LOD 300 - SITE'!$B:CA,78,FALSE),"N/A")</f>
        <v>1</v>
      </c>
      <c r="FW88" s="87">
        <f>IFERROR(VLOOKUP($B88,'LOD 300 - SITE'!$B:CD,81,FALSE),"N/A")</f>
        <v>1</v>
      </c>
      <c r="FX88" s="108">
        <f>IFERROR(VLOOKUP($B88,'LOD 300 - SITE'!$B:CG,84,FALSE),"N/A")</f>
        <v>1</v>
      </c>
      <c r="FY88" s="108">
        <f>IFERROR(VLOOKUP($B88,'LOD 300 - SITE'!$B:CJ,87,FALSE),"N/A")</f>
        <v>1</v>
      </c>
      <c r="FZ88" s="108">
        <f>IFERROR(VLOOKUP($B88,'LOD 300 - SITE'!$B:CM,90,FALSE),"N/A")</f>
        <v>1</v>
      </c>
      <c r="GA88" s="108">
        <f>IFERROR(VLOOKUP($B88,'LOD 300 - SITE'!$B:CP,93,FALSE),"N/A")</f>
        <v>1</v>
      </c>
      <c r="GB88" s="108">
        <f>IFERROR(VLOOKUP($B88,'LOD 300 - SITE'!$B:CS,96,FALSE),"N/A")</f>
        <v>1</v>
      </c>
      <c r="GC88" s="109">
        <f>IFERROR(VLOOKUP($B88,'LOD 300 - SITE'!$B:CV,99,FALSE),"N/A")</f>
        <v>1</v>
      </c>
      <c r="GD88" s="87">
        <f>IFERROR(VLOOKUP($B88,'LOD 300 - SITE'!$B:CY,102,FALSE),"N/A")</f>
        <v>1</v>
      </c>
      <c r="GE88" s="87">
        <f>IFERROR(VLOOKUP($B88,'LOD 300 - SITE'!$B:DB,105,FALSE),"N/A")</f>
        <v>1</v>
      </c>
      <c r="GF88" s="87">
        <f>IFERROR(VLOOKUP($B88,'LOD 300 - SITE'!$B:DE,108,FALSE),"N/A")</f>
        <v>1</v>
      </c>
      <c r="GG88" s="87">
        <f>IFERROR(VLOOKUP($B88,'LOD 300 - SITE'!$B:DH,111,FALSE),"N/A")</f>
        <v>1</v>
      </c>
      <c r="GH88" s="87">
        <f>IFERROR(VLOOKUP($B88,'LOD 300 - SITE'!$B:DK,114,FALSE),"N/A")</f>
        <v>1</v>
      </c>
      <c r="GI88" s="87">
        <f>IFERROR(VLOOKUP($B88,'LOD 300 - SITE'!$B:DN,117,FALSE),"N/A")</f>
        <v>1</v>
      </c>
      <c r="GJ88" s="87">
        <f>IFERROR(VLOOKUP($B88,'LOD 300 - SITE'!$B:DQ,120,FALSE),"N/A")</f>
        <v>1</v>
      </c>
      <c r="GK88" s="87">
        <f>IFERROR(VLOOKUP($B88,'LOD 300 - SITE'!$B:DT,123,FALSE),"N/A")</f>
        <v>1</v>
      </c>
      <c r="GL88" s="87">
        <f>IFERROR(VLOOKUP($B88,'LOD 300 - SITE'!$B:DW,126,FALSE),"N/A")</f>
        <v>1</v>
      </c>
      <c r="GM88" s="110">
        <f>IFERROR(__xludf.DUMMYFUNCTION("IFERROR(
  MAX(FILTER(FB88:GL88, ISNUMBER(FB88:GL88))),
  GL88
)"),1.0)</f>
        <v>1</v>
      </c>
      <c r="GN88" s="68"/>
      <c r="GO88" s="68"/>
      <c r="GP88" s="68"/>
    </row>
    <row r="89" ht="15.0" customHeight="1" outlineLevel="1">
      <c r="A89" s="60">
        <v>92.0</v>
      </c>
      <c r="B89" s="140" t="s">
        <v>278</v>
      </c>
      <c r="C89" s="70" t="s">
        <v>279</v>
      </c>
      <c r="D89" s="71" t="s">
        <v>90</v>
      </c>
      <c r="E89" s="146" t="s">
        <v>115</v>
      </c>
      <c r="F89" s="149">
        <v>0.0</v>
      </c>
      <c r="G89" s="139" t="s">
        <v>115</v>
      </c>
      <c r="H89" s="150">
        <v>0.0</v>
      </c>
      <c r="I89" s="74" t="str">
        <f>IFERROR(VLOOKUP(C86:C228,'R22 RELATÓRIO ACC'!B:F,5,FALSE),"NOT PUBLISHED")</f>
        <v>NOT PUBLISHED</v>
      </c>
      <c r="J89" s="74" t="str">
        <f>IFERROR(VLOOKUP(C86:C228,'R22 RELATÓRIO ACC'!B:P,15,FALSE),"NOT PUBLISHED")</f>
        <v>NOT PUBLISHED</v>
      </c>
      <c r="K89" s="141" t="str">
        <f>IFERROR(VLOOKUP(B86:B276,'RELATÓRIO ACC'!B:F,5,FALSE),"NOT PUBLISHED")</f>
        <v>NOT PUBLISHED</v>
      </c>
      <c r="L89" s="142" t="str">
        <f>IFERROR(VLOOKUP(B86:B276,'RELATÓRIO ACC'!B:P,15,FALSE),"NOT PUBLISHED")</f>
        <v>NOT PUBLISHED</v>
      </c>
      <c r="M89" s="76" t="str">
        <f>IF(OR($D89="UTLS",$D89="GUAR",$D89="STIR",$D89="PUMP",$D89="SITE"),
   VLOOKUP($B89,'LOD 300 - SITE'!B:M,12,FALSE),
   VLOOKUP($B89,'LOD 300 - ADMN'!B:M,12,FALSE)
)</f>
        <v>NOT PUBLISHED</v>
      </c>
      <c r="N89" s="77" t="str">
        <f>IF(OR($D89="UTLS",$D89="GUAR",$D89="STIR",$D89="PUMP",$D89="SITE"),
   VLOOKUP($B89,'LOD 300 - SITE'!B:N,13,FALSE),
   VLOOKUP($B89,'LOD 300 - ADMN'!B:N,13,FALSE)
)</f>
        <v>NOT PUBLISHED</v>
      </c>
      <c r="O89" s="114" t="str">
        <f>IF(OR($D89="UTLS",$D89="GUAR",$D89="STIR",$D89="PUMP",$D89="SITE"),
   VLOOKUP($B89,'LOD 300 - SITE'!B:O,14,FALSE),
   VLOOKUP($B89,'LOD 300 - ADMN'!B:O,14,FALSE)
)</f>
        <v/>
      </c>
      <c r="P89" s="79" t="str">
        <f>IF(OR($D89="C345",$D89="C12A",$D89="DATA"),
   VLOOKUP($B89,'LOD 300 - COLO3'!B:M,12,FALSE),"N/A")</f>
        <v>N/A</v>
      </c>
      <c r="Q89" s="76" t="str">
        <f>IF(OR($D89="C345",$D89="C12A",$D89="DATA"),
   VLOOKUP($B89,'LOD 300 - COLO3'!B:N,13,FALSE),"N/A")</f>
        <v>N/A</v>
      </c>
      <c r="R89" s="76" t="str">
        <f>IF(OR($D89="C345",$D89="C12A",$D89="DATA"),
   VLOOKUP($B89,'LOD 300 - COLO3'!B:O,14,FALSE),"N/A")</f>
        <v>N/A</v>
      </c>
      <c r="S89" s="79" t="str">
        <f>IF(OR($D89="C345",$D89="C12A",$D89="DATA"),
   VLOOKUP($B89,'LOD 300 - COLO4'!B:M,12,FALSE),"N/A")</f>
        <v>N/A</v>
      </c>
      <c r="T89" s="76" t="str">
        <f>IF(OR($D89="C345",$D89="C12A",$D89="DATA"),
   VLOOKUP($B89,'LOD 300 - COLO4'!B:T,13,FALSE),"N/A")</f>
        <v>N/A</v>
      </c>
      <c r="U89" s="76" t="str">
        <f>IF(OR($D89="C345",$D89="C12A",$D89="DATA"),
   VLOOKUP($B89,'LOD 300 - COLO4'!B:U,17,FALSE),"N/A")</f>
        <v>N/A</v>
      </c>
      <c r="V89" s="126"/>
      <c r="W89" s="144" t="str">
        <f>IFERROR(VLOOKUP($B89,'LOD 300 - ADMN'!$B:S,18,FALSE),"N/A")</f>
        <v>N/A</v>
      </c>
      <c r="X89" s="122" t="str">
        <f>IFERROR(VLOOKUP($B89,'LOD 300 - ADMN'!$B:V,21,FALSE),"N/A")</f>
        <v>N/A</v>
      </c>
      <c r="Y89" s="122" t="str">
        <f>IFERROR(VLOOKUP($B89,'LOD 300 - ADMN'!$B:Y,24,FALSE),"N/A")</f>
        <v>N/A</v>
      </c>
      <c r="Z89" s="122" t="str">
        <f>IFERROR(VLOOKUP($B89,'LOD 300 - ADMN'!$B:AB,27,FALSE),"N/A")</f>
        <v>N/A</v>
      </c>
      <c r="AA89" s="122" t="str">
        <f>IFERROR(VLOOKUP($B89,'LOD 300 - ADMN'!$B:AE,30,FALSE),"N/A")</f>
        <v>N/A</v>
      </c>
      <c r="AB89" s="145" t="str">
        <f>IFERROR(VLOOKUP($B89,'LOD 300 - ADMN'!$B:AH,33,FALSE),"N/A")</f>
        <v>N/A</v>
      </c>
      <c r="AC89" s="145" t="str">
        <f>IFERROR(VLOOKUP($B89,'LOD 300 - ADMN'!$B:AK,36,FALSE),"N/A")</f>
        <v>N/A</v>
      </c>
      <c r="AD89" s="122" t="str">
        <f>IFERROR(VLOOKUP($B89,'LOD 300 - ADMN'!$B:AN,39,FALSE),"N/A")</f>
        <v>N/A</v>
      </c>
      <c r="AE89" s="122" t="str">
        <f>IFERROR(VLOOKUP($B89,'LOD 300 - ADMN'!$B:AQ,42,FALSE),"N/A")</f>
        <v>N/A</v>
      </c>
      <c r="AF89" s="122" t="str">
        <f>IFERROR(VLOOKUP($B89,'LOD 300 - ADMN'!$B:AT,45,FALSE),"N/A")</f>
        <v>N/A</v>
      </c>
      <c r="AG89" s="122" t="str">
        <f>IFERROR(VLOOKUP($B89,'LOD 300 - ADMN'!$B:AW,48,FALSE),"N/A")</f>
        <v>N/A</v>
      </c>
      <c r="AH89" s="122" t="str">
        <f>IFERROR(VLOOKUP($B89,'LOD 300 - ADMN'!$B:AZ,51,FALSE),"N/A")</f>
        <v>N/A</v>
      </c>
      <c r="AI89" s="122" t="str">
        <f>IFERROR(VLOOKUP($B89,'LOD 300 - ADMN'!$B:BC,54,FALSE),"N/A")</f>
        <v>N/A</v>
      </c>
      <c r="AJ89" s="87" t="str">
        <f>IFERROR(VLOOKUP($B89,'LOD 300 - ADMN'!$B:BF,57,FALSE),"N/A")</f>
        <v>N/A</v>
      </c>
      <c r="AK89" s="87" t="str">
        <f>IFERROR(VLOOKUP($B89,'LOD 300 - ADMN'!$B:EP,60,FALSE),"N/A")</f>
        <v>N/A</v>
      </c>
      <c r="AL89" s="87" t="str">
        <f>IFERROR(VLOOKUP($B89,'LOD 300 - ADMN'!$B:EQ,63,FALSE),"N/A")</f>
        <v>N/A</v>
      </c>
      <c r="AM89" s="87" t="str">
        <f>IFERROR(VLOOKUP($B89,'LOD 300 - ADMN'!$B:BO,66,FALSE),"N/A")</f>
        <v>N/A</v>
      </c>
      <c r="AN89" s="87" t="str">
        <f>IFERROR(VLOOKUP($B89,'LOD 300 - ADMN'!$B:BR,69,FALSE),"N/A")</f>
        <v>N/A</v>
      </c>
      <c r="AO89" s="87" t="str">
        <f>IFERROR(VLOOKUP($B89,'LOD 300 - ADMN'!$B:BU,72,FALSE),"N/A")</f>
        <v>N/A</v>
      </c>
      <c r="AP89" s="87" t="str">
        <f>IFERROR(VLOOKUP($B89,'LOD 300 - ADMN'!$B:BX,75,FALSE),"N/A")</f>
        <v>N/A</v>
      </c>
      <c r="AQ89" s="87" t="str">
        <f>IFERROR(VLOOKUP($B89,'LOD 300 - ADMN'!$B:CA,78,FALSE),"N/A")</f>
        <v>N/A</v>
      </c>
      <c r="AR89" s="87" t="str">
        <f>IFERROR(VLOOKUP($B89,'LOD 300 - ADMN'!$B:CD,81,FALSE),"N/A")</f>
        <v>N/A</v>
      </c>
      <c r="AS89" s="87" t="str">
        <f>IFERROR(VLOOKUP($B89,'LOD 300 - ADMN'!$B:CG,84,FALSE),"N/A")</f>
        <v>N/A</v>
      </c>
      <c r="AT89" s="87" t="str">
        <f>IFERROR(VLOOKUP($B89,'LOD 300 - ADMN'!$B:CJ,87,FALSE),"N/A")</f>
        <v>N/A</v>
      </c>
      <c r="AU89" s="88" t="str">
        <f>IFERROR(VLOOKUP($B89,'LOD 300 - ADMN'!$B:CM,90,FALSE),"N/A")</f>
        <v>N/A</v>
      </c>
      <c r="AV89" s="88" t="str">
        <f>IFERROR(VLOOKUP($B89,'LOD 300 - ADMN'!$B:CP,93,FALSE),"N/A")</f>
        <v>N/A</v>
      </c>
      <c r="AW89" s="88" t="str">
        <f>IFERROR(VLOOKUP($B89,'LOD 300 - ADMN'!$B:CS,96,FALSE),"N/A")</f>
        <v>N/A</v>
      </c>
      <c r="AX89" s="88" t="str">
        <f>IFERROR(VLOOKUP($B89,'LOD 300 - ADMN'!$B:CV,99,FALSE),"N/A")</f>
        <v>N/A</v>
      </c>
      <c r="AY89" s="88" t="str">
        <f>IFERROR(VLOOKUP($B89,'LOD 300 - ADMN'!$B:CY,102,FALSE),"N/A")</f>
        <v>N/A</v>
      </c>
      <c r="AZ89" s="88" t="str">
        <f>IFERROR(VLOOKUP($B89,'LOD 300 - ADMN'!$B:DB,105,FALSE),"N/A")</f>
        <v>N/A</v>
      </c>
      <c r="BA89" s="87" t="str">
        <f>IFERROR(VLOOKUP($B89,'LOD 300 - ADMN'!$B:DE,108,FALSE),"N/A")</f>
        <v>N/A</v>
      </c>
      <c r="BB89" s="87" t="str">
        <f>IFERROR(VLOOKUP($B89,'LOD 300 - ADMN'!$B:DH,111,FALSE),"N/A")</f>
        <v>N/A</v>
      </c>
      <c r="BC89" s="87" t="str">
        <f>IFERROR(VLOOKUP($B89,'LOD 300 - ADMN'!$B:DK,114,FALSE),"N/A")</f>
        <v>N/A</v>
      </c>
      <c r="BD89" s="87" t="str">
        <f>IFERROR(VLOOKUP($B89,'LOD 300 - ADMN'!$B:DN,117,FALSE),"N/A")</f>
        <v>N/A</v>
      </c>
      <c r="BE89" s="87" t="str">
        <f>IFERROR(VLOOKUP($B89,'LOD 300 - ADMN'!$B:DQ,120,FALSE),"N/A")</f>
        <v>N/A</v>
      </c>
      <c r="BF89" s="87" t="str">
        <f>IFERROR(VLOOKUP($B89,'LOD 300 - ADMN'!$B:DT,123,FALSE),"N/A")</f>
        <v>N/A</v>
      </c>
      <c r="BG89" s="87" t="str">
        <f>IFERROR(VLOOKUP($B89,'LOD 300 - ADMN'!$B:DW,126,FALSE),"N/A")</f>
        <v>N/A</v>
      </c>
      <c r="BH89" s="87" t="str">
        <f>IFERROR(VLOOKUP($B89,'LOD 300 - ADMN'!$B:DZ,129,FALSE),"N/A")</f>
        <v>N/A</v>
      </c>
      <c r="BI89" s="134"/>
      <c r="BJ89" s="90" t="str">
        <f>IFERROR(__xludf.DUMMYFUNCTION("IFERROR(
  MAX(FILTER(X89:BH89, ISNUMBER(X89:BH89))),
  BH89
)"),"N/A")</f>
        <v>N/A</v>
      </c>
      <c r="BK89" s="91" t="str">
        <f>IFERROR(VLOOKUP($B89,'LOD 300 - COLO1'!$B:S,18,FALSE),"N/A")</f>
        <v>N/A</v>
      </c>
      <c r="BL89" s="92" t="str">
        <f>IFERROR(VLOOKUP($B89,'LOD 300 - COLO1'!$B:V,21,FALSE),"N/A")</f>
        <v>N/A</v>
      </c>
      <c r="BM89" s="92" t="str">
        <f>IFERROR(VLOOKUP($B89,'LOD 300 - COLO1'!$B:Y,24,FALSE),"N/A")</f>
        <v>N/A</v>
      </c>
      <c r="BN89" s="92" t="str">
        <f>IFERROR(VLOOKUP($B89,'LOD 300 - COLO1'!$B:AB,27,FALSE),"N/A")</f>
        <v>N/A</v>
      </c>
      <c r="BO89" s="92" t="str">
        <f>IFERROR(VLOOKUP($B89,'LOD 300 - COLO1'!$B:AE,30,FALSE),"N/A")</f>
        <v>N/A</v>
      </c>
      <c r="BP89" s="92" t="str">
        <f>IFERROR(VLOOKUP($B89,'LOD 300 - COLO1'!$B:AH,33,FALSE),"N/A")</f>
        <v>N/A</v>
      </c>
      <c r="BQ89" s="92" t="str">
        <f>IFERROR(VLOOKUP($B89,'LOD 300 - COLO1'!$B:AK,36,FALSE),"N/A")</f>
        <v>N/A</v>
      </c>
      <c r="BR89" s="92" t="str">
        <f>IFERROR(VLOOKUP($B89,'LOD 300 - COLO1'!$B:AN,39,FALSE),"N/A")</f>
        <v>N/A</v>
      </c>
      <c r="BS89" s="92" t="str">
        <f>IFERROR(VLOOKUP($B89,'LOD 300 - COLO1'!$B:AQ,42,FALSE),"N/A")</f>
        <v>N/A</v>
      </c>
      <c r="BT89" s="92" t="str">
        <f>IFERROR(VLOOKUP($B89,'LOD 300 - COLO1'!$B:AT,45,FALSE),"N/A")</f>
        <v>N/A</v>
      </c>
      <c r="BU89" s="92" t="str">
        <f>IFERROR(VLOOKUP($B89,'LOD 300 - COLO1'!$B:AW,48,FALSE),"N/A")</f>
        <v>N/A</v>
      </c>
      <c r="BV89" s="92" t="str">
        <f>IFERROR(VLOOKUP($B89,'LOD 300 - COLO1'!$B:AZ,51,FALSE),"N/A")</f>
        <v>N/A</v>
      </c>
      <c r="BW89" s="92" t="str">
        <f>IFERROR(VLOOKUP($B89,'LOD 300 - COLO1'!$B:BC,54,FALSE),"N/A")</f>
        <v>N/A</v>
      </c>
      <c r="BX89" s="94" t="str">
        <f>IFERROR(VLOOKUP($B89,'LOD 300 - COLO1'!$B:BF,57,FALSE),"N/A")</f>
        <v>N/A</v>
      </c>
      <c r="BY89" s="94" t="str">
        <f>IFERROR(VLOOKUP($B89,'LOD 300 - COLO1'!$B:BI,60,FALSE),"N/A")</f>
        <v>N/A</v>
      </c>
      <c r="BZ89" s="95" t="str">
        <f>IFERROR(VLOOKUP($B89,'LOD 300 - COLO1'!$B:BL,63,FALSE),"N/A")</f>
        <v>N/A</v>
      </c>
      <c r="CA89" s="86" t="str">
        <f>IFERROR(VLOOKUP($B89,'LOD 300 - COLO1'!$B:BO,66,FALSE),"N/A")</f>
        <v>N/A</v>
      </c>
      <c r="CB89" s="86" t="str">
        <f>IFERROR(VLOOKUP($B89,'LOD 300 - COLO1'!$B:BR,69,FALSE),"N/A")</f>
        <v>N/A</v>
      </c>
      <c r="CC89" s="86" t="str">
        <f>IFERROR(VLOOKUP($B89,'LOD 300 - COLO1'!$B:BU,72,FALSE),"N/A")</f>
        <v>N/A</v>
      </c>
      <c r="CD89" s="86" t="str">
        <f>IFERROR(VLOOKUP($B89,'LOD 300 - COLO1'!$B:BX,75,FALSE),"N/A")</f>
        <v>N/A</v>
      </c>
      <c r="CE89" s="86" t="str">
        <f>IFERROR(VLOOKUP($B89,'LOD 300 - COLO1'!$B:CA,78,FALSE),"N/A")</f>
        <v>N/A</v>
      </c>
      <c r="CF89" s="87" t="str">
        <f>IFERROR(VLOOKUP($B89,'LOD 300 - COLO1'!$B:CD,81,FALSE),"N/A")</f>
        <v>N/A</v>
      </c>
      <c r="CG89" s="86" t="str">
        <f>IFERROR(VLOOKUP($B89,'LOD 300 - COLO1'!$B:CG,84,FALSE),"N/A")</f>
        <v>N/A</v>
      </c>
      <c r="CH89" s="87" t="str">
        <f>IFERROR(VLOOKUP($B89,'LOD 300 - COLO1'!$B:CJ,87,FALSE),"N/A")</f>
        <v>N/A</v>
      </c>
      <c r="CI89" s="88" t="str">
        <f>IFERROR(VLOOKUP($B89,'LOD 300 - COLO1'!$B:CM,90,FALSE),"N/A")</f>
        <v>N/A</v>
      </c>
      <c r="CJ89" s="88" t="str">
        <f>IFERROR(VLOOKUP($B89,'LOD 300 - COLO1'!$B:CP,93,FALSE),"N/A")</f>
        <v>N/A</v>
      </c>
      <c r="CK89" s="88" t="str">
        <f>IFERROR(VLOOKUP($B89,'LOD 300 - COLO1'!$B:CS,96,FALSE),"N/A")</f>
        <v>N/A</v>
      </c>
      <c r="CL89" s="88" t="str">
        <f>IFERROR(VLOOKUP($B89,'LOD 300 - COLO1'!$B:CV,99,FALSE),"N/A")</f>
        <v>N/A</v>
      </c>
      <c r="CM89" s="88" t="str">
        <f>IFERROR(VLOOKUP($B89,'LOD 300 - COLO1'!$B:CY,102,FALSE),"N/A")</f>
        <v>N/A</v>
      </c>
      <c r="CN89" s="89" t="str">
        <f>IFERROR(VLOOKUP($B89,'LOD 300 - COLO1'!$B:DB,105,FALSE),"N/A")</f>
        <v>N/A</v>
      </c>
      <c r="CO89" s="87" t="str">
        <f>IFERROR(VLOOKUP($B89,'LOD 300 - COLO1'!$B:EE,108,FALSE),"N/A")</f>
        <v>N/A</v>
      </c>
      <c r="CP89" s="87" t="str">
        <f>IFERROR(VLOOKUP($B89,'LOD 300 - COLO1'!$B:EH,111,FALSE),"N/A")</f>
        <v>N/A</v>
      </c>
      <c r="CQ89" s="87" t="str">
        <f>IFERROR(VLOOKUP($B89,'LOD 300 - COLO1'!$B:EK,114,FALSE),"N/A")</f>
        <v>N/A</v>
      </c>
      <c r="CR89" s="87" t="str">
        <f>IFERROR(VLOOKUP($B89,'LOD 300 - COLO1'!$B:EN,117,FALSE),"N/A")</f>
        <v>N/A</v>
      </c>
      <c r="CS89" s="87" t="str">
        <f>IFERROR(VLOOKUP($B89,'LOD 300 - COLO1'!$B:EQ,120,FALSE),"N/A")</f>
        <v>N/A</v>
      </c>
      <c r="CT89" s="87" t="str">
        <f>IFERROR(VLOOKUP($B89,'LOD 300 - COLO1'!$B:ET,123,FALSE),"N/A")</f>
        <v>N/A</v>
      </c>
      <c r="CU89" s="87" t="str">
        <f>IFERROR(VLOOKUP($B89,'LOD 300 - COLO1'!$B:EW,126,FALSE),"N/A")</f>
        <v>N/A</v>
      </c>
      <c r="CV89" s="87" t="str">
        <f>IFERROR(VLOOKUP($B89,'LOD 300 - COLO1'!$B:EZ,129,FALSE),"N/A")</f>
        <v>N/A</v>
      </c>
      <c r="CW89" s="135"/>
      <c r="CX89" s="96" t="str">
        <f>IFERROR(__xludf.DUMMYFUNCTION("IFERROR(
  MAX(FILTER(BK89:CV89, ISNUMBER(BK89:CV89))),
  CV89
)"),"N/A")</f>
        <v>N/A</v>
      </c>
      <c r="CY89" s="104" t="str">
        <f>IFERROR(VLOOKUP($B89,'LOD 300 - COLO2'!$B:S,18,FALSE),"N/A")</f>
        <v>N/A</v>
      </c>
      <c r="CZ89" s="117" t="str">
        <f>IFERROR(VLOOKUP($B89,'LOD 300 - COLO2'!$B:V,21,FALSE),"N/A")</f>
        <v>N/A</v>
      </c>
      <c r="DA89" s="117" t="str">
        <f>IFERROR(VLOOKUP($B89,'LOD 300 - COLO2'!$B:Y,24,FALSE),"N/A")</f>
        <v>N/A</v>
      </c>
      <c r="DB89" s="117" t="str">
        <f>IFERROR(VLOOKUP($B89,'LOD 300 - COLO2'!$B:AB,27,FALSE),"N/A")</f>
        <v>N/A</v>
      </c>
      <c r="DC89" s="92" t="str">
        <f>IFERROR(VLOOKUP($B89,'LOD 300 - COLO2'!$B:AE,30,FALSE),"N/A")</f>
        <v>N/A</v>
      </c>
      <c r="DD89" s="120" t="str">
        <f>IFERROR(VLOOKUP($B89,'LOD 300 - COLO2'!$B:AH,33,FALSE),"N/A")</f>
        <v>N/A</v>
      </c>
      <c r="DE89" s="117" t="str">
        <f>IFERROR(VLOOKUP($B89,'LOD 300 - COLO2'!$B:AK,36,FALSE),"N/A")</f>
        <v>N/A</v>
      </c>
      <c r="DF89" s="117" t="str">
        <f>IFERROR(VLOOKUP($B89,'LOD 300 - COLO2'!$B:AN,39,FALSE),"N/A")</f>
        <v>N/A</v>
      </c>
      <c r="DG89" s="119" t="str">
        <f>IFERROR(VLOOKUP($B89,'LOD 300 - COLO2'!$B:AQ,42,FALSE),"N/A")</f>
        <v>N/A</v>
      </c>
      <c r="DH89" s="87" t="str">
        <f>IFERROR(VLOOKUP($B89,'LOD 300 - COLO2'!$B:AT,45,FALSE),"N/A")</f>
        <v>N/A</v>
      </c>
      <c r="DI89" s="94" t="str">
        <f>IFERROR(VLOOKUP($B89,'LOD 300 - COLO2'!$B:AW,48,FALSE),"N/A")</f>
        <v>N/A</v>
      </c>
      <c r="DJ89" s="95" t="str">
        <f>IFERROR(VLOOKUP($B89,'LOD 300 - COLO2'!$B:AZ,51,FALSE),"N/A")</f>
        <v>N/A</v>
      </c>
      <c r="DK89" s="86" t="str">
        <f>IFERROR(VLOOKUP($B89,'LOD 300 - COLO2'!$B:BC,54,FALSE),"N/A")</f>
        <v>N/A</v>
      </c>
      <c r="DL89" s="86" t="str">
        <f>IFERROR(VLOOKUP($B89,'LOD 300 - COLO2'!$B:BF,57,FALSE),"N/A")</f>
        <v>N/A</v>
      </c>
      <c r="DM89" s="86" t="str">
        <f>IFERROR(VLOOKUP($B89,'LOD 300 - COLO2'!$B:BI,60,FALSE),"N/A")</f>
        <v>N/A</v>
      </c>
      <c r="DN89" s="86" t="str">
        <f>IFERROR(VLOOKUP($B89,'LOD 300 - COLO2'!$B:BL,63,FALSE),"N/A")</f>
        <v>N/A</v>
      </c>
      <c r="DO89" s="86" t="str">
        <f>IFERROR(VLOOKUP($B89,'LOD 300 - COLO2'!$B:BO,66,FALSE),"N/A")</f>
        <v>N/A</v>
      </c>
      <c r="DP89" s="87" t="str">
        <f>IFERROR(VLOOKUP($B89,'LOD 300 - COLO2'!$B:BR,69,FALSE),"N/A")</f>
        <v>N/A</v>
      </c>
      <c r="DQ89" s="87" t="str">
        <f>IFERROR(VLOOKUP($B89,'LOD 300 - COLO2'!$B:BU,72,FALSE),"N/A")</f>
        <v>N/A</v>
      </c>
      <c r="DR89" s="87" t="str">
        <f>IFERROR(VLOOKUP($B89,'LOD 300 - COLO2'!$B:BX,75,FALSE),"N/A")</f>
        <v>N/A</v>
      </c>
      <c r="DS89" s="98" t="str">
        <f>IFERROR(VLOOKUP($B89,'LOD 300 - COLO2'!$B:CA,78,FALSE),"N/A")</f>
        <v>N/A</v>
      </c>
      <c r="DT89" s="98" t="str">
        <f>IFERROR(VLOOKUP($B89,'LOD 300 - COLO2'!$B:CD,81,FALSE),"N/A")</f>
        <v>N/A</v>
      </c>
      <c r="DU89" s="98" t="str">
        <f>IFERROR(VLOOKUP($B89,'LOD 300 - COLO2'!$B:CG,84,FALSE),"N/A")</f>
        <v>N/A</v>
      </c>
      <c r="DV89" s="98" t="str">
        <f>IFERROR(VLOOKUP($B89,'LOD 300 - COLO2'!$B:CJ,87,FALSE),"N/A")</f>
        <v>N/A</v>
      </c>
      <c r="DW89" s="98" t="str">
        <f>IFERROR(VLOOKUP($B89,'LOD 300 - COLO2'!$B:CM,90,FALSE),"N/A")</f>
        <v>N/A</v>
      </c>
      <c r="DX89" s="98" t="str">
        <f>IFERROR(VLOOKUP($B89,'LOD 300 - COLO2'!$B:CP,93,FALSE),"N/A")</f>
        <v>N/A</v>
      </c>
      <c r="DY89" s="87" t="str">
        <f>IFERROR(VLOOKUP($B89,'LOD 300 - COLO2'!$B:CS,96,FALSE),"N/A")</f>
        <v>N/A</v>
      </c>
      <c r="DZ89" s="87" t="str">
        <f>IFERROR(VLOOKUP($B89,'LOD 300 - COLO2'!$B:CV,99,FALSE),"N/A")</f>
        <v>N/A</v>
      </c>
      <c r="EA89" s="87" t="str">
        <f>IFERROR(VLOOKUP($B89,'LOD 300 - COLO2'!$B:DB,105,FALSE),"N/A")</f>
        <v>N/A</v>
      </c>
      <c r="EB89" s="87" t="str">
        <f>IFERROR(VLOOKUP($B89,'LOD 300 - COLO2'!$B:DB,105,FALSE),"N/A")</f>
        <v>N/A</v>
      </c>
      <c r="EC89" s="87" t="str">
        <f>IFERROR(VLOOKUP($B89,'LOD 300 - COLO2'!$B:DE,108,FALSE),"N/A")</f>
        <v>N/A</v>
      </c>
      <c r="ED89" s="87" t="str">
        <f>IFERROR(VLOOKUP($B89,'LOD 300 - COLO2'!$B:DH,111,FALSE),"N/A")</f>
        <v>N/A</v>
      </c>
      <c r="EE89" s="87" t="str">
        <f>IFERROR(VLOOKUP($B89,'LOD 300 - COLO2'!$B:DK,114,FALSE),"N/A")</f>
        <v>N/A</v>
      </c>
      <c r="EF89" s="87" t="str">
        <f>IFERROR(VLOOKUP($B89,'LOD 300 - COLO2'!$B:DN,117,FALSE),"N/A")</f>
        <v>N/A</v>
      </c>
      <c r="EG89" s="135"/>
      <c r="EH89" s="99" t="str">
        <f>IFERROR(__xludf.DUMMYFUNCTION("IFERROR(
  MAX(FILTER(CZ89:EF89, ISNUMBER(CZ89:EF89))),
  EF89
)"),"N/A")</f>
        <v>N/A</v>
      </c>
      <c r="EI89" s="100" t="str">
        <f>IFERROR(VLOOKUP($B89,'LOD 300 - COLO3'!$B:R,17,FALSE),"N/A")</f>
        <v>N/A</v>
      </c>
      <c r="EJ89" s="127" t="str">
        <f>IFERROR(VLOOKUP($B89,'LOD 300 - COLO3'!$B:U,20,FALSE),"N/A")</f>
        <v>N/A</v>
      </c>
      <c r="EK89" s="127" t="str">
        <f>IFERROR(VLOOKUP($B89,'LOD 300 - COLO3'!$B:X,23,FALSE),"N/A")</f>
        <v>N/A</v>
      </c>
      <c r="EL89" s="127" t="str">
        <f>IFERROR(VLOOKUP($B89,'LOD 300 - COLO3'!$B:AA,26,FALSE),"N/A")</f>
        <v>N/A</v>
      </c>
      <c r="EM89" s="127" t="str">
        <f>IFERROR(VLOOKUP($B89,'LOD 300 - COLO3'!$B:AD,29,FALSE),"N/A")</f>
        <v>N/A</v>
      </c>
      <c r="EN89" s="127" t="str">
        <f>IFERROR(VLOOKUP($B89,'LOD 300 - COLO3'!$B:AG,32,FALSE),"N/A")</f>
        <v>N/A</v>
      </c>
      <c r="EO89" s="127" t="str">
        <f>IFERROR(VLOOKUP($B89,'LOD 300 - COLO3'!$B:AJ,35,FALSE),"N/A")</f>
        <v>N/A</v>
      </c>
      <c r="EP89" s="100" t="str">
        <f>IFERROR(VLOOKUP($B89,'LOD 300 - COLO3'!$B:AM,38,FALSE),"N/A")</f>
        <v>N/A</v>
      </c>
      <c r="EQ89" s="100" t="str">
        <f>IFERROR(VLOOKUP($B89,'LOD 300 - COLO3'!$B:AP,41,FALSE),"N/A")</f>
        <v>N/A</v>
      </c>
      <c r="ER89" s="100" t="str">
        <f>IFERROR(VLOOKUP($B89,'LOD 300 - COLO3'!$B:AS,44,FALSE),"N/A")</f>
        <v>N/A</v>
      </c>
      <c r="ES89" s="100" t="str">
        <f>IFERROR(VLOOKUP($B89,'LOD 300 - COLO3'!$B:AV,47,FALSE),"N/A")</f>
        <v>N/A</v>
      </c>
      <c r="ET89" s="100" t="str">
        <f>IFERROR(VLOOKUP($B89,'LOD 300 - COLO3'!$B:AY,50,FALSE),"N/A")</f>
        <v>N/A</v>
      </c>
      <c r="EU89" s="100" t="str">
        <f>IFERROR(VLOOKUP($B89,'LOD 300 - COLO3'!$B:BB,53,FALSE),"N/A")</f>
        <v>N/A</v>
      </c>
      <c r="EV89" s="100" t="str">
        <f>IFERROR(VLOOKUP($B89,'LOD 300 - COLO3'!$B:BE,56,FALSE),"N/A")</f>
        <v>N/A</v>
      </c>
      <c r="EW89" s="100" t="str">
        <f>IFERROR(VLOOKUP($B89,'LOD 300 - COLO3'!$B:BL,59,FALSE),"N/A")</f>
        <v>N/A</v>
      </c>
      <c r="EX89" s="136"/>
      <c r="EY89" s="103" t="str">
        <f>IFERROR(__xludf.DUMMYFUNCTION("IFERROR(
  MAX(FILTER(EI89:EW89, ISNUMBER(EI89:EW89))),
  EW89
)"),"N/A")</f>
        <v>N/A</v>
      </c>
      <c r="EZ89" s="104" t="str">
        <f>IFERROR(VLOOKUP($B89,'LOD 300 - COLO4'!$B:BT,17,FALSE),"N/A")</f>
        <v>N/A</v>
      </c>
      <c r="FA89" s="103" t="str">
        <f>IFERROR(__xludf.DUMMYFUNCTION("IFERROR(
  MAX(FILTER(EZ89, ISNUMBER(EZ89))),
  EZ89
)"),"N/A")</f>
        <v>N/A</v>
      </c>
      <c r="FB89" s="121" t="str">
        <f>IFERROR(VLOOKUP($B89,'LOD 300 - SITE'!$B:S,18,FALSE),"N/A")</f>
        <v>NOT PUBLISHED</v>
      </c>
      <c r="FC89" s="122" t="str">
        <f>IFERROR(VLOOKUP($B89,'LOD 300 - SITE'!$B:V,21,FALSE),"N/A")</f>
        <v>NOT PUBLISHED</v>
      </c>
      <c r="FD89" s="122" t="str">
        <f>IFERROR(VLOOKUP($B89,'LOD 300 - SITE'!$B:Y,24,FALSE),"N/A")</f>
        <v>NOT PUBLISHED</v>
      </c>
      <c r="FE89" s="122" t="str">
        <f>IFERROR(VLOOKUP($B89,'LOD 300 - SITE'!$B:AB,27,FALSE),"N/A")</f>
        <v>NOT PUBLISHED</v>
      </c>
      <c r="FF89" s="122" t="str">
        <f>IFERROR(VLOOKUP($B89,'LOD 300 - SITE'!$B:AE,30,FALSE),"N/A")</f>
        <v>NOT PUBLISHED</v>
      </c>
      <c r="FG89" s="122" t="str">
        <f>IFERROR(VLOOKUP($B89,'LOD 300 - SITE'!$B:AH,33,FALSE),"N/A")</f>
        <v>NOT PUBLISHED</v>
      </c>
      <c r="FH89" s="122" t="str">
        <f>IFERROR(VLOOKUP($B89,'LOD 300 - SITE'!$B:AK,36,FALSE),"N/A")</f>
        <v>NOT PUBLISHED</v>
      </c>
      <c r="FI89" s="122" t="str">
        <f>IFERROR(VLOOKUP($B89,'LOD 300 - SITE'!$B:AN,39,FALSE),"N/A")</f>
        <v>NOT PUBLISHED</v>
      </c>
      <c r="FJ89" s="122" t="str">
        <f>IFERROR(VLOOKUP($B89,'LOD 300 - SITE'!$B:AQ,42,FALSE),"N/A")</f>
        <v>NOT PUBLISHED</v>
      </c>
      <c r="FK89" s="122" t="str">
        <f>IFERROR(VLOOKUP($B89,'LOD 300 - SITE'!$B:AT,45,FALSE),"N/A")</f>
        <v>NOT PUBLISHED</v>
      </c>
      <c r="FL89" s="123" t="str">
        <f>IFERROR(VLOOKUP($B89,'LOD 300 - SITE'!$B:AW,48,FALSE),"N/A")</f>
        <v>NOT PUBLISHED</v>
      </c>
      <c r="FM89" s="87" t="str">
        <f>IFERROR(VLOOKUP($B89,'LOD 300 - SITE'!$B:AZ,51,FALSE),"N/A")</f>
        <v>NOT PUBLISHED</v>
      </c>
      <c r="FN89" s="94" t="str">
        <f>IFERROR(VLOOKUP($B89,'LOD 300 - SITE'!$B:BC,54,FALSE),"N/A")</f>
        <v>NOT PUBLISHED</v>
      </c>
      <c r="FO89" s="95" t="str">
        <f>IFERROR(VLOOKUP($B89,'LOD 300 - SITE'!$B:BF,57,FALSE),"N/A")</f>
        <v>NOT PUBLISHED</v>
      </c>
      <c r="FP89" s="86" t="str">
        <f>IFERROR(VLOOKUP($B89,'LOD 300 - SITE'!$B:BI,60,FALSE),"N/A")</f>
        <v>NOT PUBLISHED</v>
      </c>
      <c r="FQ89" s="86" t="str">
        <f>IFERROR(VLOOKUP($B89,'LOD 300 - SITE'!$B:BL,63,FALSE),"N/A")</f>
        <v>NOT PUBLISHED</v>
      </c>
      <c r="FR89" s="86" t="str">
        <f>IFERROR(VLOOKUP($B89,'LOD 300 - SITE'!$B:BO,66,FALSE),"N/A")</f>
        <v>NOT PUBLISHED</v>
      </c>
      <c r="FS89" s="86" t="str">
        <f>IFERROR(VLOOKUP($B89,'LOD 300 - SITE'!$B:BR,69,FALSE),"N/A")</f>
        <v>NOT PUBLISHED</v>
      </c>
      <c r="FT89" s="86" t="str">
        <f>IFERROR(VLOOKUP($B89,'LOD 300 - SITE'!$B:BU,72,FALSE),"N/A")</f>
        <v>NOT PUBLISHED</v>
      </c>
      <c r="FU89" s="86" t="str">
        <f>IFERROR(VLOOKUP($B89,'LOD 300 - SITE'!$B:BX,75,FALSE),"N/A")</f>
        <v>NOT PUBLISHED</v>
      </c>
      <c r="FV89" s="86" t="str">
        <f>IFERROR(VLOOKUP($B89,'LOD 300 - SITE'!$B:CA,78,FALSE),"N/A")</f>
        <v>NOT PUBLISHED</v>
      </c>
      <c r="FW89" s="87" t="str">
        <f>IFERROR(VLOOKUP($B89,'LOD 300 - SITE'!$B:CD,81,FALSE),"N/A")</f>
        <v>NOT PUBLISHED</v>
      </c>
      <c r="FX89" s="108" t="str">
        <f>IFERROR(VLOOKUP($B89,'LOD 300 - SITE'!$B:CG,84,FALSE),"N/A")</f>
        <v>NOT PUBLISHED</v>
      </c>
      <c r="FY89" s="108" t="str">
        <f>IFERROR(VLOOKUP($B89,'LOD 300 - SITE'!$B:CJ,87,FALSE),"N/A")</f>
        <v>NOT PUBLISHED</v>
      </c>
      <c r="FZ89" s="108" t="str">
        <f>IFERROR(VLOOKUP($B89,'LOD 300 - SITE'!$B:CM,90,FALSE),"N/A")</f>
        <v>NOT PUBLISHED</v>
      </c>
      <c r="GA89" s="108" t="str">
        <f>IFERROR(VLOOKUP($B89,'LOD 300 - SITE'!$B:CP,93,FALSE),"N/A")</f>
        <v>NOT PUBLISHED</v>
      </c>
      <c r="GB89" s="108" t="str">
        <f>IFERROR(VLOOKUP($B89,'LOD 300 - SITE'!$B:CS,96,FALSE),"N/A")</f>
        <v>NOT PUBLISHED</v>
      </c>
      <c r="GC89" s="109" t="str">
        <f>IFERROR(VLOOKUP($B89,'LOD 300 - SITE'!$B:CV,99,FALSE),"N/A")</f>
        <v>NOT PUBLISHED</v>
      </c>
      <c r="GD89" s="87" t="str">
        <f>IFERROR(VLOOKUP($B89,'LOD 300 - SITE'!$B:CY,102,FALSE),"N/A")</f>
        <v>NOT PUBLISHED</v>
      </c>
      <c r="GE89" s="87" t="str">
        <f>IFERROR(VLOOKUP($B89,'LOD 300 - SITE'!$B:DB,105,FALSE),"N/A")</f>
        <v>NOT PUBLISHED</v>
      </c>
      <c r="GF89" s="87" t="str">
        <f>IFERROR(VLOOKUP($B89,'LOD 300 - SITE'!$B:DE,108,FALSE),"N/A")</f>
        <v>NOT PUBLISHED</v>
      </c>
      <c r="GG89" s="87" t="str">
        <f>IFERROR(VLOOKUP($B89,'LOD 300 - SITE'!$B:DH,111,FALSE),"N/A")</f>
        <v>NOT PUBLISHED</v>
      </c>
      <c r="GH89" s="87" t="str">
        <f>IFERROR(VLOOKUP($B89,'LOD 300 - SITE'!$B:DK,114,FALSE),"N/A")</f>
        <v>NOT PUBLISHED</v>
      </c>
      <c r="GI89" s="87" t="str">
        <f>IFERROR(VLOOKUP($B89,'LOD 300 - SITE'!$B:DN,117,FALSE),"N/A")</f>
        <v>NOT PUBLISHED</v>
      </c>
      <c r="GJ89" s="87" t="str">
        <f>IFERROR(VLOOKUP($B89,'LOD 300 - SITE'!$B:DQ,120,FALSE),"N/A")</f>
        <v>NOT PUBLISHED</v>
      </c>
      <c r="GK89" s="87" t="str">
        <f>IFERROR(VLOOKUP($B89,'LOD 300 - SITE'!$B:DT,123,FALSE),"N/A")</f>
        <v>NOT PUBLISHED</v>
      </c>
      <c r="GL89" s="135"/>
      <c r="GM89" s="110" t="str">
        <f>IFERROR(__xludf.DUMMYFUNCTION("IFERROR(
  MAX(FILTER(FB89:GK89, ISNUMBER(FB89:GK89))),
  GK89
)"),"NOT PUBLISHED")</f>
        <v>NOT PUBLISHED</v>
      </c>
      <c r="GN89" s="68"/>
      <c r="GO89" s="68"/>
      <c r="GP89" s="68"/>
    </row>
    <row r="90" ht="15.0" customHeight="1" outlineLevel="1">
      <c r="A90" s="60">
        <v>93.0</v>
      </c>
      <c r="B90" s="140" t="s">
        <v>280</v>
      </c>
      <c r="C90" s="70" t="s">
        <v>281</v>
      </c>
      <c r="D90" s="71" t="s">
        <v>90</v>
      </c>
      <c r="E90" s="138" t="s">
        <v>282</v>
      </c>
      <c r="F90" s="149">
        <v>0.0</v>
      </c>
      <c r="G90" s="147" t="s">
        <v>283</v>
      </c>
      <c r="H90" s="150">
        <v>0.0</v>
      </c>
      <c r="I90" s="74" t="str">
        <f>IFERROR(VLOOKUP(C87:C229,'R22 RELATÓRIO ACC'!B:F,5,FALSE),"NOT PUBLISHED")</f>
        <v>V11</v>
      </c>
      <c r="J90" s="74" t="str">
        <f>IFERROR(VLOOKUP(C87:C229,'R22 RELATÓRIO ACC'!B:P,15,FALSE),"NOT PUBLISHED")</f>
        <v>21/03/2026</v>
      </c>
      <c r="K90" s="141" t="str">
        <f>IFERROR(VLOOKUP(B87:B277,'RELATÓRIO ACC'!B:F,5,FALSE),"NOT PUBLISHED")</f>
        <v>V1</v>
      </c>
      <c r="L90" s="142" t="str">
        <f>IFERROR(VLOOKUP(B87:B277,'RELATÓRIO ACC'!B:P,15,FALSE),"NOT PUBLISHED")</f>
        <v>18/05/2026</v>
      </c>
      <c r="M90" s="76" t="str">
        <f>IF(OR($D90="UTLS",$D90="GUAR",$D90="STIR",$D90="PUMP",$D90="SITE"),
   VLOOKUP($B90,'LOD 300 - SITE'!B:M,12,FALSE),
   VLOOKUP($B90,'LOD 300 - ADMN'!B:M,12,FALSE)
)</f>
        <v>V7</v>
      </c>
      <c r="N90" s="80">
        <f>IF(OR($D90="UTLS",$D90="GUAR",$D90="STIR",$D90="PUMP",$D90="SITE"),
   VLOOKUP($B90,'LOD 300 - SITE'!B:N,13,FALSE),
   VLOOKUP($B90,'LOD 300 - ADMN'!B:N,13,FALSE)
)</f>
        <v>45896</v>
      </c>
      <c r="O90" s="143" t="str">
        <f>IF(OR($D90="UTLS",$D90="GUAR",$D90="STIR",$D90="PUMP",$D90="SITE"),
   VLOOKUP($B90,'LOD 300 - SITE'!B:O,14,FALSE),
   VLOOKUP($B90,'LOD 300 - ADMN'!B:O,14,FALSE)
)</f>
        <v>R22</v>
      </c>
      <c r="P90" s="79" t="str">
        <f>IF(OR($D90="C345",$D90="C12A",$D90="DATA"),
   VLOOKUP($B90,'LOD 300 - COLO3'!B:M,12,FALSE),"N/A")</f>
        <v>N/A</v>
      </c>
      <c r="Q90" s="76" t="str">
        <f>IF(OR($D90="C345",$D90="C12A",$D90="DATA"),
   VLOOKUP($B90,'LOD 300 - COLO3'!B:N,13,FALSE),"N/A")</f>
        <v>N/A</v>
      </c>
      <c r="R90" s="76" t="str">
        <f>IF(OR($D90="C345",$D90="C12A",$D90="DATA"),
   VLOOKUP($B90,'LOD 300 - COLO3'!B:O,14,FALSE),"N/A")</f>
        <v>N/A</v>
      </c>
      <c r="S90" s="79" t="str">
        <f>IF(OR($D90="C345",$D90="C12A",$D90="DATA"),
   VLOOKUP($B90,'LOD 300 - COLO4'!B:M,12,FALSE),"N/A")</f>
        <v>N/A</v>
      </c>
      <c r="T90" s="76" t="str">
        <f>IF(OR($D90="C345",$D90="C12A",$D90="DATA"),
   VLOOKUP($B90,'LOD 300 - COLO4'!B:T,13,FALSE),"N/A")</f>
        <v>N/A</v>
      </c>
      <c r="U90" s="76" t="str">
        <f>IF(OR($D90="C345",$D90="C12A",$D90="DATA"),
   VLOOKUP($B90,'LOD 300 - COLO4'!B:U,17,FALSE),"N/A")</f>
        <v>N/A</v>
      </c>
      <c r="V90" s="126" t="s">
        <v>129</v>
      </c>
      <c r="W90" s="144" t="str">
        <f>IFERROR(VLOOKUP($B90,'LOD 300 - ADMN'!$B:S,18,FALSE),"N/A")</f>
        <v>N/A</v>
      </c>
      <c r="X90" s="122" t="str">
        <f>IFERROR(VLOOKUP($B90,'LOD 300 - ADMN'!$B:V,21,FALSE),"N/A")</f>
        <v>N/A</v>
      </c>
      <c r="Y90" s="122" t="str">
        <f>IFERROR(VLOOKUP($B90,'LOD 300 - ADMN'!$B:Y,24,FALSE),"N/A")</f>
        <v>N/A</v>
      </c>
      <c r="Z90" s="122" t="str">
        <f>IFERROR(VLOOKUP($B90,'LOD 300 - ADMN'!$B:AB,27,FALSE),"N/A")</f>
        <v>N/A</v>
      </c>
      <c r="AA90" s="122" t="str">
        <f>IFERROR(VLOOKUP($B90,'LOD 300 - ADMN'!$B:AE,30,FALSE),"N/A")</f>
        <v>N/A</v>
      </c>
      <c r="AB90" s="145" t="str">
        <f>IFERROR(VLOOKUP($B90,'LOD 300 - ADMN'!$B:AH,33,FALSE),"N/A")</f>
        <v>N/A</v>
      </c>
      <c r="AC90" s="145" t="str">
        <f>IFERROR(VLOOKUP($B90,'LOD 300 - ADMN'!$B:AK,36,FALSE),"N/A")</f>
        <v>N/A</v>
      </c>
      <c r="AD90" s="122" t="str">
        <f>IFERROR(VLOOKUP($B90,'LOD 300 - ADMN'!$B:AN,39,FALSE),"N/A")</f>
        <v>N/A</v>
      </c>
      <c r="AE90" s="122" t="str">
        <f>IFERROR(VLOOKUP($B90,'LOD 300 - ADMN'!$B:AQ,42,FALSE),"N/A")</f>
        <v>N/A</v>
      </c>
      <c r="AF90" s="122" t="str">
        <f>IFERROR(VLOOKUP($B90,'LOD 300 - ADMN'!$B:AT,45,FALSE),"N/A")</f>
        <v>N/A</v>
      </c>
      <c r="AG90" s="122" t="str">
        <f>IFERROR(VLOOKUP($B90,'LOD 300 - ADMN'!$B:AW,48,FALSE),"N/A")</f>
        <v>N/A</v>
      </c>
      <c r="AH90" s="122" t="str">
        <f>IFERROR(VLOOKUP($B90,'LOD 300 - ADMN'!$B:AZ,51,FALSE),"N/A")</f>
        <v>N/A</v>
      </c>
      <c r="AI90" s="122" t="str">
        <f>IFERROR(VLOOKUP($B90,'LOD 300 - ADMN'!$B:BC,54,FALSE),"N/A")</f>
        <v>N/A</v>
      </c>
      <c r="AJ90" s="87" t="str">
        <f>IFERROR(VLOOKUP($B90,'LOD 300 - ADMN'!$B:BF,57,FALSE),"N/A")</f>
        <v>N/A</v>
      </c>
      <c r="AK90" s="87" t="str">
        <f>IFERROR(VLOOKUP($B90,'LOD 300 - ADMN'!$B:EP,60,FALSE),"N/A")</f>
        <v>N/A</v>
      </c>
      <c r="AL90" s="87" t="str">
        <f>IFERROR(VLOOKUP($B90,'LOD 300 - ADMN'!$B:EQ,63,FALSE),"N/A")</f>
        <v>N/A</v>
      </c>
      <c r="AM90" s="87" t="str">
        <f>IFERROR(VLOOKUP($B90,'LOD 300 - ADMN'!$B:BO,66,FALSE),"N/A")</f>
        <v>N/A</v>
      </c>
      <c r="AN90" s="87" t="str">
        <f>IFERROR(VLOOKUP($B90,'LOD 300 - ADMN'!$B:BR,69,FALSE),"N/A")</f>
        <v>N/A</v>
      </c>
      <c r="AO90" s="87" t="str">
        <f>IFERROR(VLOOKUP($B90,'LOD 300 - ADMN'!$B:BU,72,FALSE),"N/A")</f>
        <v>N/A</v>
      </c>
      <c r="AP90" s="87" t="str">
        <f>IFERROR(VLOOKUP($B90,'LOD 300 - ADMN'!$B:BX,75,FALSE),"N/A")</f>
        <v>N/A</v>
      </c>
      <c r="AQ90" s="87" t="str">
        <f>IFERROR(VLOOKUP($B90,'LOD 300 - ADMN'!$B:CA,78,FALSE),"N/A")</f>
        <v>N/A</v>
      </c>
      <c r="AR90" s="87" t="str">
        <f>IFERROR(VLOOKUP($B90,'LOD 300 - ADMN'!$B:CD,81,FALSE),"N/A")</f>
        <v>N/A</v>
      </c>
      <c r="AS90" s="87" t="str">
        <f>IFERROR(VLOOKUP($B90,'LOD 300 - ADMN'!$B:CG,84,FALSE),"N/A")</f>
        <v>N/A</v>
      </c>
      <c r="AT90" s="87" t="str">
        <f>IFERROR(VLOOKUP($B90,'LOD 300 - ADMN'!$B:CJ,87,FALSE),"N/A")</f>
        <v>N/A</v>
      </c>
      <c r="AU90" s="88" t="str">
        <f>IFERROR(VLOOKUP($B90,'LOD 300 - ADMN'!$B:CM,90,FALSE),"N/A")</f>
        <v>N/A</v>
      </c>
      <c r="AV90" s="88" t="str">
        <f>IFERROR(VLOOKUP($B90,'LOD 300 - ADMN'!$B:CP,93,FALSE),"N/A")</f>
        <v>N/A</v>
      </c>
      <c r="AW90" s="88" t="str">
        <f>IFERROR(VLOOKUP($B90,'LOD 300 - ADMN'!$B:CS,96,FALSE),"N/A")</f>
        <v>N/A</v>
      </c>
      <c r="AX90" s="88" t="str">
        <f>IFERROR(VLOOKUP($B90,'LOD 300 - ADMN'!$B:CV,99,FALSE),"N/A")</f>
        <v>N/A</v>
      </c>
      <c r="AY90" s="88" t="str">
        <f>IFERROR(VLOOKUP($B90,'LOD 300 - ADMN'!$B:CY,102,FALSE),"N/A")</f>
        <v>N/A</v>
      </c>
      <c r="AZ90" s="88" t="str">
        <f>IFERROR(VLOOKUP($B90,'LOD 300 - ADMN'!$B:DB,105,FALSE),"N/A")</f>
        <v>N/A</v>
      </c>
      <c r="BA90" s="87" t="str">
        <f>IFERROR(VLOOKUP($B90,'LOD 300 - ADMN'!$B:DE,108,FALSE),"N/A")</f>
        <v>N/A</v>
      </c>
      <c r="BB90" s="87" t="str">
        <f>IFERROR(VLOOKUP($B90,'LOD 300 - ADMN'!$B:DH,111,FALSE),"N/A")</f>
        <v>N/A</v>
      </c>
      <c r="BC90" s="87" t="str">
        <f>IFERROR(VLOOKUP($B90,'LOD 300 - ADMN'!$B:DK,114,FALSE),"N/A")</f>
        <v>N/A</v>
      </c>
      <c r="BD90" s="87" t="str">
        <f>IFERROR(VLOOKUP($B90,'LOD 300 - ADMN'!$B:DN,117,FALSE),"N/A")</f>
        <v>N/A</v>
      </c>
      <c r="BE90" s="87" t="str">
        <f>IFERROR(VLOOKUP($B90,'LOD 300 - ADMN'!$B:DQ,120,FALSE),"N/A")</f>
        <v>N/A</v>
      </c>
      <c r="BF90" s="87" t="str">
        <f>IFERROR(VLOOKUP($B90,'LOD 300 - ADMN'!$B:DT,123,FALSE),"N/A")</f>
        <v>N/A</v>
      </c>
      <c r="BG90" s="87" t="str">
        <f>IFERROR(VLOOKUP($B90,'LOD 300 - ADMN'!$B:DW,126,FALSE),"N/A")</f>
        <v>N/A</v>
      </c>
      <c r="BH90" s="87" t="str">
        <f>IFERROR(VLOOKUP($B90,'LOD 300 - ADMN'!$B:DZ,129,FALSE),"N/A")</f>
        <v>N/A</v>
      </c>
      <c r="BI90" s="87" t="str">
        <f>IFERROR(VLOOKUP($B90,'LOD 300 - ADMN'!$B:EC,132,FALSE),"N/A")</f>
        <v>N/A</v>
      </c>
      <c r="BJ90" s="90" t="str">
        <f>IFERROR(__xludf.DUMMYFUNCTION("IFERROR(
  MAX(FILTER(X90:BI90, ISNUMBER(X90:BI90))),
  BI90
)"),"N/A")</f>
        <v>N/A</v>
      </c>
      <c r="BK90" s="91" t="str">
        <f>IFERROR(VLOOKUP($B90,'LOD 300 - COLO1'!$B:S,18,FALSE),"N/A")</f>
        <v>N/A</v>
      </c>
      <c r="BL90" s="92" t="str">
        <f>IFERROR(VLOOKUP($B90,'LOD 300 - COLO1'!$B:V,21,FALSE),"N/A")</f>
        <v>N/A</v>
      </c>
      <c r="BM90" s="92" t="str">
        <f>IFERROR(VLOOKUP($B90,'LOD 300 - COLO1'!$B:Y,24,FALSE),"N/A")</f>
        <v>N/A</v>
      </c>
      <c r="BN90" s="92" t="str">
        <f>IFERROR(VLOOKUP($B90,'LOD 300 - COLO1'!$B:AB,27,FALSE),"N/A")</f>
        <v>N/A</v>
      </c>
      <c r="BO90" s="92" t="str">
        <f>IFERROR(VLOOKUP($B90,'LOD 300 - COLO1'!$B:AE,30,FALSE),"N/A")</f>
        <v>N/A</v>
      </c>
      <c r="BP90" s="92" t="str">
        <f>IFERROR(VLOOKUP($B90,'LOD 300 - COLO1'!$B:AH,33,FALSE),"N/A")</f>
        <v>N/A</v>
      </c>
      <c r="BQ90" s="92" t="str">
        <f>IFERROR(VLOOKUP($B90,'LOD 300 - COLO1'!$B:AK,36,FALSE),"N/A")</f>
        <v>N/A</v>
      </c>
      <c r="BR90" s="92" t="str">
        <f>IFERROR(VLOOKUP($B90,'LOD 300 - COLO1'!$B:AN,39,FALSE),"N/A")</f>
        <v>N/A</v>
      </c>
      <c r="BS90" s="92" t="str">
        <f>IFERROR(VLOOKUP($B90,'LOD 300 - COLO1'!$B:AQ,42,FALSE),"N/A")</f>
        <v>N/A</v>
      </c>
      <c r="BT90" s="92" t="str">
        <f>IFERROR(VLOOKUP($B90,'LOD 300 - COLO1'!$B:AT,45,FALSE),"N/A")</f>
        <v>N/A</v>
      </c>
      <c r="BU90" s="92" t="str">
        <f>IFERROR(VLOOKUP($B90,'LOD 300 - COLO1'!$B:AW,48,FALSE),"N/A")</f>
        <v>N/A</v>
      </c>
      <c r="BV90" s="92" t="str">
        <f>IFERROR(VLOOKUP($B90,'LOD 300 - COLO1'!$B:AZ,51,FALSE),"N/A")</f>
        <v>N/A</v>
      </c>
      <c r="BW90" s="92" t="str">
        <f>IFERROR(VLOOKUP($B90,'LOD 300 - COLO1'!$B:BC,54,FALSE),"N/A")</f>
        <v>N/A</v>
      </c>
      <c r="BX90" s="94" t="str">
        <f>IFERROR(VLOOKUP($B90,'LOD 300 - COLO1'!$B:BF,57,FALSE),"N/A")</f>
        <v>N/A</v>
      </c>
      <c r="BY90" s="94" t="str">
        <f>IFERROR(VLOOKUP($B90,'LOD 300 - COLO1'!$B:BI,60,FALSE),"N/A")</f>
        <v>N/A</v>
      </c>
      <c r="BZ90" s="95" t="str">
        <f>IFERROR(VLOOKUP($B90,'LOD 300 - COLO1'!$B:BL,63,FALSE),"N/A")</f>
        <v>N/A</v>
      </c>
      <c r="CA90" s="86" t="str">
        <f>IFERROR(VLOOKUP($B90,'LOD 300 - COLO1'!$B:BO,66,FALSE),"N/A")</f>
        <v>N/A</v>
      </c>
      <c r="CB90" s="86" t="str">
        <f>IFERROR(VLOOKUP($B90,'LOD 300 - COLO1'!$B:BR,69,FALSE),"N/A")</f>
        <v>N/A</v>
      </c>
      <c r="CC90" s="86" t="str">
        <f>IFERROR(VLOOKUP($B90,'LOD 300 - COLO1'!$B:BU,72,FALSE),"N/A")</f>
        <v>N/A</v>
      </c>
      <c r="CD90" s="86" t="str">
        <f>IFERROR(VLOOKUP($B90,'LOD 300 - COLO1'!$B:BX,75,FALSE),"N/A")</f>
        <v>N/A</v>
      </c>
      <c r="CE90" s="86" t="str">
        <f>IFERROR(VLOOKUP($B90,'LOD 300 - COLO1'!$B:CA,78,FALSE),"N/A")</f>
        <v>N/A</v>
      </c>
      <c r="CF90" s="87" t="str">
        <f>IFERROR(VLOOKUP($B90,'LOD 300 - COLO1'!$B:CD,81,FALSE),"N/A")</f>
        <v>N/A</v>
      </c>
      <c r="CG90" s="86" t="str">
        <f>IFERROR(VLOOKUP($B90,'LOD 300 - COLO1'!$B:CG,84,FALSE),"N/A")</f>
        <v>N/A</v>
      </c>
      <c r="CH90" s="87" t="str">
        <f>IFERROR(VLOOKUP($B90,'LOD 300 - COLO1'!$B:CJ,87,FALSE),"N/A")</f>
        <v>N/A</v>
      </c>
      <c r="CI90" s="88" t="str">
        <f>IFERROR(VLOOKUP($B90,'LOD 300 - COLO1'!$B:CM,90,FALSE),"N/A")</f>
        <v>N/A</v>
      </c>
      <c r="CJ90" s="88" t="str">
        <f>IFERROR(VLOOKUP($B90,'LOD 300 - COLO1'!$B:CP,93,FALSE),"N/A")</f>
        <v>N/A</v>
      </c>
      <c r="CK90" s="88" t="str">
        <f>IFERROR(VLOOKUP($B90,'LOD 300 - COLO1'!$B:CS,96,FALSE),"N/A")</f>
        <v>N/A</v>
      </c>
      <c r="CL90" s="88" t="str">
        <f>IFERROR(VLOOKUP($B90,'LOD 300 - COLO1'!$B:CV,99,FALSE),"N/A")</f>
        <v>N/A</v>
      </c>
      <c r="CM90" s="88" t="str">
        <f>IFERROR(VLOOKUP($B90,'LOD 300 - COLO1'!$B:CY,102,FALSE),"N/A")</f>
        <v>N/A</v>
      </c>
      <c r="CN90" s="89" t="str">
        <f>IFERROR(VLOOKUP($B90,'LOD 300 - COLO1'!$B:DB,105,FALSE),"N/A")</f>
        <v>N/A</v>
      </c>
      <c r="CO90" s="87" t="str">
        <f>IFERROR(VLOOKUP($B90,'LOD 300 - COLO1'!$B:EE,108,FALSE),"N/A")</f>
        <v>N/A</v>
      </c>
      <c r="CP90" s="87" t="str">
        <f>IFERROR(VLOOKUP($B90,'LOD 300 - COLO1'!$B:EH,111,FALSE),"N/A")</f>
        <v>N/A</v>
      </c>
      <c r="CQ90" s="87" t="str">
        <f>IFERROR(VLOOKUP($B90,'LOD 300 - COLO1'!$B:EK,114,FALSE),"N/A")</f>
        <v>N/A</v>
      </c>
      <c r="CR90" s="87" t="str">
        <f>IFERROR(VLOOKUP($B90,'LOD 300 - COLO1'!$B:EN,117,FALSE),"N/A")</f>
        <v>N/A</v>
      </c>
      <c r="CS90" s="87" t="str">
        <f>IFERROR(VLOOKUP($B90,'LOD 300 - COLO1'!$B:EQ,120,FALSE),"N/A")</f>
        <v>N/A</v>
      </c>
      <c r="CT90" s="87" t="str">
        <f>IFERROR(VLOOKUP($B90,'LOD 300 - COLO1'!$B:ET,123,FALSE),"N/A")</f>
        <v>N/A</v>
      </c>
      <c r="CU90" s="87" t="str">
        <f>IFERROR(VLOOKUP($B90,'LOD 300 - COLO1'!$B:EW,126,FALSE),"N/A")</f>
        <v>N/A</v>
      </c>
      <c r="CV90" s="87" t="str">
        <f>IFERROR(VLOOKUP($B90,'LOD 300 - COLO1'!$B:EZ,129,FALSE),"N/A")</f>
        <v>N/A</v>
      </c>
      <c r="CW90" s="87" t="str">
        <f>IFERROR(VLOOKUP($B90,'LOD 300 - COLO1'!$B:FC,132,FALSE),"N/A")</f>
        <v>N/A</v>
      </c>
      <c r="CX90" s="96" t="str">
        <f>IFERROR(__xludf.DUMMYFUNCTION("IFERROR(
  MAX(FILTER(BK90:CW90, ISNUMBER(BK90:CW90))),
  CW90
)"),"N/A")</f>
        <v>N/A</v>
      </c>
      <c r="CY90" s="104" t="str">
        <f>IFERROR(VLOOKUP($B90,'LOD 300 - COLO2'!$B:S,18,FALSE),"N/A")</f>
        <v>N/A</v>
      </c>
      <c r="CZ90" s="117" t="str">
        <f>IFERROR(VLOOKUP($B90,'LOD 300 - COLO2'!$B:V,21,FALSE),"N/A")</f>
        <v>N/A</v>
      </c>
      <c r="DA90" s="117" t="str">
        <f>IFERROR(VLOOKUP($B90,'LOD 300 - COLO2'!$B:Y,24,FALSE),"N/A")</f>
        <v>N/A</v>
      </c>
      <c r="DB90" s="117" t="str">
        <f>IFERROR(VLOOKUP($B90,'LOD 300 - COLO2'!$B:AB,27,FALSE),"N/A")</f>
        <v>N/A</v>
      </c>
      <c r="DC90" s="92" t="str">
        <f>IFERROR(VLOOKUP($B90,'LOD 300 - COLO2'!$B:AE,30,FALSE),"N/A")</f>
        <v>N/A</v>
      </c>
      <c r="DD90" s="120" t="str">
        <f>IFERROR(VLOOKUP($B90,'LOD 300 - COLO2'!$B:AH,33,FALSE),"N/A")</f>
        <v>N/A</v>
      </c>
      <c r="DE90" s="117" t="str">
        <f>IFERROR(VLOOKUP($B90,'LOD 300 - COLO2'!$B:AK,36,FALSE),"N/A")</f>
        <v>N/A</v>
      </c>
      <c r="DF90" s="117" t="str">
        <f>IFERROR(VLOOKUP($B90,'LOD 300 - COLO2'!$B:AN,39,FALSE),"N/A")</f>
        <v>N/A</v>
      </c>
      <c r="DG90" s="119" t="str">
        <f>IFERROR(VLOOKUP($B90,'LOD 300 - COLO2'!$B:AQ,42,FALSE),"N/A")</f>
        <v>N/A</v>
      </c>
      <c r="DH90" s="87" t="str">
        <f>IFERROR(VLOOKUP($B90,'LOD 300 - COLO2'!$B:AT,45,FALSE),"N/A")</f>
        <v>N/A</v>
      </c>
      <c r="DI90" s="94" t="str">
        <f>IFERROR(VLOOKUP($B90,'LOD 300 - COLO2'!$B:AW,48,FALSE),"N/A")</f>
        <v>N/A</v>
      </c>
      <c r="DJ90" s="95" t="str">
        <f>IFERROR(VLOOKUP($B90,'LOD 300 - COLO2'!$B:AZ,51,FALSE),"N/A")</f>
        <v>N/A</v>
      </c>
      <c r="DK90" s="86" t="str">
        <f>IFERROR(VLOOKUP($B90,'LOD 300 - COLO2'!$B:BC,54,FALSE),"N/A")</f>
        <v>N/A</v>
      </c>
      <c r="DL90" s="86" t="str">
        <f>IFERROR(VLOOKUP($B90,'LOD 300 - COLO2'!$B:BF,57,FALSE),"N/A")</f>
        <v>N/A</v>
      </c>
      <c r="DM90" s="86" t="str">
        <f>IFERROR(VLOOKUP($B90,'LOD 300 - COLO2'!$B:BI,60,FALSE),"N/A")</f>
        <v>N/A</v>
      </c>
      <c r="DN90" s="86" t="str">
        <f>IFERROR(VLOOKUP($B90,'LOD 300 - COLO2'!$B:BL,63,FALSE),"N/A")</f>
        <v>N/A</v>
      </c>
      <c r="DO90" s="86" t="str">
        <f>IFERROR(VLOOKUP($B90,'LOD 300 - COLO2'!$B:BO,66,FALSE),"N/A")</f>
        <v>N/A</v>
      </c>
      <c r="DP90" s="87" t="str">
        <f>IFERROR(VLOOKUP($B90,'LOD 300 - COLO2'!$B:BR,69,FALSE),"N/A")</f>
        <v>N/A</v>
      </c>
      <c r="DQ90" s="87" t="str">
        <f>IFERROR(VLOOKUP($B90,'LOD 300 - COLO2'!$B:BU,72,FALSE),"N/A")</f>
        <v>N/A</v>
      </c>
      <c r="DR90" s="87" t="str">
        <f>IFERROR(VLOOKUP($B90,'LOD 300 - COLO2'!$B:BX,75,FALSE),"N/A")</f>
        <v>N/A</v>
      </c>
      <c r="DS90" s="98" t="str">
        <f>IFERROR(VLOOKUP($B90,'LOD 300 - COLO2'!$B:CA,78,FALSE),"N/A")</f>
        <v>N/A</v>
      </c>
      <c r="DT90" s="98" t="str">
        <f>IFERROR(VLOOKUP($B90,'LOD 300 - COLO2'!$B:CD,81,FALSE),"N/A")</f>
        <v>N/A</v>
      </c>
      <c r="DU90" s="98" t="str">
        <f>IFERROR(VLOOKUP($B90,'LOD 300 - COLO2'!$B:CG,84,FALSE),"N/A")</f>
        <v>N/A</v>
      </c>
      <c r="DV90" s="98" t="str">
        <f>IFERROR(VLOOKUP($B90,'LOD 300 - COLO2'!$B:CJ,87,FALSE),"N/A")</f>
        <v>N/A</v>
      </c>
      <c r="DW90" s="98" t="str">
        <f>IFERROR(VLOOKUP($B90,'LOD 300 - COLO2'!$B:CM,90,FALSE),"N/A")</f>
        <v>N/A</v>
      </c>
      <c r="DX90" s="98" t="str">
        <f>IFERROR(VLOOKUP($B90,'LOD 300 - COLO2'!$B:CP,93,FALSE),"N/A")</f>
        <v>N/A</v>
      </c>
      <c r="DY90" s="87" t="str">
        <f>IFERROR(VLOOKUP($B90,'LOD 300 - COLO2'!$B:CS,96,FALSE),"N/A")</f>
        <v>N/A</v>
      </c>
      <c r="DZ90" s="87" t="str">
        <f>IFERROR(VLOOKUP($B90,'LOD 300 - COLO2'!$B:CV,99,FALSE),"N/A")</f>
        <v>N/A</v>
      </c>
      <c r="EA90" s="87" t="str">
        <f>IFERROR(VLOOKUP($B90,'LOD 300 - COLO2'!$B:DB,105,FALSE),"N/A")</f>
        <v>N/A</v>
      </c>
      <c r="EB90" s="87" t="str">
        <f>IFERROR(VLOOKUP($B90,'LOD 300 - COLO2'!$B:DB,105,FALSE),"N/A")</f>
        <v>N/A</v>
      </c>
      <c r="EC90" s="87" t="str">
        <f>IFERROR(VLOOKUP($B90,'LOD 300 - COLO2'!$B:DE,108,FALSE),"N/A")</f>
        <v>N/A</v>
      </c>
      <c r="ED90" s="87" t="str">
        <f>IFERROR(VLOOKUP($B90,'LOD 300 - COLO2'!$B:DH,111,FALSE),"N/A")</f>
        <v>N/A</v>
      </c>
      <c r="EE90" s="87" t="str">
        <f>IFERROR(VLOOKUP($B90,'LOD 300 - COLO2'!$B:DK,114,FALSE),"N/A")</f>
        <v>N/A</v>
      </c>
      <c r="EF90" s="87" t="str">
        <f>IFERROR(VLOOKUP($B90,'LOD 300 - COLO2'!$B:DN,117,FALSE),"N/A")</f>
        <v>N/A</v>
      </c>
      <c r="EG90" s="87" t="str">
        <f>IFERROR(VLOOKUP($B90,'LOD 300 - COLO2'!$B:DQ,120,FALSE),"N/A")</f>
        <v>N/A</v>
      </c>
      <c r="EH90" s="99" t="str">
        <f>IFERROR(__xludf.DUMMYFUNCTION("IFERROR(
  MAX(FILTER(CZ90:EG90, ISNUMBER(CZ90:EG90))),
  EG90
)"),"N/A")</f>
        <v>N/A</v>
      </c>
      <c r="EI90" s="100" t="str">
        <f>IFERROR(VLOOKUP($B90,'LOD 300 - COLO3'!$B:R,17,FALSE),"N/A")</f>
        <v>N/A</v>
      </c>
      <c r="EJ90" s="127" t="str">
        <f>IFERROR(VLOOKUP($B90,'LOD 300 - COLO3'!$B:U,20,FALSE),"N/A")</f>
        <v>N/A</v>
      </c>
      <c r="EK90" s="127" t="str">
        <f>IFERROR(VLOOKUP($B90,'LOD 300 - COLO3'!$B:X,23,FALSE),"N/A")</f>
        <v>N/A</v>
      </c>
      <c r="EL90" s="127" t="str">
        <f>IFERROR(VLOOKUP($B90,'LOD 300 - COLO3'!$B:AA,26,FALSE),"N/A")</f>
        <v>N/A</v>
      </c>
      <c r="EM90" s="127" t="str">
        <f>IFERROR(VLOOKUP($B90,'LOD 300 - COLO3'!$B:AD,29,FALSE),"N/A")</f>
        <v>N/A</v>
      </c>
      <c r="EN90" s="127" t="str">
        <f>IFERROR(VLOOKUP($B90,'LOD 300 - COLO3'!$B:AG,32,FALSE),"N/A")</f>
        <v>N/A</v>
      </c>
      <c r="EO90" s="127" t="str">
        <f>IFERROR(VLOOKUP($B90,'LOD 300 - COLO3'!$B:AJ,35,FALSE),"N/A")</f>
        <v>N/A</v>
      </c>
      <c r="EP90" s="100" t="str">
        <f>IFERROR(VLOOKUP($B90,'LOD 300 - COLO3'!$B:AM,38,FALSE),"N/A")</f>
        <v>N/A</v>
      </c>
      <c r="EQ90" s="100" t="str">
        <f>IFERROR(VLOOKUP($B90,'LOD 300 - COLO3'!$B:AP,41,FALSE),"N/A")</f>
        <v>N/A</v>
      </c>
      <c r="ER90" s="100" t="str">
        <f>IFERROR(VLOOKUP($B90,'LOD 300 - COLO3'!$B:AS,44,FALSE),"N/A")</f>
        <v>N/A</v>
      </c>
      <c r="ES90" s="100" t="str">
        <f>IFERROR(VLOOKUP($B90,'LOD 300 - COLO3'!$B:AV,47,FALSE),"N/A")</f>
        <v>N/A</v>
      </c>
      <c r="ET90" s="100" t="str">
        <f>IFERROR(VLOOKUP($B90,'LOD 300 - COLO3'!$B:AY,50,FALSE),"N/A")</f>
        <v>N/A</v>
      </c>
      <c r="EU90" s="100" t="str">
        <f>IFERROR(VLOOKUP($B90,'LOD 300 - COLO3'!$B:BB,53,FALSE),"N/A")</f>
        <v>N/A</v>
      </c>
      <c r="EV90" s="100" t="str">
        <f>IFERROR(VLOOKUP($B90,'LOD 300 - COLO3'!$B:BE,56,FALSE),"N/A")</f>
        <v>N/A</v>
      </c>
      <c r="EW90" s="100" t="str">
        <f>IFERROR(VLOOKUP($B90,'LOD 300 - COLO3'!$B:BL,59,FALSE),"N/A")</f>
        <v>N/A</v>
      </c>
      <c r="EX90" s="100" t="str">
        <f>IFERROR(VLOOKUP($B90,'LOD 300 - COLO3'!$B:BO,62,FALSE),"N/A")</f>
        <v>N/A</v>
      </c>
      <c r="EY90" s="103" t="str">
        <f>IFERROR(__xludf.DUMMYFUNCTION("IFERROR(
  MAX(FILTER(EI90:EX90, ISNUMBER(EI90:EX90))),
  EX90
)"),"N/A")</f>
        <v>N/A</v>
      </c>
      <c r="EZ90" s="104" t="str">
        <f>IFERROR(VLOOKUP($B90,'LOD 300 - COLO4'!$B:BT,17,FALSE),"N/A")</f>
        <v>N/A</v>
      </c>
      <c r="FA90" s="103" t="str">
        <f>IFERROR(__xludf.DUMMYFUNCTION("IFERROR(
  MAX(FILTER(EZ90, ISNUMBER(EZ90))),
  EZ90
)"),"N/A")</f>
        <v>N/A</v>
      </c>
      <c r="FB90" s="121">
        <f>IFERROR(VLOOKUP($B90,'LOD 300 - SITE'!$B:S,18,FALSE),"N/A")</f>
        <v>0.51</v>
      </c>
      <c r="FC90" s="122">
        <f>IFERROR(VLOOKUP($B90,'LOD 300 - SITE'!$B:V,21,FALSE),"N/A")</f>
        <v>1</v>
      </c>
      <c r="FD90" s="122">
        <f>IFERROR(VLOOKUP($B90,'LOD 300 - SITE'!$B:Y,24,FALSE),"N/A")</f>
        <v>1</v>
      </c>
      <c r="FE90" s="122">
        <f>IFERROR(VLOOKUP($B90,'LOD 300 - SITE'!$B:AB,27,FALSE),"N/A")</f>
        <v>1</v>
      </c>
      <c r="FF90" s="122">
        <f>IFERROR(VLOOKUP($B90,'LOD 300 - SITE'!$B:AE,30,FALSE),"N/A")</f>
        <v>1</v>
      </c>
      <c r="FG90" s="122">
        <f>IFERROR(VLOOKUP($B90,'LOD 300 - SITE'!$B:AH,33,FALSE),"N/A")</f>
        <v>1</v>
      </c>
      <c r="FH90" s="122">
        <f>IFERROR(VLOOKUP($B90,'LOD 300 - SITE'!$B:AK,36,FALSE),"N/A")</f>
        <v>1</v>
      </c>
      <c r="FI90" s="122">
        <f>IFERROR(VLOOKUP($B90,'LOD 300 - SITE'!$B:AN,39,FALSE),"N/A")</f>
        <v>1</v>
      </c>
      <c r="FJ90" s="122">
        <f>IFERROR(VLOOKUP($B90,'LOD 300 - SITE'!$B:AQ,42,FALSE),"N/A")</f>
        <v>1</v>
      </c>
      <c r="FK90" s="122">
        <f>IFERROR(VLOOKUP($B90,'LOD 300 - SITE'!$B:AT,45,FALSE),"N/A")</f>
        <v>1</v>
      </c>
      <c r="FL90" s="123">
        <f>IFERROR(VLOOKUP($B90,'LOD 300 - SITE'!$B:AW,48,FALSE),"N/A")</f>
        <v>1</v>
      </c>
      <c r="FM90" s="87">
        <f>IFERROR(VLOOKUP($B90,'LOD 300 - SITE'!$B:AZ,51,FALSE),"N/A")</f>
        <v>1</v>
      </c>
      <c r="FN90" s="94">
        <f>IFERROR(VLOOKUP($B90,'LOD 300 - SITE'!$B:BC,54,FALSE),"N/A")</f>
        <v>1</v>
      </c>
      <c r="FO90" s="95">
        <f>IFERROR(VLOOKUP($B90,'LOD 300 - SITE'!$B:BF,57,FALSE),"N/A")</f>
        <v>1</v>
      </c>
      <c r="FP90" s="86">
        <f>IFERROR(VLOOKUP($B90,'LOD 300 - SITE'!$B:BI,60,FALSE),"N/A")</f>
        <v>1</v>
      </c>
      <c r="FQ90" s="86">
        <f>IFERROR(VLOOKUP($B90,'LOD 300 - SITE'!$B:BL,63,FALSE),"N/A")</f>
        <v>1</v>
      </c>
      <c r="FR90" s="86">
        <f>IFERROR(VLOOKUP($B90,'LOD 300 - SITE'!$B:BO,66,FALSE),"N/A")</f>
        <v>1</v>
      </c>
      <c r="FS90" s="86">
        <f>IFERROR(VLOOKUP($B90,'LOD 300 - SITE'!$B:BR,69,FALSE),"N/A")</f>
        <v>1</v>
      </c>
      <c r="FT90" s="86">
        <f>IFERROR(VLOOKUP($B90,'LOD 300 - SITE'!$B:BU,72,FALSE),"N/A")</f>
        <v>1</v>
      </c>
      <c r="FU90" s="86">
        <f>IFERROR(VLOOKUP($B90,'LOD 300 - SITE'!$B:BX,75,FALSE),"N/A")</f>
        <v>1</v>
      </c>
      <c r="FV90" s="86">
        <f>IFERROR(VLOOKUP($B90,'LOD 300 - SITE'!$B:CA,78,FALSE),"N/A")</f>
        <v>1</v>
      </c>
      <c r="FW90" s="87">
        <f>IFERROR(VLOOKUP($B90,'LOD 300 - SITE'!$B:CD,81,FALSE),"N/A")</f>
        <v>1</v>
      </c>
      <c r="FX90" s="108">
        <f>IFERROR(VLOOKUP($B90,'LOD 300 - SITE'!$B:CG,84,FALSE),"N/A")</f>
        <v>1</v>
      </c>
      <c r="FY90" s="108">
        <f>IFERROR(VLOOKUP($B90,'LOD 300 - SITE'!$B:CJ,87,FALSE),"N/A")</f>
        <v>1</v>
      </c>
      <c r="FZ90" s="108">
        <f>IFERROR(VLOOKUP($B90,'LOD 300 - SITE'!$B:CM,90,FALSE),"N/A")</f>
        <v>1</v>
      </c>
      <c r="GA90" s="108">
        <f>IFERROR(VLOOKUP($B90,'LOD 300 - SITE'!$B:CP,93,FALSE),"N/A")</f>
        <v>1</v>
      </c>
      <c r="GB90" s="108">
        <f>IFERROR(VLOOKUP($B90,'LOD 300 - SITE'!$B:CS,96,FALSE),"N/A")</f>
        <v>1</v>
      </c>
      <c r="GC90" s="109">
        <f>IFERROR(VLOOKUP($B90,'LOD 300 - SITE'!$B:CV,99,FALSE),"N/A")</f>
        <v>1</v>
      </c>
      <c r="GD90" s="87">
        <f>IFERROR(VLOOKUP($B90,'LOD 300 - SITE'!$B:CY,102,FALSE),"N/A")</f>
        <v>1</v>
      </c>
      <c r="GE90" s="87">
        <f>IFERROR(VLOOKUP($B90,'LOD 300 - SITE'!$B:DB,105,FALSE),"N/A")</f>
        <v>1</v>
      </c>
      <c r="GF90" s="87">
        <f>IFERROR(VLOOKUP($B90,'LOD 300 - SITE'!$B:DE,108,FALSE),"N/A")</f>
        <v>1</v>
      </c>
      <c r="GG90" s="87">
        <f>IFERROR(VLOOKUP($B90,'LOD 300 - SITE'!$B:DH,111,FALSE),"N/A")</f>
        <v>1</v>
      </c>
      <c r="GH90" s="87">
        <f>IFERROR(VLOOKUP($B90,'LOD 300 - SITE'!$B:DK,114,FALSE),"N/A")</f>
        <v>1</v>
      </c>
      <c r="GI90" s="87">
        <f>IFERROR(VLOOKUP($B90,'LOD 300 - SITE'!$B:DN,117,FALSE),"N/A")</f>
        <v>1</v>
      </c>
      <c r="GJ90" s="87">
        <f>IFERROR(VLOOKUP($B90,'LOD 300 - SITE'!$B:DQ,120,FALSE),"N/A")</f>
        <v>1</v>
      </c>
      <c r="GK90" s="87">
        <f>IFERROR(VLOOKUP($B90,'LOD 300 - SITE'!$B:DT,123,FALSE),"N/A")</f>
        <v>1</v>
      </c>
      <c r="GL90" s="87">
        <f>IFERROR(VLOOKUP($B90,'LOD 300 - SITE'!$B:DW,126,FALSE),"N/A")</f>
        <v>1</v>
      </c>
      <c r="GM90" s="110">
        <f>IFERROR(__xludf.DUMMYFUNCTION("IFERROR(
  MAX(FILTER(FB90:GL90, ISNUMBER(FB90:GL90))),
  GL90
)"),1.0)</f>
        <v>1</v>
      </c>
      <c r="GN90" s="491"/>
      <c r="GO90" s="491"/>
      <c r="GP90" s="491"/>
    </row>
    <row r="91" ht="15.0" hidden="1" customHeight="1">
      <c r="A91" s="60">
        <v>94.0</v>
      </c>
      <c r="B91" s="492" t="s">
        <v>284</v>
      </c>
      <c r="C91" s="493"/>
      <c r="D91" s="494"/>
      <c r="E91" s="494"/>
      <c r="F91" s="13"/>
      <c r="G91" s="494"/>
      <c r="H91" s="495"/>
      <c r="I91" s="496"/>
      <c r="J91" s="496"/>
      <c r="K91" s="494"/>
      <c r="L91" s="494"/>
      <c r="M91" s="497"/>
      <c r="N91" s="497"/>
      <c r="O91" s="497"/>
      <c r="P91" s="498"/>
      <c r="Q91" s="497"/>
      <c r="R91" s="497"/>
      <c r="S91" s="79" t="str">
        <f>IF(OR($D91="C345",$D91="C12A",$D91="DATA"),
   VLOOKUP($B91,'LOD 300 - COLO4'!B:S,14,FALSE),"N/A")</f>
        <v>N/A</v>
      </c>
      <c r="T91" s="76" t="str">
        <f>IF(OR($D91="C345",$D91="C12A",$D91="DATA"),
   VLOOKUP($B91,'LOD 300 - COLO3'!B:T,13,FALSE),"N/A")</f>
        <v>N/A</v>
      </c>
      <c r="U91" s="497"/>
      <c r="V91" s="494"/>
      <c r="W91" s="499"/>
      <c r="X91" s="500"/>
      <c r="Y91" s="500"/>
      <c r="Z91" s="500"/>
      <c r="AA91" s="500"/>
      <c r="AB91" s="500"/>
      <c r="AC91" s="500"/>
      <c r="AD91" s="500"/>
      <c r="AE91" s="500"/>
      <c r="AF91" s="500"/>
      <c r="AG91" s="500"/>
      <c r="AH91" s="500"/>
      <c r="AI91" s="500"/>
      <c r="AJ91" s="501"/>
      <c r="AK91" s="501"/>
      <c r="AL91" s="502"/>
      <c r="AM91" s="501"/>
      <c r="AN91" s="501"/>
      <c r="AO91" s="501"/>
      <c r="AP91" s="501"/>
      <c r="AQ91" s="501"/>
      <c r="AR91" s="501"/>
      <c r="AS91" s="501"/>
      <c r="AT91" s="501"/>
      <c r="AU91" s="501"/>
      <c r="AV91" s="502"/>
      <c r="AW91" s="502"/>
      <c r="AX91" s="502"/>
      <c r="AY91" s="502"/>
      <c r="AZ91" s="502"/>
      <c r="BA91" s="501"/>
      <c r="BB91" s="502"/>
      <c r="BC91" s="503"/>
      <c r="BD91" s="503"/>
      <c r="BE91" s="503"/>
      <c r="BF91" s="503"/>
      <c r="BG91" s="503"/>
      <c r="BH91" s="503"/>
      <c r="BI91" s="503"/>
      <c r="BJ91" s="504"/>
      <c r="BK91" s="505"/>
      <c r="BL91" s="505"/>
      <c r="BM91" s="505"/>
      <c r="BN91" s="505"/>
      <c r="BO91" s="505"/>
      <c r="BP91" s="505"/>
      <c r="BQ91" s="505"/>
      <c r="BR91" s="505"/>
      <c r="BS91" s="505"/>
      <c r="BT91" s="505"/>
      <c r="BU91" s="505"/>
      <c r="BV91" s="505"/>
      <c r="BW91" s="505"/>
      <c r="BX91" s="506"/>
      <c r="BY91" s="506"/>
      <c r="BZ91" s="507"/>
      <c r="CA91" s="508"/>
      <c r="CB91" s="508"/>
      <c r="CC91" s="508"/>
      <c r="CD91" s="508"/>
      <c r="CE91" s="508"/>
      <c r="CF91" s="509"/>
      <c r="CG91" s="507"/>
      <c r="CH91" s="509"/>
      <c r="CI91" s="509"/>
      <c r="CJ91" s="507"/>
      <c r="CK91" s="507"/>
      <c r="CL91" s="507"/>
      <c r="CM91" s="507"/>
      <c r="CN91" s="507"/>
      <c r="CO91" s="509"/>
      <c r="CP91" s="510"/>
      <c r="CQ91" s="507"/>
      <c r="CR91" s="507"/>
      <c r="CS91" s="507"/>
      <c r="CT91" s="507"/>
      <c r="CU91" s="507"/>
      <c r="CV91" s="507"/>
      <c r="CW91" s="507"/>
      <c r="CX91" s="511"/>
      <c r="CY91" s="512"/>
      <c r="CZ91" s="513"/>
      <c r="DA91" s="513"/>
      <c r="DB91" s="513"/>
      <c r="DC91" s="514"/>
      <c r="DD91" s="515"/>
      <c r="DE91" s="512"/>
      <c r="DF91" s="512"/>
      <c r="DG91" s="516"/>
      <c r="DH91" s="509"/>
      <c r="DI91" s="506"/>
      <c r="DJ91" s="507"/>
      <c r="DK91" s="508"/>
      <c r="DL91" s="508"/>
      <c r="DM91" s="508"/>
      <c r="DN91" s="508"/>
      <c r="DO91" s="508"/>
      <c r="DP91" s="509"/>
      <c r="DQ91" s="509"/>
      <c r="DR91" s="509"/>
      <c r="DS91" s="517"/>
      <c r="DT91" s="518"/>
      <c r="DU91" s="518"/>
      <c r="DV91" s="518"/>
      <c r="DW91" s="518"/>
      <c r="DX91" s="518"/>
      <c r="DY91" s="509"/>
      <c r="DZ91" s="519"/>
      <c r="EA91" s="520"/>
      <c r="EB91" s="520"/>
      <c r="EC91" s="520"/>
      <c r="ED91" s="520"/>
      <c r="EE91" s="520"/>
      <c r="EF91" s="520"/>
      <c r="EG91" s="520"/>
      <c r="EH91" s="520"/>
      <c r="EI91" s="509"/>
      <c r="EJ91" s="509"/>
      <c r="EK91" s="509"/>
      <c r="EL91" s="509"/>
      <c r="EM91" s="509"/>
      <c r="EN91" s="509"/>
      <c r="EO91" s="509"/>
      <c r="EP91" s="509"/>
      <c r="EQ91" s="509"/>
      <c r="ER91" s="508"/>
      <c r="ES91" s="508"/>
      <c r="ET91" s="508"/>
      <c r="EU91" s="508"/>
      <c r="EV91" s="508"/>
      <c r="EW91" s="508"/>
      <c r="EX91" s="508"/>
      <c r="EY91" s="508"/>
      <c r="EZ91" s="521"/>
      <c r="FA91" s="521"/>
      <c r="FB91" s="522"/>
      <c r="FC91" s="522"/>
      <c r="FD91" s="522"/>
      <c r="FE91" s="522"/>
      <c r="FF91" s="522"/>
      <c r="FG91" s="522"/>
      <c r="FH91" s="522"/>
      <c r="FI91" s="522"/>
      <c r="FJ91" s="522"/>
      <c r="FK91" s="522"/>
      <c r="FL91" s="523"/>
      <c r="FM91" s="509"/>
      <c r="FN91" s="506"/>
      <c r="FO91" s="507"/>
      <c r="FP91" s="508"/>
      <c r="FQ91" s="508"/>
      <c r="FR91" s="508"/>
      <c r="FS91" s="508"/>
      <c r="FT91" s="508"/>
      <c r="FU91" s="508"/>
      <c r="FV91" s="508"/>
      <c r="FW91" s="509"/>
      <c r="FX91" s="506"/>
      <c r="FY91" s="507"/>
      <c r="FZ91" s="507"/>
      <c r="GA91" s="507"/>
      <c r="GB91" s="507"/>
      <c r="GC91" s="508"/>
      <c r="GD91" s="509"/>
      <c r="GE91" s="510"/>
      <c r="GF91" s="507"/>
      <c r="GG91" s="507"/>
      <c r="GH91" s="507"/>
      <c r="GI91" s="507"/>
      <c r="GJ91" s="507"/>
      <c r="GK91" s="507"/>
      <c r="GL91" s="507"/>
      <c r="GM91" s="524"/>
      <c r="GN91" s="186"/>
      <c r="GO91" s="186"/>
      <c r="GP91" s="186"/>
    </row>
    <row r="92" ht="15.0" customHeight="1" outlineLevel="1">
      <c r="A92" s="60">
        <v>95.0</v>
      </c>
      <c r="B92" s="140" t="s">
        <v>285</v>
      </c>
      <c r="C92" s="70" t="s">
        <v>286</v>
      </c>
      <c r="D92" s="71" t="s">
        <v>85</v>
      </c>
      <c r="E92" s="146" t="s">
        <v>287</v>
      </c>
      <c r="F92" s="13"/>
      <c r="G92" s="147" t="s">
        <v>288</v>
      </c>
      <c r="H92" s="150"/>
      <c r="I92" s="74" t="str">
        <f>IFERROR(VLOOKUP(C89:C231,'R22 RELATÓRIO ACC'!B:F,5,FALSE),"NOT PUBLISHED")</f>
        <v>V10</v>
      </c>
      <c r="J92" s="74" t="str">
        <f>IFERROR(VLOOKUP(C89:C231,'R22 RELATÓRIO ACC'!B:P,15,FALSE),"NOT PUBLISHED")</f>
        <v>22/04/2026</v>
      </c>
      <c r="K92" s="141" t="str">
        <f>IFERROR(VLOOKUP(B89:B279,'RELATÓRIO ACC'!B:F,5,FALSE),"NOT PUBLISHED")</f>
        <v>V1</v>
      </c>
      <c r="L92" s="142" t="str">
        <f>IFERROR(VLOOKUP(B89:B279,'RELATÓRIO ACC'!B:P,15,FALSE),"NOT PUBLISHED")</f>
        <v>15/05/2026</v>
      </c>
      <c r="M92" s="76" t="str">
        <f>IF(OR($D92="UTLS",$D92="GUAR",$D92="STIR",$D92="PUMP",$D92="SITE"),
   VLOOKUP($B92,'LOD 300 - SITE'!B:M,12,FALSE),
   VLOOKUP($B92,'LOD 300 - ADMN'!B:M,12,FALSE)
)</f>
        <v>V5</v>
      </c>
      <c r="N92" s="77" t="str">
        <f>IF(OR($D92="UTLS",$D92="GUAR",$D92="STIR",$D92="PUMP",$D92="SITE"),
   VLOOKUP($B92,'LOD 300 - SITE'!B:N,13,FALSE),
   VLOOKUP($B92,'LOD 300 - ADMN'!B:N,13,FALSE)
)</f>
        <v>27/10/2025</v>
      </c>
      <c r="O92" s="114" t="str">
        <f>IF(OR($D92="UTLS",$D92="GUAR",$D92="STIR",$D92="PUMP",$D92="SITE"),
   VLOOKUP($B92,'LOD 300 - SITE'!B:O,14,FALSE),
   VLOOKUP($B92,'LOD 300 - ADMN'!B:O,14,FALSE)
)</f>
        <v>R22</v>
      </c>
      <c r="P92" s="79" t="str">
        <f>IF(OR($D92="C345",$D92="C12A",$D92="DATA"),
   VLOOKUP($B92,'LOD 300 - COLO3'!B:M,12,FALSE),"N/A")</f>
        <v>V9</v>
      </c>
      <c r="Q92" s="77" t="str">
        <f>IF(OR($D92="C345",$D92="C12A",$D92="DATA"),
   VLOOKUP($B92,'LOD 300 - COLO3'!B:N,13,FALSE),"N/A")</f>
        <v>13/03/2026</v>
      </c>
      <c r="R92" s="76" t="str">
        <f>IF(OR($D92="C345",$D92="C12A",$D92="DATA"),
   VLOOKUP($B92,'LOD 300 - COLO3'!B:O,14,FALSE),"N/A")</f>
        <v>R22</v>
      </c>
      <c r="S92" s="79" t="str">
        <f>IF(OR($D92="C345",$D92="C12A",$D92="DATA"),
   VLOOKUP($B92,'LOD 300 - COLO4'!B:M,12,FALSE),"N/A")</f>
        <v>N/A</v>
      </c>
      <c r="T92" s="76" t="str">
        <f>IF(OR($D92="C345",$D92="C12A",$D92="DATA"),
   VLOOKUP($B92,'LOD 300 - COLO4'!B:T,13,FALSE),"N/A")</f>
        <v>N/A</v>
      </c>
      <c r="U92" s="81">
        <f>IF(OR($D92="C345",$D92="C12A",$D92="DATA"),
   VLOOKUP($B92,'LOD 300 - COLO4'!B:U,17,FALSE),"N/A")</f>
        <v>0</v>
      </c>
      <c r="V92" s="126" t="s">
        <v>102</v>
      </c>
      <c r="W92" s="144" t="str">
        <f>IFERROR(VLOOKUP($B92,'LOD 300 - ADMN'!$B:S,18,FALSE),"N/A")</f>
        <v>NOT PUBLISHED</v>
      </c>
      <c r="X92" s="122" t="str">
        <f>IFERROR(VLOOKUP($B92,'LOD 300 - ADMN'!$B:V,21,FALSE),"N/A")</f>
        <v>NOT PUBLISHED</v>
      </c>
      <c r="Y92" s="122">
        <f>IFERROR(VLOOKUP($B92,'LOD 300 - ADMN'!$B:Y,24,FALSE),"N/A")</f>
        <v>0.31</v>
      </c>
      <c r="Z92" s="122">
        <f>IFERROR(VLOOKUP($B92,'LOD 300 - ADMN'!$B:AB,27,FALSE),"N/A")</f>
        <v>0.62</v>
      </c>
      <c r="AA92" s="122">
        <f>IFERROR(VLOOKUP($B92,'LOD 300 - ADMN'!$B:AE,30,FALSE),"N/A")</f>
        <v>0.65</v>
      </c>
      <c r="AB92" s="145" t="str">
        <f>IFERROR(VLOOKUP($B92,'LOD 300 - ADMN'!$B:AH,33,FALSE),"N/A")</f>
        <v>OUTDATED MODEL</v>
      </c>
      <c r="AC92" s="145" t="str">
        <f>IFERROR(VLOOKUP($B92,'LOD 300 - ADMN'!$B:AK,36,FALSE),"N/A")</f>
        <v>OUTDATED MODEL</v>
      </c>
      <c r="AD92" s="122">
        <f>IFERROR(VLOOKUP($B92,'LOD 300 - ADMN'!$B:AN,39,FALSE),"N/A")</f>
        <v>1</v>
      </c>
      <c r="AE92" s="122">
        <f>IFERROR(VLOOKUP($B92,'LOD 300 - ADMN'!$B:AQ,42,FALSE),"N/A")</f>
        <v>1</v>
      </c>
      <c r="AF92" s="122">
        <f>IFERROR(VLOOKUP($B92,'LOD 300 - ADMN'!$B:AT,45,FALSE),"N/A")</f>
        <v>1</v>
      </c>
      <c r="AG92" s="122">
        <f>IFERROR(VLOOKUP($B92,'LOD 300 - ADMN'!$B:AW,48,FALSE),"N/A")</f>
        <v>1</v>
      </c>
      <c r="AH92" s="122">
        <f>IFERROR(VLOOKUP($B92,'LOD 300 - ADMN'!$B:AZ,51,FALSE),"N/A")</f>
        <v>1</v>
      </c>
      <c r="AI92" s="122">
        <f>IFERROR(VLOOKUP($B92,'LOD 300 - ADMN'!$B:BC,54,FALSE),"N/A")</f>
        <v>1</v>
      </c>
      <c r="AJ92" s="87">
        <f>IFERROR(VLOOKUP($B92,'LOD 300 - ADMN'!$B:BF,57,FALSE),"N/A")</f>
        <v>1</v>
      </c>
      <c r="AK92" s="87">
        <f>IFERROR(VLOOKUP($B92,'LOD 300 - ADMN'!$B:EP,60,FALSE),"N/A")</f>
        <v>1</v>
      </c>
      <c r="AL92" s="87">
        <f>IFERROR(VLOOKUP($B92,'LOD 300 - ADMN'!$B:EQ,63,FALSE),"N/A")</f>
        <v>1</v>
      </c>
      <c r="AM92" s="87">
        <f>IFERROR(VLOOKUP($B92,'LOD 300 - ADMN'!$B:BO,66,FALSE),"N/A")</f>
        <v>1</v>
      </c>
      <c r="AN92" s="87">
        <f>IFERROR(VLOOKUP($B92,'LOD 300 - ADMN'!$B:BR,69,FALSE),"N/A")</f>
        <v>1</v>
      </c>
      <c r="AO92" s="87">
        <f>IFERROR(VLOOKUP($B92,'LOD 300 - ADMN'!$B:BU,72,FALSE),"N/A")</f>
        <v>1</v>
      </c>
      <c r="AP92" s="87">
        <f>IFERROR(VLOOKUP($B92,'LOD 300 - ADMN'!$B:BX,75,FALSE),"N/A")</f>
        <v>1</v>
      </c>
      <c r="AQ92" s="87">
        <f>IFERROR(VLOOKUP($B92,'LOD 300 - ADMN'!$B:CA,78,FALSE),"N/A")</f>
        <v>1</v>
      </c>
      <c r="AR92" s="87">
        <f>IFERROR(VLOOKUP($B92,'LOD 300 - ADMN'!$B:CD,81,FALSE),"N/A")</f>
        <v>1</v>
      </c>
      <c r="AS92" s="87">
        <f>IFERROR(VLOOKUP($B92,'LOD 300 - ADMN'!$B:CG,84,FALSE),"N/A")</f>
        <v>1</v>
      </c>
      <c r="AT92" s="87">
        <f>IFERROR(VLOOKUP($B92,'LOD 300 - ADMN'!$B:CJ,87,FALSE),"N/A")</f>
        <v>1</v>
      </c>
      <c r="AU92" s="88">
        <f>IFERROR(VLOOKUP($B92,'LOD 300 - ADMN'!$B:CM,90,FALSE),"N/A")</f>
        <v>1</v>
      </c>
      <c r="AV92" s="88">
        <f>IFERROR(VLOOKUP($B92,'LOD 300 - ADMN'!$B:CP,93,FALSE),"N/A")</f>
        <v>1</v>
      </c>
      <c r="AW92" s="88">
        <f>IFERROR(VLOOKUP($B92,'LOD 300 - ADMN'!$B:CS,96,FALSE),"N/A")</f>
        <v>1</v>
      </c>
      <c r="AX92" s="88">
        <f>IFERROR(VLOOKUP($B92,'LOD 300 - ADMN'!$B:CV,99,FALSE),"N/A")</f>
        <v>1</v>
      </c>
      <c r="AY92" s="88">
        <f>IFERROR(VLOOKUP($B92,'LOD 300 - ADMN'!$B:CY,102,FALSE),"N/A")</f>
        <v>1</v>
      </c>
      <c r="AZ92" s="88">
        <f>IFERROR(VLOOKUP($B92,'LOD 300 - ADMN'!$B:DB,105,FALSE),"N/A")</f>
        <v>1</v>
      </c>
      <c r="BA92" s="87">
        <f>IFERROR(VLOOKUP($B92,'LOD 300 - ADMN'!$B:DE,108,FALSE),"N/A")</f>
        <v>1</v>
      </c>
      <c r="BB92" s="87">
        <f>IFERROR(VLOOKUP($B92,'LOD 300 - ADMN'!$B:DH,111,FALSE),"N/A")</f>
        <v>1</v>
      </c>
      <c r="BC92" s="87">
        <f>IFERROR(VLOOKUP($B92,'LOD 300 - ADMN'!$B:DK,114,FALSE),"N/A")</f>
        <v>1</v>
      </c>
      <c r="BD92" s="87">
        <f>IFERROR(VLOOKUP($B92,'LOD 300 - ADMN'!$B:DN,117,FALSE),"N/A")</f>
        <v>1</v>
      </c>
      <c r="BE92" s="87">
        <f>IFERROR(VLOOKUP($B92,'LOD 300 - ADMN'!$B:DQ,120,FALSE),"N/A")</f>
        <v>1</v>
      </c>
      <c r="BF92" s="87">
        <f>IFERROR(VLOOKUP($B92,'LOD 300 - ADMN'!$B:DT,123,FALSE),"N/A")</f>
        <v>1</v>
      </c>
      <c r="BG92" s="87">
        <f>IFERROR(VLOOKUP($B92,'LOD 300 - ADMN'!$B:DW,126,FALSE),"N/A")</f>
        <v>1</v>
      </c>
      <c r="BH92" s="87">
        <f>IFERROR(VLOOKUP($B92,'LOD 300 - ADMN'!$B:DZ,129,FALSE),"N/A")</f>
        <v>1</v>
      </c>
      <c r="BI92" s="87">
        <f>IFERROR(VLOOKUP($B92,'LOD 300 - ADMN'!$B:EC,132,FALSE),"N/A")</f>
        <v>1</v>
      </c>
      <c r="BJ92" s="90">
        <f>IFERROR(__xludf.DUMMYFUNCTION("IFERROR(
  MAX(FILTER(X92:BI92, ISNUMBER(X92:BI92))),
  BI92
)"),1.0)</f>
        <v>1</v>
      </c>
      <c r="BK92" s="91" t="str">
        <f>IFERROR(VLOOKUP($B92,'LOD 300 - COLO1'!$B:S,18,FALSE),"N/A")</f>
        <v>NOT PUBLISHED</v>
      </c>
      <c r="BL92" s="92" t="str">
        <f>IFERROR(VLOOKUP($B92,'LOD 300 - COLO1'!$B:V,21,FALSE),"N/A")</f>
        <v>NOT PUBLISHED</v>
      </c>
      <c r="BM92" s="92">
        <f>IFERROR(VLOOKUP($B92,'LOD 300 - COLO1'!$B:Y,24,FALSE),"N/A")</f>
        <v>0.27</v>
      </c>
      <c r="BN92" s="92">
        <f>IFERROR(VLOOKUP($B92,'LOD 300 - COLO1'!$B:AB,27,FALSE),"N/A")</f>
        <v>0.62</v>
      </c>
      <c r="BO92" s="92">
        <f>IFERROR(VLOOKUP($B92,'LOD 300 - COLO1'!$B:AE,30,FALSE),"N/A")</f>
        <v>0.63</v>
      </c>
      <c r="BP92" s="92" t="str">
        <f>IFERROR(VLOOKUP($B92,'LOD 300 - COLO1'!$B:AH,33,FALSE),"N/A")</f>
        <v>OUTDATED MODEL</v>
      </c>
      <c r="BQ92" s="92" t="str">
        <f>IFERROR(VLOOKUP($B92,'LOD 300 - COLO1'!$B:AK,36,FALSE),"N/A")</f>
        <v>OUTDATED MODEL</v>
      </c>
      <c r="BR92" s="92">
        <f>IFERROR(VLOOKUP($B92,'LOD 300 - COLO1'!$B:AN,39,FALSE),"N/A")</f>
        <v>0.98</v>
      </c>
      <c r="BS92" s="92" t="str">
        <f>IFERROR(VLOOKUP($B92,'LOD 300 - COLO1'!$B:AQ,42,FALSE),"N/A")</f>
        <v>OUTDATED MODEL</v>
      </c>
      <c r="BT92" s="92">
        <f>IFERROR(VLOOKUP($B92,'LOD 300 - COLO1'!$B:AT,45,FALSE),"N/A")</f>
        <v>1</v>
      </c>
      <c r="BU92" s="92">
        <f>IFERROR(VLOOKUP($B92,'LOD 300 - COLO1'!$B:AW,48,FALSE),"N/A")</f>
        <v>1</v>
      </c>
      <c r="BV92" s="92">
        <f>IFERROR(VLOOKUP($B92,'LOD 300 - COLO1'!$B:AZ,51,FALSE),"N/A")</f>
        <v>1</v>
      </c>
      <c r="BW92" s="92">
        <f>IFERROR(VLOOKUP($B92,'LOD 300 - COLO1'!$B:BC,54,FALSE),"N/A")</f>
        <v>1</v>
      </c>
      <c r="BX92" s="94">
        <f>IFERROR(VLOOKUP($B92,'LOD 300 - COLO1'!$B:BF,57,FALSE),"N/A")</f>
        <v>1</v>
      </c>
      <c r="BY92" s="94">
        <f>IFERROR(VLOOKUP($B92,'LOD 300 - COLO1'!$B:BI,60,FALSE),"N/A")</f>
        <v>1</v>
      </c>
      <c r="BZ92" s="95">
        <f>IFERROR(VLOOKUP($B92,'LOD 300 - COLO1'!$B:BL,63,FALSE),"N/A")</f>
        <v>1</v>
      </c>
      <c r="CA92" s="86">
        <f>IFERROR(VLOOKUP($B92,'LOD 300 - COLO1'!$B:BO,66,FALSE),"N/A")</f>
        <v>1</v>
      </c>
      <c r="CB92" s="86">
        <f>IFERROR(VLOOKUP($B92,'LOD 300 - COLO1'!$B:BR,69,FALSE),"N/A")</f>
        <v>1</v>
      </c>
      <c r="CC92" s="86">
        <f>IFERROR(VLOOKUP($B92,'LOD 300 - COLO1'!$B:BU,72,FALSE),"N/A")</f>
        <v>1</v>
      </c>
      <c r="CD92" s="86">
        <f>IFERROR(VLOOKUP($B92,'LOD 300 - COLO1'!$B:BX,75,FALSE),"N/A")</f>
        <v>1</v>
      </c>
      <c r="CE92" s="86">
        <f>IFERROR(VLOOKUP($B92,'LOD 300 - COLO1'!$B:CA,78,FALSE),"N/A")</f>
        <v>1</v>
      </c>
      <c r="CF92" s="87">
        <f>IFERROR(VLOOKUP($B92,'LOD 300 - COLO1'!$B:CD,81,FALSE),"N/A")</f>
        <v>1</v>
      </c>
      <c r="CG92" s="86">
        <f>IFERROR(VLOOKUP($B92,'LOD 300 - COLO1'!$B:CG,84,FALSE),"N/A")</f>
        <v>1</v>
      </c>
      <c r="CH92" s="87">
        <f>IFERROR(VLOOKUP($B92,'LOD 300 - COLO1'!$B:CJ,87,FALSE),"N/A")</f>
        <v>1</v>
      </c>
      <c r="CI92" s="88">
        <f>IFERROR(VLOOKUP($B92,'LOD 300 - COLO1'!$B:CM,90,FALSE),"N/A")</f>
        <v>1</v>
      </c>
      <c r="CJ92" s="88">
        <f>IFERROR(VLOOKUP($B92,'LOD 300 - COLO1'!$B:CP,93,FALSE),"N/A")</f>
        <v>1</v>
      </c>
      <c r="CK92" s="88">
        <f>IFERROR(VLOOKUP($B92,'LOD 300 - COLO1'!$B:CS,96,FALSE),"N/A")</f>
        <v>1</v>
      </c>
      <c r="CL92" s="88">
        <f>IFERROR(VLOOKUP($B92,'LOD 300 - COLO1'!$B:CV,99,FALSE),"N/A")</f>
        <v>1</v>
      </c>
      <c r="CM92" s="88">
        <f>IFERROR(VLOOKUP($B92,'LOD 300 - COLO1'!$B:CY,102,FALSE),"N/A")</f>
        <v>1</v>
      </c>
      <c r="CN92" s="89">
        <f>IFERROR(VLOOKUP($B92,'LOD 300 - COLO1'!$B:DB,105,FALSE),"N/A")</f>
        <v>1</v>
      </c>
      <c r="CO92" s="87">
        <f>IFERROR(VLOOKUP($B92,'LOD 300 - COLO1'!$B:EE,108,FALSE),"N/A")</f>
        <v>1</v>
      </c>
      <c r="CP92" s="87">
        <f>IFERROR(VLOOKUP($B92,'LOD 300 - COLO1'!$B:EH,111,FALSE),"N/A")</f>
        <v>1</v>
      </c>
      <c r="CQ92" s="87">
        <f>IFERROR(VLOOKUP($B92,'LOD 300 - COLO1'!$B:EK,114,FALSE),"N/A")</f>
        <v>1</v>
      </c>
      <c r="CR92" s="87">
        <f>IFERROR(VLOOKUP($B92,'LOD 300 - COLO1'!$B:EN,117,FALSE),"N/A")</f>
        <v>1</v>
      </c>
      <c r="CS92" s="87">
        <f>IFERROR(VLOOKUP($B92,'LOD 300 - COLO1'!$B:EQ,120,FALSE),"N/A")</f>
        <v>1</v>
      </c>
      <c r="CT92" s="87">
        <f>IFERROR(VLOOKUP($B92,'LOD 300 - COLO1'!$B:ET,123,FALSE),"N/A")</f>
        <v>1</v>
      </c>
      <c r="CU92" s="87">
        <f>IFERROR(VLOOKUP($B92,'LOD 300 - COLO1'!$B:EW,126,FALSE),"N/A")</f>
        <v>1</v>
      </c>
      <c r="CV92" s="87">
        <f>IFERROR(VLOOKUP($B92,'LOD 300 - COLO1'!$B:EZ,129,FALSE),"N/A")</f>
        <v>1</v>
      </c>
      <c r="CW92" s="87">
        <f>IFERROR(VLOOKUP($B92,'LOD 300 - COLO1'!$B:FC,132,FALSE),"N/A")</f>
        <v>1</v>
      </c>
      <c r="CX92" s="96">
        <f>IFERROR(__xludf.DUMMYFUNCTION("IFERROR(
  MAX(FILTER(BK92:CW92, ISNUMBER(BK92:CW92))),
  CW92
)"),1.0)</f>
        <v>1</v>
      </c>
      <c r="CY92" s="104">
        <f>IFERROR(VLOOKUP($B92,'LOD 300 - COLO2'!$B:S,18,FALSE),"N/A")</f>
        <v>0.63</v>
      </c>
      <c r="CZ92" s="117" t="str">
        <f>IFERROR(VLOOKUP($B92,'LOD 300 - COLO2'!$B:V,21,FALSE),"N/A")</f>
        <v>OUTDATED MODEL</v>
      </c>
      <c r="DA92" s="117" t="str">
        <f>IFERROR(VLOOKUP($B92,'LOD 300 - COLO2'!$B:Y,24,FALSE),"N/A")</f>
        <v>OUTDATED MODEL</v>
      </c>
      <c r="DB92" s="117">
        <f>IFERROR(VLOOKUP($B92,'LOD 300 - COLO2'!$B:AB,27,FALSE),"N/A")</f>
        <v>0.98</v>
      </c>
      <c r="DC92" s="92" t="str">
        <f>IFERROR(VLOOKUP($B92,'LOD 300 - COLO2'!$B:AE,30,FALSE),"N/A")</f>
        <v>NEXT ROUND</v>
      </c>
      <c r="DD92" s="120">
        <f>IFERROR(VLOOKUP($B92,'LOD 300 - COLO2'!$B:AH,33,FALSE),"N/A")</f>
        <v>1</v>
      </c>
      <c r="DE92" s="117">
        <f>IFERROR(VLOOKUP($B92,'LOD 300 - COLO2'!$B:AK,36,FALSE),"N/A")</f>
        <v>1</v>
      </c>
      <c r="DF92" s="117">
        <f>IFERROR(VLOOKUP($B92,'LOD 300 - COLO2'!$B:AN,39,FALSE),"N/A")</f>
        <v>1</v>
      </c>
      <c r="DG92" s="119">
        <f>IFERROR(VLOOKUP($B92,'LOD 300 - COLO2'!$B:AQ,42,FALSE),"N/A")</f>
        <v>1</v>
      </c>
      <c r="DH92" s="87">
        <f>IFERROR(VLOOKUP($B92,'LOD 300 - COLO2'!$B:AT,45,FALSE),"N/A")</f>
        <v>1</v>
      </c>
      <c r="DI92" s="94">
        <f>IFERROR(VLOOKUP($B92,'LOD 300 - COLO2'!$B:AW,48,FALSE),"N/A")</f>
        <v>1</v>
      </c>
      <c r="DJ92" s="95">
        <f>IFERROR(VLOOKUP($B92,'LOD 300 - COLO2'!$B:AZ,51,FALSE),"N/A")</f>
        <v>1</v>
      </c>
      <c r="DK92" s="86">
        <f>IFERROR(VLOOKUP($B92,'LOD 300 - COLO2'!$B:BC,54,FALSE),"N/A")</f>
        <v>1</v>
      </c>
      <c r="DL92" s="86">
        <f>IFERROR(VLOOKUP($B92,'LOD 300 - COLO2'!$B:BF,57,FALSE),"N/A")</f>
        <v>1</v>
      </c>
      <c r="DM92" s="86">
        <f>IFERROR(VLOOKUP($B92,'LOD 300 - COLO2'!$B:BI,60,FALSE),"N/A")</f>
        <v>1</v>
      </c>
      <c r="DN92" s="86">
        <f>IFERROR(VLOOKUP($B92,'LOD 300 - COLO2'!$B:BL,63,FALSE),"N/A")</f>
        <v>1</v>
      </c>
      <c r="DO92" s="86">
        <f>IFERROR(VLOOKUP($B92,'LOD 300 - COLO2'!$B:BO,66,FALSE),"N/A")</f>
        <v>1</v>
      </c>
      <c r="DP92" s="87">
        <f>IFERROR(VLOOKUP($B92,'LOD 300 - COLO2'!$B:BR,69,FALSE),"N/A")</f>
        <v>1</v>
      </c>
      <c r="DQ92" s="87">
        <f>IFERROR(VLOOKUP($B92,'LOD 300 - COLO2'!$B:BU,72,FALSE),"N/A")</f>
        <v>1</v>
      </c>
      <c r="DR92" s="87">
        <f>IFERROR(VLOOKUP($B92,'LOD 300 - COLO2'!$B:BX,75,FALSE),"N/A")</f>
        <v>1</v>
      </c>
      <c r="DS92" s="98">
        <f>IFERROR(VLOOKUP($B92,'LOD 300 - COLO2'!$B:CA,78,FALSE),"N/A")</f>
        <v>1</v>
      </c>
      <c r="DT92" s="98">
        <f>IFERROR(VLOOKUP($B92,'LOD 300 - COLO2'!$B:CD,81,FALSE),"N/A")</f>
        <v>1</v>
      </c>
      <c r="DU92" s="98">
        <f>IFERROR(VLOOKUP($B92,'LOD 300 - COLO2'!$B:CG,84,FALSE),"N/A")</f>
        <v>1</v>
      </c>
      <c r="DV92" s="98">
        <f>IFERROR(VLOOKUP($B92,'LOD 300 - COLO2'!$B:CJ,87,FALSE),"N/A")</f>
        <v>1</v>
      </c>
      <c r="DW92" s="98">
        <f>IFERROR(VLOOKUP($B92,'LOD 300 - COLO2'!$B:CM,90,FALSE),"N/A")</f>
        <v>1</v>
      </c>
      <c r="DX92" s="98">
        <f>IFERROR(VLOOKUP($B92,'LOD 300 - COLO2'!$B:CP,93,FALSE),"N/A")</f>
        <v>1</v>
      </c>
      <c r="DY92" s="87">
        <f>IFERROR(VLOOKUP($B92,'LOD 300 - COLO2'!$B:CS,96,FALSE),"N/A")</f>
        <v>1</v>
      </c>
      <c r="DZ92" s="87">
        <f>IFERROR(VLOOKUP($B92,'LOD 300 - COLO2'!$B:CV,99,FALSE),"N/A")</f>
        <v>1</v>
      </c>
      <c r="EA92" s="87">
        <f>IFERROR(VLOOKUP($B92,'LOD 300 - COLO2'!$B:DB,105,FALSE),"N/A")</f>
        <v>1</v>
      </c>
      <c r="EB92" s="87">
        <f>IFERROR(VLOOKUP($B92,'LOD 300 - COLO2'!$B:DB,105,FALSE),"N/A")</f>
        <v>1</v>
      </c>
      <c r="EC92" s="87">
        <f>IFERROR(VLOOKUP($B92,'LOD 300 - COLO2'!$B:DE,108,FALSE),"N/A")</f>
        <v>1</v>
      </c>
      <c r="ED92" s="87">
        <f>IFERROR(VLOOKUP($B92,'LOD 300 - COLO2'!$B:DH,111,FALSE),"N/A")</f>
        <v>1</v>
      </c>
      <c r="EE92" s="87">
        <f>IFERROR(VLOOKUP($B92,'LOD 300 - COLO2'!$B:DK,114,FALSE),"N/A")</f>
        <v>1</v>
      </c>
      <c r="EF92" s="87">
        <f>IFERROR(VLOOKUP($B92,'LOD 300 - COLO2'!$B:DN,117,FALSE),"N/A")</f>
        <v>1</v>
      </c>
      <c r="EG92" s="87">
        <f>IFERROR(VLOOKUP($B92,'LOD 300 - COLO2'!$B:DQ,120,FALSE),"N/A")</f>
        <v>1</v>
      </c>
      <c r="EH92" s="99">
        <f>IFERROR(__xludf.DUMMYFUNCTION("IFERROR(
  MAX(FILTER(CZ92:EG92, ISNUMBER(CZ92:EG92))),
  EG92
)"),1.0)</f>
        <v>1</v>
      </c>
      <c r="EI92" s="100">
        <f>IFERROR(VLOOKUP($B92,'LOD 300 - COLO3'!$B:R,17,FALSE),"N/A")</f>
        <v>0</v>
      </c>
      <c r="EJ92" s="127">
        <f>IFERROR(VLOOKUP($B92,'LOD 300 - COLO3'!$B:U,20,FALSE),"N/A")</f>
        <v>1</v>
      </c>
      <c r="EK92" s="127">
        <f>IFERROR(VLOOKUP($B92,'LOD 300 - COLO3'!$B:X,23,FALSE),"N/A")</f>
        <v>1</v>
      </c>
      <c r="EL92" s="127">
        <f>IFERROR(VLOOKUP($B92,'LOD 300 - COLO3'!$B:AA,26,FALSE),"N/A")</f>
        <v>1</v>
      </c>
      <c r="EM92" s="127">
        <f>IFERROR(VLOOKUP($B92,'LOD 300 - COLO3'!$B:AD,29,FALSE),"N/A")</f>
        <v>1</v>
      </c>
      <c r="EN92" s="127">
        <f>IFERROR(VLOOKUP($B92,'LOD 300 - COLO3'!$B:AG,32,FALSE),"N/A")</f>
        <v>1</v>
      </c>
      <c r="EO92" s="127">
        <f>IFERROR(VLOOKUP($B92,'LOD 300 - COLO3'!$B:AJ,35,FALSE),"N/A")</f>
        <v>1</v>
      </c>
      <c r="EP92" s="100">
        <f>IFERROR(VLOOKUP($B92,'LOD 300 - COLO3'!$B:AM,38,FALSE),"N/A")</f>
        <v>1</v>
      </c>
      <c r="EQ92" s="100">
        <f>IFERROR(VLOOKUP($B92,'LOD 300 - COLO3'!$B:AP,41,FALSE),"N/A")</f>
        <v>1</v>
      </c>
      <c r="ER92" s="100">
        <f>IFERROR(VLOOKUP($B92,'LOD 300 - COLO3'!$B:AS,44,FALSE),"N/A")</f>
        <v>1</v>
      </c>
      <c r="ES92" s="100">
        <f>IFERROR(VLOOKUP($B92,'LOD 300 - COLO3'!$B:AV,47,FALSE),"N/A")</f>
        <v>1</v>
      </c>
      <c r="ET92" s="100">
        <f>IFERROR(VLOOKUP($B92,'LOD 300 - COLO3'!$B:AY,50,FALSE),"N/A")</f>
        <v>1</v>
      </c>
      <c r="EU92" s="100">
        <f>IFERROR(VLOOKUP($B92,'LOD 300 - COLO3'!$B:BB,53,FALSE),"N/A")</f>
        <v>1</v>
      </c>
      <c r="EV92" s="100">
        <f>IFERROR(VLOOKUP($B92,'LOD 300 - COLO3'!$B:BE,56,FALSE),"N/A")</f>
        <v>1</v>
      </c>
      <c r="EW92" s="100">
        <f>IFERROR(VLOOKUP($B92,'LOD 300 - COLO3'!$B:BL,59,FALSE),"N/A")</f>
        <v>1</v>
      </c>
      <c r="EX92" s="100">
        <f>IFERROR(VLOOKUP($B92,'LOD 300 - COLO3'!$B:BO,62,FALSE),"N/A")</f>
        <v>1</v>
      </c>
      <c r="EY92" s="103">
        <f>IFERROR(__xludf.DUMMYFUNCTION("IFERROR(
  MAX(FILTER(EI92:EX92, ISNUMBER(EI92:EX92))),
  EX92
)"),1.0)</f>
        <v>1</v>
      </c>
      <c r="EZ92" s="104">
        <f>IFERROR(VLOOKUP($B92,'LOD 300 - COLO4'!$B:BT,17,FALSE),"N/A")</f>
        <v>0</v>
      </c>
      <c r="FA92" s="103">
        <f>IFERROR(__xludf.DUMMYFUNCTION("IFERROR(
  MAX(FILTER(EZ92, ISNUMBER(EZ92))),
  EZ92
)"),0.0)</f>
        <v>0</v>
      </c>
      <c r="FB92" s="121" t="str">
        <f>IFERROR(VLOOKUP($B92,'LOD 300 - SITE'!$B:S,18,FALSE),"N/A")</f>
        <v>N/A</v>
      </c>
      <c r="FC92" s="122" t="str">
        <f>IFERROR(VLOOKUP($B92,'LOD 300 - SITE'!$B:V,21,FALSE),"N/A")</f>
        <v>N/A</v>
      </c>
      <c r="FD92" s="122" t="str">
        <f>IFERROR(VLOOKUP($B92,'LOD 300 - SITE'!$B:Y,24,FALSE),"N/A")</f>
        <v>N/A</v>
      </c>
      <c r="FE92" s="122" t="str">
        <f>IFERROR(VLOOKUP($B92,'LOD 300 - SITE'!$B:AB,27,FALSE),"N/A")</f>
        <v>N/A</v>
      </c>
      <c r="FF92" s="122" t="str">
        <f>IFERROR(VLOOKUP($B92,'LOD 300 - SITE'!$B:AE,30,FALSE),"N/A")</f>
        <v>N/A</v>
      </c>
      <c r="FG92" s="122" t="str">
        <f>IFERROR(VLOOKUP($B92,'LOD 300 - SITE'!$B:AH,33,FALSE),"N/A")</f>
        <v>N/A</v>
      </c>
      <c r="FH92" s="122" t="str">
        <f>IFERROR(VLOOKUP($B92,'LOD 300 - SITE'!$B:AK,36,FALSE),"N/A")</f>
        <v>N/A</v>
      </c>
      <c r="FI92" s="122" t="str">
        <f>IFERROR(VLOOKUP($B92,'LOD 300 - SITE'!$B:AN,39,FALSE),"N/A")</f>
        <v>N/A</v>
      </c>
      <c r="FJ92" s="122" t="str">
        <f>IFERROR(VLOOKUP($B92,'LOD 300 - SITE'!$B:AQ,42,FALSE),"N/A")</f>
        <v>N/A</v>
      </c>
      <c r="FK92" s="122" t="str">
        <f>IFERROR(VLOOKUP($B92,'LOD 300 - SITE'!$B:AT,45,FALSE),"N/A")</f>
        <v>N/A</v>
      </c>
      <c r="FL92" s="123" t="str">
        <f>IFERROR(VLOOKUP($B92,'LOD 300 - SITE'!$B:AW,48,FALSE),"N/A")</f>
        <v>N/A</v>
      </c>
      <c r="FM92" s="87" t="str">
        <f>IFERROR(VLOOKUP($B92,'LOD 300 - SITE'!$B:AZ,51,FALSE),"N/A")</f>
        <v>N/A</v>
      </c>
      <c r="FN92" s="94" t="str">
        <f>IFERROR(VLOOKUP($B92,'LOD 300 - SITE'!$B:BC,54,FALSE),"N/A")</f>
        <v>N/A</v>
      </c>
      <c r="FO92" s="95" t="str">
        <f>IFERROR(VLOOKUP($B92,'LOD 300 - SITE'!$B:BF,57,FALSE),"N/A")</f>
        <v>N/A</v>
      </c>
      <c r="FP92" s="86" t="str">
        <f>IFERROR(VLOOKUP($B92,'LOD 300 - SITE'!$B:BI,60,FALSE),"N/A")</f>
        <v>N/A</v>
      </c>
      <c r="FQ92" s="86" t="str">
        <f>IFERROR(VLOOKUP($B92,'LOD 300 - SITE'!$B:BL,63,FALSE),"N/A")</f>
        <v>N/A</v>
      </c>
      <c r="FR92" s="86" t="str">
        <f>IFERROR(VLOOKUP($B92,'LOD 300 - SITE'!$B:BO,66,FALSE),"N/A")</f>
        <v>N/A</v>
      </c>
      <c r="FS92" s="86" t="str">
        <f>IFERROR(VLOOKUP($B92,'LOD 300 - SITE'!$B:BR,69,FALSE),"N/A")</f>
        <v>N/A</v>
      </c>
      <c r="FT92" s="86" t="str">
        <f>IFERROR(VLOOKUP($B92,'LOD 300 - SITE'!$B:BU,72,FALSE),"N/A")</f>
        <v>N/A</v>
      </c>
      <c r="FU92" s="86" t="str">
        <f>IFERROR(VLOOKUP($B92,'LOD 300 - SITE'!$B:BX,75,FALSE),"N/A")</f>
        <v>N/A</v>
      </c>
      <c r="FV92" s="86" t="str">
        <f>IFERROR(VLOOKUP($B92,'LOD 300 - SITE'!$B:CA,78,FALSE),"N/A")</f>
        <v>N/A</v>
      </c>
      <c r="FW92" s="87" t="str">
        <f>IFERROR(VLOOKUP($B92,'LOD 300 - SITE'!$B:CD,81,FALSE),"N/A")</f>
        <v>N/A</v>
      </c>
      <c r="FX92" s="108" t="str">
        <f>IFERROR(VLOOKUP($B92,'LOD 300 - SITE'!$B:CG,84,FALSE),"N/A")</f>
        <v>N/A</v>
      </c>
      <c r="FY92" s="108" t="str">
        <f>IFERROR(VLOOKUP($B92,'LOD 300 - SITE'!$B:CJ,87,FALSE),"N/A")</f>
        <v>N/A</v>
      </c>
      <c r="FZ92" s="108" t="str">
        <f>IFERROR(VLOOKUP($B92,'LOD 300 - SITE'!$B:CM,90,FALSE),"N/A")</f>
        <v>N/A</v>
      </c>
      <c r="GA92" s="108" t="str">
        <f>IFERROR(VLOOKUP($B92,'LOD 300 - SITE'!$B:CP,93,FALSE),"N/A")</f>
        <v>N/A</v>
      </c>
      <c r="GB92" s="108" t="str">
        <f>IFERROR(VLOOKUP($B92,'LOD 300 - SITE'!$B:CS,96,FALSE),"N/A")</f>
        <v>N/A</v>
      </c>
      <c r="GC92" s="109" t="str">
        <f>IFERROR(VLOOKUP($B92,'LOD 300 - SITE'!$B:CV,99,FALSE),"N/A")</f>
        <v>N/A</v>
      </c>
      <c r="GD92" s="87" t="str">
        <f>IFERROR(VLOOKUP($B92,'LOD 300 - SITE'!$B:CY,102,FALSE),"N/A")</f>
        <v>N/A</v>
      </c>
      <c r="GE92" s="87" t="str">
        <f>IFERROR(VLOOKUP($B92,'LOD 300 - SITE'!$B:DB,105,FALSE),"N/A")</f>
        <v>N/A</v>
      </c>
      <c r="GF92" s="87" t="str">
        <f>IFERROR(VLOOKUP($B92,'LOD 300 - SITE'!$B:DE,108,FALSE),"N/A")</f>
        <v>N/A</v>
      </c>
      <c r="GG92" s="87" t="str">
        <f>IFERROR(VLOOKUP($B92,'LOD 300 - SITE'!$B:DH,111,FALSE),"N/A")</f>
        <v>N/A</v>
      </c>
      <c r="GH92" s="87" t="str">
        <f>IFERROR(VLOOKUP($B92,'LOD 300 - SITE'!$B:DK,114,FALSE),"N/A")</f>
        <v>N/A</v>
      </c>
      <c r="GI92" s="87" t="str">
        <f>IFERROR(VLOOKUP($B92,'LOD 300 - SITE'!$B:DN,117,FALSE),"N/A")</f>
        <v>N/A</v>
      </c>
      <c r="GJ92" s="87" t="str">
        <f>IFERROR(VLOOKUP($B92,'LOD 300 - SITE'!$B:DQ,120,FALSE),"N/A")</f>
        <v>N/A</v>
      </c>
      <c r="GK92" s="87" t="str">
        <f>IFERROR(VLOOKUP($B92,'LOD 300 - SITE'!$B:DT,123,FALSE),"N/A")</f>
        <v>N/A</v>
      </c>
      <c r="GL92" s="87" t="str">
        <f>IFERROR(VLOOKUP($B92,'LOD 300 - SITE'!$B:DW,126,FALSE),"N/A")</f>
        <v>N/A</v>
      </c>
      <c r="GM92" s="110" t="str">
        <f>IFERROR(__xludf.DUMMYFUNCTION("IFERROR(
  MAX(FILTER(FB92:GL92, ISNUMBER(FB92:GL92))),
  GL92
)"),"N/A")</f>
        <v>N/A</v>
      </c>
      <c r="GN92" s="111"/>
      <c r="GO92" s="111"/>
      <c r="GP92" s="111"/>
    </row>
    <row r="93" ht="15.0" customHeight="1" outlineLevel="1">
      <c r="A93" s="60">
        <v>96.0</v>
      </c>
      <c r="B93" s="140" t="s">
        <v>289</v>
      </c>
      <c r="C93" s="70" t="s">
        <v>290</v>
      </c>
      <c r="D93" s="71" t="s">
        <v>90</v>
      </c>
      <c r="E93" s="146" t="s">
        <v>287</v>
      </c>
      <c r="F93" s="13">
        <v>1120.0</v>
      </c>
      <c r="G93" s="147" t="s">
        <v>288</v>
      </c>
      <c r="H93" s="150">
        <v>0.0</v>
      </c>
      <c r="I93" s="74" t="str">
        <f>IFERROR(VLOOKUP(C90:C232,'R22 RELATÓRIO ACC'!B:F,5,FALSE),"NOT PUBLISHED")</f>
        <v>V17</v>
      </c>
      <c r="J93" s="74" t="str">
        <f>IFERROR(VLOOKUP(C90:C232,'R22 RELATÓRIO ACC'!B:P,15,FALSE),"NOT PUBLISHED")</f>
        <v>12/05/2026</v>
      </c>
      <c r="K93" s="141" t="str">
        <f>IFERROR(VLOOKUP(B90:B280,'RELATÓRIO ACC'!B:F,5,FALSE),"NOT PUBLISHED")</f>
        <v>V1</v>
      </c>
      <c r="L93" s="142" t="str">
        <f>IFERROR(VLOOKUP(B90:B280,'RELATÓRIO ACC'!B:P,15,FALSE),"NOT PUBLISHED")</f>
        <v>15/05/2026</v>
      </c>
      <c r="M93" s="76" t="str">
        <f>IF(OR($D93="UTLS",$D93="GUAR",$D93="STIR",$D93="PUMP",$D93="SITE"),
   VLOOKUP($B93,'LOD 300 - SITE'!B:M,12,FALSE),
   VLOOKUP($B93,'LOD 300 - ADMN'!B:M,12,FALSE)
)</f>
        <v>V7</v>
      </c>
      <c r="N93" s="77" t="str">
        <f>IF(OR($D93="UTLS",$D93="GUAR",$D93="STIR",$D93="PUMP",$D93="SITE"),
   VLOOKUP($B93,'LOD 300 - SITE'!B:N,13,FALSE),
   VLOOKUP($B93,'LOD 300 - ADMN'!B:N,13,FALSE)
)</f>
        <v>27/10/2025</v>
      </c>
      <c r="O93" s="114" t="str">
        <f>IF(OR($D93="UTLS",$D93="GUAR",$D93="STIR",$D93="PUMP",$D93="SITE"),
   VLOOKUP($B93,'LOD 300 - SITE'!B:O,14,FALSE),
   VLOOKUP($B93,'LOD 300 - ADMN'!B:O,14,FALSE)
)</f>
        <v>R22</v>
      </c>
      <c r="P93" s="79" t="str">
        <f>IF(OR($D93="C345",$D93="C12A",$D93="DATA"),
   VLOOKUP($B93,'LOD 300 - COLO3'!B:M,12,FALSE),"N/A")</f>
        <v>N/A</v>
      </c>
      <c r="Q93" s="76" t="str">
        <f>IF(OR($D93="C345",$D93="C12A",$D93="DATA"),
   VLOOKUP($B93,'LOD 300 - COLO3'!B:N,13,FALSE),"N/A")</f>
        <v>N/A</v>
      </c>
      <c r="R93" s="76" t="str">
        <f>IF(OR($D93="C345",$D93="C12A",$D93="DATA"),
   VLOOKUP($B93,'LOD 300 - COLO3'!B:O,14,FALSE),"N/A")</f>
        <v>N/A</v>
      </c>
      <c r="S93" s="79" t="str">
        <f>IF(OR($D93="C345",$D93="C12A",$D93="DATA"),
   VLOOKUP($B93,'LOD 300 - COLO4'!B:M,12,FALSE),"N/A")</f>
        <v>N/A</v>
      </c>
      <c r="T93" s="76" t="str">
        <f>IF(OR($D93="C345",$D93="C12A",$D93="DATA"),
   VLOOKUP($B93,'LOD 300 - COLO4'!B:T,13,FALSE),"N/A")</f>
        <v>N/A</v>
      </c>
      <c r="U93" s="76" t="str">
        <f>IF(OR($D93="C345",$D93="C12A",$D93="DATA"),
   VLOOKUP($B93,'LOD 300 - COLO4'!B:U,17,FALSE),"N/A")</f>
        <v>N/A</v>
      </c>
      <c r="V93" s="126" t="s">
        <v>129</v>
      </c>
      <c r="W93" s="144" t="str">
        <f>IFERROR(VLOOKUP($B93,'LOD 300 - ADMN'!$B:S,18,FALSE),"N/A")</f>
        <v>N/A</v>
      </c>
      <c r="X93" s="122" t="str">
        <f>IFERROR(VLOOKUP($B93,'LOD 300 - ADMN'!$B:V,21,FALSE),"N/A")</f>
        <v>N/A</v>
      </c>
      <c r="Y93" s="122" t="str">
        <f>IFERROR(VLOOKUP($B93,'LOD 300 - ADMN'!$B:Y,24,FALSE),"N/A")</f>
        <v>N/A</v>
      </c>
      <c r="Z93" s="122" t="str">
        <f>IFERROR(VLOOKUP($B93,'LOD 300 - ADMN'!$B:AB,27,FALSE),"N/A")</f>
        <v>N/A</v>
      </c>
      <c r="AA93" s="122" t="str">
        <f>IFERROR(VLOOKUP($B93,'LOD 300 - ADMN'!$B:AE,30,FALSE),"N/A")</f>
        <v>N/A</v>
      </c>
      <c r="AB93" s="145" t="str">
        <f>IFERROR(VLOOKUP($B93,'LOD 300 - ADMN'!$B:AH,33,FALSE),"N/A")</f>
        <v>N/A</v>
      </c>
      <c r="AC93" s="145" t="str">
        <f>IFERROR(VLOOKUP($B93,'LOD 300 - ADMN'!$B:AK,36,FALSE),"N/A")</f>
        <v>N/A</v>
      </c>
      <c r="AD93" s="122" t="str">
        <f>IFERROR(VLOOKUP($B93,'LOD 300 - ADMN'!$B:AN,39,FALSE),"N/A")</f>
        <v>N/A</v>
      </c>
      <c r="AE93" s="122" t="str">
        <f>IFERROR(VLOOKUP($B93,'LOD 300 - ADMN'!$B:AQ,42,FALSE),"N/A")</f>
        <v>N/A</v>
      </c>
      <c r="AF93" s="122" t="str">
        <f>IFERROR(VLOOKUP($B93,'LOD 300 - ADMN'!$B:AT,45,FALSE),"N/A")</f>
        <v>N/A</v>
      </c>
      <c r="AG93" s="122" t="str">
        <f>IFERROR(VLOOKUP($B93,'LOD 300 - ADMN'!$B:AW,48,FALSE),"N/A")</f>
        <v>N/A</v>
      </c>
      <c r="AH93" s="122" t="str">
        <f>IFERROR(VLOOKUP($B93,'LOD 300 - ADMN'!$B:AZ,51,FALSE),"N/A")</f>
        <v>N/A</v>
      </c>
      <c r="AI93" s="122" t="str">
        <f>IFERROR(VLOOKUP($B93,'LOD 300 - ADMN'!$B:BC,54,FALSE),"N/A")</f>
        <v>N/A</v>
      </c>
      <c r="AJ93" s="87" t="str">
        <f>IFERROR(VLOOKUP($B93,'LOD 300 - ADMN'!$B:BF,57,FALSE),"N/A")</f>
        <v>N/A</v>
      </c>
      <c r="AK93" s="87" t="str">
        <f>IFERROR(VLOOKUP($B93,'LOD 300 - ADMN'!$B:EP,60,FALSE),"N/A")</f>
        <v>N/A</v>
      </c>
      <c r="AL93" s="87" t="str">
        <f>IFERROR(VLOOKUP($B93,'LOD 300 - ADMN'!$B:EQ,63,FALSE),"N/A")</f>
        <v>N/A</v>
      </c>
      <c r="AM93" s="87" t="str">
        <f>IFERROR(VLOOKUP($B93,'LOD 300 - ADMN'!$B:BO,66,FALSE),"N/A")</f>
        <v>N/A</v>
      </c>
      <c r="AN93" s="87" t="str">
        <f>IFERROR(VLOOKUP($B93,'LOD 300 - ADMN'!$B:BR,69,FALSE),"N/A")</f>
        <v>N/A</v>
      </c>
      <c r="AO93" s="87" t="str">
        <f>IFERROR(VLOOKUP($B93,'LOD 300 - ADMN'!$B:BU,72,FALSE),"N/A")</f>
        <v>N/A</v>
      </c>
      <c r="AP93" s="87" t="str">
        <f>IFERROR(VLOOKUP($B93,'LOD 300 - ADMN'!$B:BX,75,FALSE),"N/A")</f>
        <v>N/A</v>
      </c>
      <c r="AQ93" s="87" t="str">
        <f>IFERROR(VLOOKUP($B93,'LOD 300 - ADMN'!$B:CA,78,FALSE),"N/A")</f>
        <v>N/A</v>
      </c>
      <c r="AR93" s="87" t="str">
        <f>IFERROR(VLOOKUP($B93,'LOD 300 - ADMN'!$B:CD,81,FALSE),"N/A")</f>
        <v>N/A</v>
      </c>
      <c r="AS93" s="87" t="str">
        <f>IFERROR(VLOOKUP($B93,'LOD 300 - ADMN'!$B:CG,84,FALSE),"N/A")</f>
        <v>N/A</v>
      </c>
      <c r="AT93" s="87" t="str">
        <f>IFERROR(VLOOKUP($B93,'LOD 300 - ADMN'!$B:CJ,87,FALSE),"N/A")</f>
        <v>N/A</v>
      </c>
      <c r="AU93" s="88" t="str">
        <f>IFERROR(VLOOKUP($B93,'LOD 300 - ADMN'!$B:CM,90,FALSE),"N/A")</f>
        <v>N/A</v>
      </c>
      <c r="AV93" s="88" t="str">
        <f>IFERROR(VLOOKUP($B93,'LOD 300 - ADMN'!$B:CP,93,FALSE),"N/A")</f>
        <v>N/A</v>
      </c>
      <c r="AW93" s="88" t="str">
        <f>IFERROR(VLOOKUP($B93,'LOD 300 - ADMN'!$B:CS,96,FALSE),"N/A")</f>
        <v>N/A</v>
      </c>
      <c r="AX93" s="88" t="str">
        <f>IFERROR(VLOOKUP($B93,'LOD 300 - ADMN'!$B:CV,99,FALSE),"N/A")</f>
        <v>N/A</v>
      </c>
      <c r="AY93" s="88" t="str">
        <f>IFERROR(VLOOKUP($B93,'LOD 300 - ADMN'!$B:CY,102,FALSE),"N/A")</f>
        <v>N/A</v>
      </c>
      <c r="AZ93" s="88" t="str">
        <f>IFERROR(VLOOKUP($B93,'LOD 300 - ADMN'!$B:DB,105,FALSE),"N/A")</f>
        <v>N/A</v>
      </c>
      <c r="BA93" s="87" t="str">
        <f>IFERROR(VLOOKUP($B93,'LOD 300 - ADMN'!$B:DE,108,FALSE),"N/A")</f>
        <v>N/A</v>
      </c>
      <c r="BB93" s="87" t="str">
        <f>IFERROR(VLOOKUP($B93,'LOD 300 - ADMN'!$B:DH,111,FALSE),"N/A")</f>
        <v>N/A</v>
      </c>
      <c r="BC93" s="87" t="str">
        <f>IFERROR(VLOOKUP($B93,'LOD 300 - ADMN'!$B:DK,114,FALSE),"N/A")</f>
        <v>N/A</v>
      </c>
      <c r="BD93" s="87" t="str">
        <f>IFERROR(VLOOKUP($B93,'LOD 300 - ADMN'!$B:DN,117,FALSE),"N/A")</f>
        <v>N/A</v>
      </c>
      <c r="BE93" s="87" t="str">
        <f>IFERROR(VLOOKUP($B93,'LOD 300 - ADMN'!$B:DQ,120,FALSE),"N/A")</f>
        <v>N/A</v>
      </c>
      <c r="BF93" s="87" t="str">
        <f>IFERROR(VLOOKUP($B93,'LOD 300 - ADMN'!$B:DT,123,FALSE),"N/A")</f>
        <v>N/A</v>
      </c>
      <c r="BG93" s="87" t="str">
        <f>IFERROR(VLOOKUP($B93,'LOD 300 - ADMN'!$B:DW,126,FALSE),"N/A")</f>
        <v>N/A</v>
      </c>
      <c r="BH93" s="87" t="str">
        <f>IFERROR(VLOOKUP($B93,'LOD 300 - ADMN'!$B:DZ,129,FALSE),"N/A")</f>
        <v>N/A</v>
      </c>
      <c r="BI93" s="87" t="str">
        <f>IFERROR(VLOOKUP($B93,'LOD 300 - ADMN'!$B:EC,132,FALSE),"N/A")</f>
        <v>N/A</v>
      </c>
      <c r="BJ93" s="90" t="str">
        <f>IFERROR(__xludf.DUMMYFUNCTION("IFERROR(
  MAX(FILTER(X93:BI93, ISNUMBER(X93:BI93))),
  BI93
)"),"N/A")</f>
        <v>N/A</v>
      </c>
      <c r="BK93" s="91" t="str">
        <f>IFERROR(VLOOKUP($B93,'LOD 300 - COLO1'!$B:S,18,FALSE),"N/A")</f>
        <v>N/A</v>
      </c>
      <c r="BL93" s="92" t="str">
        <f>IFERROR(VLOOKUP($B93,'LOD 300 - COLO1'!$B:V,21,FALSE),"N/A")</f>
        <v>N/A</v>
      </c>
      <c r="BM93" s="92" t="str">
        <f>IFERROR(VLOOKUP($B93,'LOD 300 - COLO1'!$B:Y,24,FALSE),"N/A")</f>
        <v>N/A</v>
      </c>
      <c r="BN93" s="92" t="str">
        <f>IFERROR(VLOOKUP($B93,'LOD 300 - COLO1'!$B:AB,27,FALSE),"N/A")</f>
        <v>N/A</v>
      </c>
      <c r="BO93" s="92" t="str">
        <f>IFERROR(VLOOKUP($B93,'LOD 300 - COLO1'!$B:AE,30,FALSE),"N/A")</f>
        <v>N/A</v>
      </c>
      <c r="BP93" s="92" t="str">
        <f>IFERROR(VLOOKUP($B93,'LOD 300 - COLO1'!$B:AH,33,FALSE),"N/A")</f>
        <v>N/A</v>
      </c>
      <c r="BQ93" s="92" t="str">
        <f>IFERROR(VLOOKUP($B93,'LOD 300 - COLO1'!$B:AK,36,FALSE),"N/A")</f>
        <v>N/A</v>
      </c>
      <c r="BR93" s="92" t="str">
        <f>IFERROR(VLOOKUP($B93,'LOD 300 - COLO1'!$B:AN,39,FALSE),"N/A")</f>
        <v>N/A</v>
      </c>
      <c r="BS93" s="92" t="str">
        <f>IFERROR(VLOOKUP($B93,'LOD 300 - COLO1'!$B:AQ,42,FALSE),"N/A")</f>
        <v>N/A</v>
      </c>
      <c r="BT93" s="92" t="str">
        <f>IFERROR(VLOOKUP($B93,'LOD 300 - COLO1'!$B:AT,45,FALSE),"N/A")</f>
        <v>N/A</v>
      </c>
      <c r="BU93" s="92" t="str">
        <f>IFERROR(VLOOKUP($B93,'LOD 300 - COLO1'!$B:AW,48,FALSE),"N/A")</f>
        <v>N/A</v>
      </c>
      <c r="BV93" s="92" t="str">
        <f>IFERROR(VLOOKUP($B93,'LOD 300 - COLO1'!$B:AZ,51,FALSE),"N/A")</f>
        <v>N/A</v>
      </c>
      <c r="BW93" s="92" t="str">
        <f>IFERROR(VLOOKUP($B93,'LOD 300 - COLO1'!$B:BC,54,FALSE),"N/A")</f>
        <v>N/A</v>
      </c>
      <c r="BX93" s="94" t="str">
        <f>IFERROR(VLOOKUP($B93,'LOD 300 - COLO1'!$B:BF,57,FALSE),"N/A")</f>
        <v>N/A</v>
      </c>
      <c r="BY93" s="94" t="str">
        <f>IFERROR(VLOOKUP($B93,'LOD 300 - COLO1'!$B:BI,60,FALSE),"N/A")</f>
        <v>N/A</v>
      </c>
      <c r="BZ93" s="95" t="str">
        <f>IFERROR(VLOOKUP($B93,'LOD 300 - COLO1'!$B:BL,63,FALSE),"N/A")</f>
        <v>N/A</v>
      </c>
      <c r="CA93" s="86" t="str">
        <f>IFERROR(VLOOKUP($B93,'LOD 300 - COLO1'!$B:BO,66,FALSE),"N/A")</f>
        <v>N/A</v>
      </c>
      <c r="CB93" s="86" t="str">
        <f>IFERROR(VLOOKUP($B93,'LOD 300 - COLO1'!$B:BR,69,FALSE),"N/A")</f>
        <v>N/A</v>
      </c>
      <c r="CC93" s="86" t="str">
        <f>IFERROR(VLOOKUP($B93,'LOD 300 - COLO1'!$B:BU,72,FALSE),"N/A")</f>
        <v>N/A</v>
      </c>
      <c r="CD93" s="86" t="str">
        <f>IFERROR(VLOOKUP($B93,'LOD 300 - COLO1'!$B:BX,75,FALSE),"N/A")</f>
        <v>N/A</v>
      </c>
      <c r="CE93" s="86" t="str">
        <f>IFERROR(VLOOKUP($B93,'LOD 300 - COLO1'!$B:CA,78,FALSE),"N/A")</f>
        <v>N/A</v>
      </c>
      <c r="CF93" s="87" t="str">
        <f>IFERROR(VLOOKUP($B93,'LOD 300 - COLO1'!$B:CD,81,FALSE),"N/A")</f>
        <v>N/A</v>
      </c>
      <c r="CG93" s="86" t="str">
        <f>IFERROR(VLOOKUP($B93,'LOD 300 - COLO1'!$B:CG,84,FALSE),"N/A")</f>
        <v>N/A</v>
      </c>
      <c r="CH93" s="87" t="str">
        <f>IFERROR(VLOOKUP($B93,'LOD 300 - COLO1'!$B:CJ,87,FALSE),"N/A")</f>
        <v>N/A</v>
      </c>
      <c r="CI93" s="88" t="str">
        <f>IFERROR(VLOOKUP($B93,'LOD 300 - COLO1'!$B:CM,90,FALSE),"N/A")</f>
        <v>N/A</v>
      </c>
      <c r="CJ93" s="88" t="str">
        <f>IFERROR(VLOOKUP($B93,'LOD 300 - COLO1'!$B:CP,93,FALSE),"N/A")</f>
        <v>N/A</v>
      </c>
      <c r="CK93" s="88" t="str">
        <f>IFERROR(VLOOKUP($B93,'LOD 300 - COLO1'!$B:CS,96,FALSE),"N/A")</f>
        <v>N/A</v>
      </c>
      <c r="CL93" s="88" t="str">
        <f>IFERROR(VLOOKUP($B93,'LOD 300 - COLO1'!$B:CV,99,FALSE),"N/A")</f>
        <v>N/A</v>
      </c>
      <c r="CM93" s="88" t="str">
        <f>IFERROR(VLOOKUP($B93,'LOD 300 - COLO1'!$B:CY,102,FALSE),"N/A")</f>
        <v>N/A</v>
      </c>
      <c r="CN93" s="89" t="str">
        <f>IFERROR(VLOOKUP($B93,'LOD 300 - COLO1'!$B:DB,105,FALSE),"N/A")</f>
        <v>N/A</v>
      </c>
      <c r="CO93" s="87" t="str">
        <f>IFERROR(VLOOKUP($B93,'LOD 300 - COLO1'!$B:EE,108,FALSE),"N/A")</f>
        <v>N/A</v>
      </c>
      <c r="CP93" s="87" t="str">
        <f>IFERROR(VLOOKUP($B93,'LOD 300 - COLO1'!$B:EH,111,FALSE),"N/A")</f>
        <v>N/A</v>
      </c>
      <c r="CQ93" s="87" t="str">
        <f>IFERROR(VLOOKUP($B93,'LOD 300 - COLO1'!$B:EK,114,FALSE),"N/A")</f>
        <v>N/A</v>
      </c>
      <c r="CR93" s="87" t="str">
        <f>IFERROR(VLOOKUP($B93,'LOD 300 - COLO1'!$B:EN,117,FALSE),"N/A")</f>
        <v>N/A</v>
      </c>
      <c r="CS93" s="87" t="str">
        <f>IFERROR(VLOOKUP($B93,'LOD 300 - COLO1'!$B:EQ,120,FALSE),"N/A")</f>
        <v>N/A</v>
      </c>
      <c r="CT93" s="87" t="str">
        <f>IFERROR(VLOOKUP($B93,'LOD 300 - COLO1'!$B:ET,123,FALSE),"N/A")</f>
        <v>N/A</v>
      </c>
      <c r="CU93" s="87" t="str">
        <f>IFERROR(VLOOKUP($B93,'LOD 300 - COLO1'!$B:EW,126,FALSE),"N/A")</f>
        <v>N/A</v>
      </c>
      <c r="CV93" s="87" t="str">
        <f>IFERROR(VLOOKUP($B93,'LOD 300 - COLO1'!$B:EZ,129,FALSE),"N/A")</f>
        <v>N/A</v>
      </c>
      <c r="CW93" s="87" t="str">
        <f>IFERROR(VLOOKUP($B93,'LOD 300 - COLO1'!$B:FC,132,FALSE),"N/A")</f>
        <v>N/A</v>
      </c>
      <c r="CX93" s="96" t="str">
        <f>IFERROR(__xludf.DUMMYFUNCTION("IFERROR(
  MAX(FILTER(BK93:CW93, ISNUMBER(BK93:CW93))),
  CW93
)"),"N/A")</f>
        <v>N/A</v>
      </c>
      <c r="CY93" s="104" t="str">
        <f>IFERROR(VLOOKUP($B93,'LOD 300 - COLO2'!$B:S,18,FALSE),"N/A")</f>
        <v>N/A</v>
      </c>
      <c r="CZ93" s="117" t="str">
        <f>IFERROR(VLOOKUP($B93,'LOD 300 - COLO2'!$B:V,21,FALSE),"N/A")</f>
        <v>N/A</v>
      </c>
      <c r="DA93" s="117" t="str">
        <f>IFERROR(VLOOKUP($B93,'LOD 300 - COLO2'!$B:Y,24,FALSE),"N/A")</f>
        <v>N/A</v>
      </c>
      <c r="DB93" s="117" t="str">
        <f>IFERROR(VLOOKUP($B93,'LOD 300 - COLO2'!$B:AB,27,FALSE),"N/A")</f>
        <v>N/A</v>
      </c>
      <c r="DC93" s="92" t="str">
        <f>IFERROR(VLOOKUP($B93,'LOD 300 - COLO2'!$B:AE,30,FALSE),"N/A")</f>
        <v>N/A</v>
      </c>
      <c r="DD93" s="120" t="str">
        <f>IFERROR(VLOOKUP($B93,'LOD 300 - COLO2'!$B:AH,33,FALSE),"N/A")</f>
        <v>N/A</v>
      </c>
      <c r="DE93" s="117" t="str">
        <f>IFERROR(VLOOKUP($B93,'LOD 300 - COLO2'!$B:AK,36,FALSE),"N/A")</f>
        <v>N/A</v>
      </c>
      <c r="DF93" s="117" t="str">
        <f>IFERROR(VLOOKUP($B93,'LOD 300 - COLO2'!$B:AN,39,FALSE),"N/A")</f>
        <v>N/A</v>
      </c>
      <c r="DG93" s="119" t="str">
        <f>IFERROR(VLOOKUP($B93,'LOD 300 - COLO2'!$B:AQ,42,FALSE),"N/A")</f>
        <v>N/A</v>
      </c>
      <c r="DH93" s="87" t="str">
        <f>IFERROR(VLOOKUP($B93,'LOD 300 - COLO2'!$B:AT,45,FALSE),"N/A")</f>
        <v>N/A</v>
      </c>
      <c r="DI93" s="94" t="str">
        <f>IFERROR(VLOOKUP($B93,'LOD 300 - COLO2'!$B:AW,48,FALSE),"N/A")</f>
        <v>N/A</v>
      </c>
      <c r="DJ93" s="95" t="str">
        <f>IFERROR(VLOOKUP($B93,'LOD 300 - COLO2'!$B:AZ,51,FALSE),"N/A")</f>
        <v>N/A</v>
      </c>
      <c r="DK93" s="86" t="str">
        <f>IFERROR(VLOOKUP($B93,'LOD 300 - COLO2'!$B:BC,54,FALSE),"N/A")</f>
        <v>N/A</v>
      </c>
      <c r="DL93" s="86" t="str">
        <f>IFERROR(VLOOKUP($B93,'LOD 300 - COLO2'!$B:BF,57,FALSE),"N/A")</f>
        <v>N/A</v>
      </c>
      <c r="DM93" s="86" t="str">
        <f>IFERROR(VLOOKUP($B93,'LOD 300 - COLO2'!$B:BI,60,FALSE),"N/A")</f>
        <v>N/A</v>
      </c>
      <c r="DN93" s="86" t="str">
        <f>IFERROR(VLOOKUP($B93,'LOD 300 - COLO2'!$B:BL,63,FALSE),"N/A")</f>
        <v>N/A</v>
      </c>
      <c r="DO93" s="86" t="str">
        <f>IFERROR(VLOOKUP($B93,'LOD 300 - COLO2'!$B:BO,66,FALSE),"N/A")</f>
        <v>N/A</v>
      </c>
      <c r="DP93" s="87" t="str">
        <f>IFERROR(VLOOKUP($B93,'LOD 300 - COLO2'!$B:BR,69,FALSE),"N/A")</f>
        <v>N/A</v>
      </c>
      <c r="DQ93" s="87" t="str">
        <f>IFERROR(VLOOKUP($B93,'LOD 300 - COLO2'!$B:BU,72,FALSE),"N/A")</f>
        <v>N/A</v>
      </c>
      <c r="DR93" s="87" t="str">
        <f>IFERROR(VLOOKUP($B93,'LOD 300 - COLO2'!$B:BX,75,FALSE),"N/A")</f>
        <v>N/A</v>
      </c>
      <c r="DS93" s="98" t="str">
        <f>IFERROR(VLOOKUP($B93,'LOD 300 - COLO2'!$B:CA,78,FALSE),"N/A")</f>
        <v>N/A</v>
      </c>
      <c r="DT93" s="98" t="str">
        <f>IFERROR(VLOOKUP($B93,'LOD 300 - COLO2'!$B:CD,81,FALSE),"N/A")</f>
        <v>N/A</v>
      </c>
      <c r="DU93" s="98" t="str">
        <f>IFERROR(VLOOKUP($B93,'LOD 300 - COLO2'!$B:CG,84,FALSE),"N/A")</f>
        <v>N/A</v>
      </c>
      <c r="DV93" s="98" t="str">
        <f>IFERROR(VLOOKUP($B93,'LOD 300 - COLO2'!$B:CJ,87,FALSE),"N/A")</f>
        <v>N/A</v>
      </c>
      <c r="DW93" s="98" t="str">
        <f>IFERROR(VLOOKUP($B93,'LOD 300 - COLO2'!$B:CM,90,FALSE),"N/A")</f>
        <v>N/A</v>
      </c>
      <c r="DX93" s="98" t="str">
        <f>IFERROR(VLOOKUP($B93,'LOD 300 - COLO2'!$B:CP,93,FALSE),"N/A")</f>
        <v>N/A</v>
      </c>
      <c r="DY93" s="87" t="str">
        <f>IFERROR(VLOOKUP($B93,'LOD 300 - COLO2'!$B:CS,96,FALSE),"N/A")</f>
        <v>N/A</v>
      </c>
      <c r="DZ93" s="87" t="str">
        <f>IFERROR(VLOOKUP($B93,'LOD 300 - COLO2'!$B:CV,99,FALSE),"N/A")</f>
        <v>N/A</v>
      </c>
      <c r="EA93" s="87" t="str">
        <f>IFERROR(VLOOKUP($B93,'LOD 300 - COLO2'!$B:DB,105,FALSE),"N/A")</f>
        <v>N/A</v>
      </c>
      <c r="EB93" s="87" t="str">
        <f>IFERROR(VLOOKUP($B93,'LOD 300 - COLO2'!$B:DB,105,FALSE),"N/A")</f>
        <v>N/A</v>
      </c>
      <c r="EC93" s="87" t="str">
        <f>IFERROR(VLOOKUP($B93,'LOD 300 - COLO2'!$B:DE,108,FALSE),"N/A")</f>
        <v>N/A</v>
      </c>
      <c r="ED93" s="87" t="str">
        <f>IFERROR(VLOOKUP($B93,'LOD 300 - COLO2'!$B:DH,111,FALSE),"N/A")</f>
        <v>N/A</v>
      </c>
      <c r="EE93" s="87" t="str">
        <f>IFERROR(VLOOKUP($B93,'LOD 300 - COLO2'!$B:DK,114,FALSE),"N/A")</f>
        <v>N/A</v>
      </c>
      <c r="EF93" s="87" t="str">
        <f>IFERROR(VLOOKUP($B93,'LOD 300 - COLO2'!$B:DN,117,FALSE),"N/A")</f>
        <v>N/A</v>
      </c>
      <c r="EG93" s="87" t="str">
        <f>IFERROR(VLOOKUP($B93,'LOD 300 - COLO2'!$B:DQ,120,FALSE),"N/A")</f>
        <v>N/A</v>
      </c>
      <c r="EH93" s="99" t="str">
        <f>IFERROR(__xludf.DUMMYFUNCTION("IFERROR(
  MAX(FILTER(CZ93:EG93, ISNUMBER(CZ93:EG93))),
  EG93
)"),"N/A")</f>
        <v>N/A</v>
      </c>
      <c r="EI93" s="100" t="str">
        <f>IFERROR(VLOOKUP($B93,'LOD 300 - COLO3'!$B:R,17,FALSE),"N/A")</f>
        <v>N/A</v>
      </c>
      <c r="EJ93" s="127" t="str">
        <f>IFERROR(VLOOKUP($B93,'LOD 300 - COLO3'!$B:U,20,FALSE),"N/A")</f>
        <v>N/A</v>
      </c>
      <c r="EK93" s="127" t="str">
        <f>IFERROR(VLOOKUP($B93,'LOD 300 - COLO3'!$B:X,23,FALSE),"N/A")</f>
        <v>N/A</v>
      </c>
      <c r="EL93" s="127" t="str">
        <f>IFERROR(VLOOKUP($B93,'LOD 300 - COLO3'!$B:AA,26,FALSE),"N/A")</f>
        <v>N/A</v>
      </c>
      <c r="EM93" s="127" t="str">
        <f>IFERROR(VLOOKUP($B93,'LOD 300 - COLO3'!$B:AD,29,FALSE),"N/A")</f>
        <v>N/A</v>
      </c>
      <c r="EN93" s="127" t="str">
        <f>IFERROR(VLOOKUP($B93,'LOD 300 - COLO3'!$B:AG,32,FALSE),"N/A")</f>
        <v>N/A</v>
      </c>
      <c r="EO93" s="127" t="str">
        <f>IFERROR(VLOOKUP($B93,'LOD 300 - COLO3'!$B:AJ,35,FALSE),"N/A")</f>
        <v>N/A</v>
      </c>
      <c r="EP93" s="100" t="str">
        <f>IFERROR(VLOOKUP($B93,'LOD 300 - COLO3'!$B:AM,38,FALSE),"N/A")</f>
        <v>N/A</v>
      </c>
      <c r="EQ93" s="100" t="str">
        <f>IFERROR(VLOOKUP($B93,'LOD 300 - COLO3'!$B:AP,41,FALSE),"N/A")</f>
        <v>N/A</v>
      </c>
      <c r="ER93" s="100" t="str">
        <f>IFERROR(VLOOKUP($B93,'LOD 300 - COLO3'!$B:AS,44,FALSE),"N/A")</f>
        <v>N/A</v>
      </c>
      <c r="ES93" s="100" t="str">
        <f>IFERROR(VLOOKUP($B93,'LOD 300 - COLO3'!$B:AV,47,FALSE),"N/A")</f>
        <v>N/A</v>
      </c>
      <c r="ET93" s="100" t="str">
        <f>IFERROR(VLOOKUP($B93,'LOD 300 - COLO3'!$B:AY,50,FALSE),"N/A")</f>
        <v>N/A</v>
      </c>
      <c r="EU93" s="100" t="str">
        <f>IFERROR(VLOOKUP($B93,'LOD 300 - COLO3'!$B:BB,53,FALSE),"N/A")</f>
        <v>N/A</v>
      </c>
      <c r="EV93" s="100" t="str">
        <f>IFERROR(VLOOKUP($B93,'LOD 300 - COLO3'!$B:BE,56,FALSE),"N/A")</f>
        <v>N/A</v>
      </c>
      <c r="EW93" s="100" t="str">
        <f>IFERROR(VLOOKUP($B93,'LOD 300 - COLO3'!$B:BL,59,FALSE),"N/A")</f>
        <v>N/A</v>
      </c>
      <c r="EX93" s="100" t="str">
        <f>IFERROR(VLOOKUP($B93,'LOD 300 - COLO3'!$B:BO,62,FALSE),"N/A")</f>
        <v>N/A</v>
      </c>
      <c r="EY93" s="103" t="str">
        <f>IFERROR(__xludf.DUMMYFUNCTION("IFERROR(
  MAX(FILTER(EI93:EX93, ISNUMBER(EI93:EX93))),
  EX93
)"),"N/A")</f>
        <v>N/A</v>
      </c>
      <c r="EZ93" s="104" t="str">
        <f>IFERROR(VLOOKUP($B93,'LOD 300 - COLO4'!$B:BT,17,FALSE),"N/A")</f>
        <v>N/A</v>
      </c>
      <c r="FA93" s="103" t="str">
        <f>IFERROR(__xludf.DUMMYFUNCTION("IFERROR(
  MAX(FILTER(EZ93, ISNUMBER(EZ93))),
  EZ93
)"),"N/A")</f>
        <v>N/A</v>
      </c>
      <c r="FB93" s="121">
        <f>IFERROR(VLOOKUP($B93,'LOD 300 - SITE'!$B:S,18,FALSE),"N/A")</f>
        <v>0.31</v>
      </c>
      <c r="FC93" s="122">
        <f>IFERROR(VLOOKUP($B93,'LOD 300 - SITE'!$B:V,21,FALSE),"N/A")</f>
        <v>0.65</v>
      </c>
      <c r="FD93" s="122" t="str">
        <f>IFERROR(VLOOKUP($B93,'LOD 300 - SITE'!$B:Y,24,FALSE),"N/A")</f>
        <v>OUTDATED MODEL</v>
      </c>
      <c r="FE93" s="122">
        <f>IFERROR(VLOOKUP($B93,'LOD 300 - SITE'!$B:AB,27,FALSE),"N/A")</f>
        <v>0.89</v>
      </c>
      <c r="FF93" s="122" t="str">
        <f>IFERROR(VLOOKUP($B93,'LOD 300 - SITE'!$B:AE,30,FALSE),"N/A")</f>
        <v>OUTDATED MODEL</v>
      </c>
      <c r="FG93" s="122">
        <f>IFERROR(VLOOKUP($B93,'LOD 300 - SITE'!$B:AH,33,FALSE),"N/A")</f>
        <v>0.97</v>
      </c>
      <c r="FH93" s="122" t="str">
        <f>IFERROR(VLOOKUP($B93,'LOD 300 - SITE'!$B:AK,36,FALSE),"N/A")</f>
        <v>OUTDATED MODEL</v>
      </c>
      <c r="FI93" s="122">
        <f>IFERROR(VLOOKUP($B93,'LOD 300 - SITE'!$B:AN,39,FALSE),"N/A")</f>
        <v>1</v>
      </c>
      <c r="FJ93" s="122">
        <f>IFERROR(VLOOKUP($B93,'LOD 300 - SITE'!$B:AQ,42,FALSE),"N/A")</f>
        <v>1</v>
      </c>
      <c r="FK93" s="122">
        <f>IFERROR(VLOOKUP($B93,'LOD 300 - SITE'!$B:AT,45,FALSE),"N/A")</f>
        <v>1</v>
      </c>
      <c r="FL93" s="123">
        <f>IFERROR(VLOOKUP($B93,'LOD 300 - SITE'!$B:AW,48,FALSE),"N/A")</f>
        <v>1</v>
      </c>
      <c r="FM93" s="87">
        <f>IFERROR(VLOOKUP($B93,'LOD 300 - SITE'!$B:AZ,51,FALSE),"N/A")</f>
        <v>1</v>
      </c>
      <c r="FN93" s="94">
        <f>IFERROR(VLOOKUP($B93,'LOD 300 - SITE'!$B:BC,54,FALSE),"N/A")</f>
        <v>1</v>
      </c>
      <c r="FO93" s="95">
        <f>IFERROR(VLOOKUP($B93,'LOD 300 - SITE'!$B:BF,57,FALSE),"N/A")</f>
        <v>1</v>
      </c>
      <c r="FP93" s="86">
        <f>IFERROR(VLOOKUP($B93,'LOD 300 - SITE'!$B:BI,60,FALSE),"N/A")</f>
        <v>1</v>
      </c>
      <c r="FQ93" s="86">
        <f>IFERROR(VLOOKUP($B93,'LOD 300 - SITE'!$B:BL,63,FALSE),"N/A")</f>
        <v>1</v>
      </c>
      <c r="FR93" s="86">
        <f>IFERROR(VLOOKUP($B93,'LOD 300 - SITE'!$B:BO,66,FALSE),"N/A")</f>
        <v>1</v>
      </c>
      <c r="FS93" s="86">
        <f>IFERROR(VLOOKUP($B93,'LOD 300 - SITE'!$B:BR,69,FALSE),"N/A")</f>
        <v>1</v>
      </c>
      <c r="FT93" s="86">
        <f>IFERROR(VLOOKUP($B93,'LOD 300 - SITE'!$B:BU,72,FALSE),"N/A")</f>
        <v>1</v>
      </c>
      <c r="FU93" s="86">
        <f>IFERROR(VLOOKUP($B93,'LOD 300 - SITE'!$B:BX,75,FALSE),"N/A")</f>
        <v>1</v>
      </c>
      <c r="FV93" s="86">
        <f>IFERROR(VLOOKUP($B93,'LOD 300 - SITE'!$B:CA,78,FALSE),"N/A")</f>
        <v>1</v>
      </c>
      <c r="FW93" s="87">
        <f>IFERROR(VLOOKUP($B93,'LOD 300 - SITE'!$B:CD,81,FALSE),"N/A")</f>
        <v>1</v>
      </c>
      <c r="FX93" s="108">
        <f>IFERROR(VLOOKUP($B93,'LOD 300 - SITE'!$B:CG,84,FALSE),"N/A")</f>
        <v>1</v>
      </c>
      <c r="FY93" s="108">
        <f>IFERROR(VLOOKUP($B93,'LOD 300 - SITE'!$B:CJ,87,FALSE),"N/A")</f>
        <v>1</v>
      </c>
      <c r="FZ93" s="108">
        <f>IFERROR(VLOOKUP($B93,'LOD 300 - SITE'!$B:CM,90,FALSE),"N/A")</f>
        <v>1</v>
      </c>
      <c r="GA93" s="108">
        <f>IFERROR(VLOOKUP($B93,'LOD 300 - SITE'!$B:CP,93,FALSE),"N/A")</f>
        <v>1</v>
      </c>
      <c r="GB93" s="108">
        <f>IFERROR(VLOOKUP($B93,'LOD 300 - SITE'!$B:CS,96,FALSE),"N/A")</f>
        <v>1</v>
      </c>
      <c r="GC93" s="109">
        <f>IFERROR(VLOOKUP($B93,'LOD 300 - SITE'!$B:CV,99,FALSE),"N/A")</f>
        <v>1</v>
      </c>
      <c r="GD93" s="87">
        <f>IFERROR(VLOOKUP($B93,'LOD 300 - SITE'!$B:CY,102,FALSE),"N/A")</f>
        <v>1</v>
      </c>
      <c r="GE93" s="87">
        <f>IFERROR(VLOOKUP($B93,'LOD 300 - SITE'!$B:DB,105,FALSE),"N/A")</f>
        <v>1</v>
      </c>
      <c r="GF93" s="87">
        <f>IFERROR(VLOOKUP($B93,'LOD 300 - SITE'!$B:DE,108,FALSE),"N/A")</f>
        <v>1</v>
      </c>
      <c r="GG93" s="87">
        <f>IFERROR(VLOOKUP($B93,'LOD 300 - SITE'!$B:DH,111,FALSE),"N/A")</f>
        <v>1</v>
      </c>
      <c r="GH93" s="87">
        <f>IFERROR(VLOOKUP($B93,'LOD 300 - SITE'!$B:DK,114,FALSE),"N/A")</f>
        <v>1</v>
      </c>
      <c r="GI93" s="87">
        <f>IFERROR(VLOOKUP($B93,'LOD 300 - SITE'!$B:DN,117,FALSE),"N/A")</f>
        <v>1</v>
      </c>
      <c r="GJ93" s="87">
        <f>IFERROR(VLOOKUP($B93,'LOD 300 - SITE'!$B:DQ,120,FALSE),"N/A")</f>
        <v>1</v>
      </c>
      <c r="GK93" s="87">
        <f>IFERROR(VLOOKUP($B93,'LOD 300 - SITE'!$B:DT,123,FALSE),"N/A")</f>
        <v>1</v>
      </c>
      <c r="GL93" s="87">
        <f>IFERROR(VLOOKUP($B93,'LOD 300 - SITE'!$B:DW,126,FALSE),"N/A")</f>
        <v>1</v>
      </c>
      <c r="GM93" s="110">
        <f>IFERROR(__xludf.DUMMYFUNCTION("IFERROR(
  MAX(FILTER(FB93:GL93, ISNUMBER(FB93:GL93))),
  GL93
)"),1.0)</f>
        <v>1</v>
      </c>
      <c r="GN93" s="68"/>
      <c r="GO93" s="68"/>
      <c r="GP93" s="68"/>
    </row>
    <row r="94" ht="15.0" customHeight="1" outlineLevel="1">
      <c r="A94" s="60">
        <v>97.0</v>
      </c>
      <c r="B94" s="140" t="s">
        <v>291</v>
      </c>
      <c r="C94" s="70" t="s">
        <v>292</v>
      </c>
      <c r="D94" s="71" t="s">
        <v>85</v>
      </c>
      <c r="E94" s="138" t="s">
        <v>293</v>
      </c>
      <c r="F94" s="13"/>
      <c r="G94" s="147" t="s">
        <v>288</v>
      </c>
      <c r="H94" s="150"/>
      <c r="I94" s="74" t="str">
        <f>IFERROR(VLOOKUP(C91:C233,'R22 RELATÓRIO ACC'!B:F,5,FALSE),"NOT PUBLISHED")</f>
        <v>V11</v>
      </c>
      <c r="J94" s="74" t="str">
        <f>IFERROR(VLOOKUP(C91:C233,'R22 RELATÓRIO ACC'!B:P,15,FALSE),"NOT PUBLISHED")</f>
        <v>28/04/2026</v>
      </c>
      <c r="K94" s="141" t="str">
        <f>IFERROR(VLOOKUP(B91:B281,'RELATÓRIO ACC'!B:F,5,FALSE),"NOT PUBLISHED")</f>
        <v>V1</v>
      </c>
      <c r="L94" s="142" t="str">
        <f>IFERROR(VLOOKUP(B91:B281,'RELATÓRIO ACC'!B:P,15,FALSE),"NOT PUBLISHED")</f>
        <v>15/05/2026</v>
      </c>
      <c r="M94" s="76" t="str">
        <f>IF(OR($D94="UTLS",$D94="GUAR",$D94="STIR",$D94="PUMP",$D94="SITE"),
   VLOOKUP($B94,'LOD 300 - SITE'!B:M,12,FALSE),
   VLOOKUP($B94,'LOD 300 - ADMN'!B:M,12,FALSE)
)</f>
        <v>V4</v>
      </c>
      <c r="N94" s="77" t="str">
        <f>IF(OR($D94="UTLS",$D94="GUAR",$D94="STIR",$D94="PUMP",$D94="SITE"),
   VLOOKUP($B94,'LOD 300 - SITE'!B:N,13,FALSE),
   VLOOKUP($B94,'LOD 300 - ADMN'!B:N,13,FALSE)
)</f>
        <v>08/10/2025</v>
      </c>
      <c r="O94" s="114" t="str">
        <f>IF(OR($D94="UTLS",$D94="GUAR",$D94="STIR",$D94="PUMP",$D94="SITE"),
   VLOOKUP($B94,'LOD 300 - SITE'!B:O,14,FALSE),
   VLOOKUP($B94,'LOD 300 - ADMN'!B:O,14,FALSE)
)</f>
        <v>R22</v>
      </c>
      <c r="P94" s="79" t="str">
        <f>IF(OR($D94="C345",$D94="C12A",$D94="DATA"),
   VLOOKUP($B94,'LOD 300 - COLO3'!B:M,12,FALSE),"N/A")</f>
        <v>V10</v>
      </c>
      <c r="Q94" s="77" t="str">
        <f>IF(OR($D94="C345",$D94="C12A",$D94="DATA"),
   VLOOKUP($B94,'LOD 300 - COLO3'!B:N,13,FALSE),"N/A")</f>
        <v>13/03/2026</v>
      </c>
      <c r="R94" s="76" t="str">
        <f>IF(OR($D94="C345",$D94="C12A",$D94="DATA"),
   VLOOKUP($B94,'LOD 300 - COLO3'!B:O,14,FALSE),"N/A")</f>
        <v>R22</v>
      </c>
      <c r="S94" s="79" t="str">
        <f>IF(OR($D94="C345",$D94="C12A",$D94="DATA"),
   VLOOKUP($B94,'LOD 300 - COLO4'!B:M,12,FALSE),"N/A")</f>
        <v>N/A</v>
      </c>
      <c r="T94" s="76" t="str">
        <f>IF(OR($D94="C345",$D94="C12A",$D94="DATA"),
   VLOOKUP($B94,'LOD 300 - COLO4'!B:T,13,FALSE),"N/A")</f>
        <v>N/A</v>
      </c>
      <c r="U94" s="81">
        <f>IF(OR($D94="C345",$D94="C12A",$D94="DATA"),
   VLOOKUP($B94,'LOD 300 - COLO4'!B:U,17,FALSE),"N/A")</f>
        <v>0</v>
      </c>
      <c r="V94" s="126" t="s">
        <v>146</v>
      </c>
      <c r="W94" s="144" t="str">
        <f>IFERROR(VLOOKUP($B94,'LOD 300 - ADMN'!$B:S,18,FALSE),"N/A")</f>
        <v>NOT PUBLISHED</v>
      </c>
      <c r="X94" s="122" t="str">
        <f>IFERROR(VLOOKUP($B94,'LOD 300 - ADMN'!$B:V,21,FALSE),"N/A")</f>
        <v>NOT PUBLISHED</v>
      </c>
      <c r="Y94" s="122">
        <f>IFERROR(VLOOKUP($B94,'LOD 300 - ADMN'!$B:Y,24,FALSE),"N/A")</f>
        <v>0.27</v>
      </c>
      <c r="Z94" s="122">
        <f>IFERROR(VLOOKUP($B94,'LOD 300 - ADMN'!$B:AB,27,FALSE),"N/A")</f>
        <v>0.73</v>
      </c>
      <c r="AA94" s="122" t="str">
        <f>IFERROR(VLOOKUP($B94,'LOD 300 - ADMN'!$B:AE,30,FALSE),"N/A")</f>
        <v>OUTDATED MODEL</v>
      </c>
      <c r="AB94" s="145" t="str">
        <f>IFERROR(VLOOKUP($B94,'LOD 300 - ADMN'!$B:AH,33,FALSE),"N/A")</f>
        <v>OUTDATED MODEL</v>
      </c>
      <c r="AC94" s="145" t="str">
        <f>IFERROR(VLOOKUP($B94,'LOD 300 - ADMN'!$B:AK,36,FALSE),"N/A")</f>
        <v>OUTDATED MODEL</v>
      </c>
      <c r="AD94" s="122">
        <f>IFERROR(VLOOKUP($B94,'LOD 300 - ADMN'!$B:AN,39,FALSE),"N/A")</f>
        <v>1</v>
      </c>
      <c r="AE94" s="122">
        <f>IFERROR(VLOOKUP($B94,'LOD 300 - ADMN'!$B:AQ,42,FALSE),"N/A")</f>
        <v>1</v>
      </c>
      <c r="AF94" s="122">
        <f>IFERROR(VLOOKUP($B94,'LOD 300 - ADMN'!$B:AT,45,FALSE),"N/A")</f>
        <v>1</v>
      </c>
      <c r="AG94" s="122">
        <f>IFERROR(VLOOKUP($B94,'LOD 300 - ADMN'!$B:AW,48,FALSE),"N/A")</f>
        <v>1</v>
      </c>
      <c r="AH94" s="122">
        <f>IFERROR(VLOOKUP($B94,'LOD 300 - ADMN'!$B:AZ,51,FALSE),"N/A")</f>
        <v>1</v>
      </c>
      <c r="AI94" s="122">
        <f>IFERROR(VLOOKUP($B94,'LOD 300 - ADMN'!$B:BC,54,FALSE),"N/A")</f>
        <v>1</v>
      </c>
      <c r="AJ94" s="87">
        <f>IFERROR(VLOOKUP($B94,'LOD 300 - ADMN'!$B:BF,57,FALSE),"N/A")</f>
        <v>1</v>
      </c>
      <c r="AK94" s="87">
        <f>IFERROR(VLOOKUP($B94,'LOD 300 - ADMN'!$B:EP,60,FALSE),"N/A")</f>
        <v>1</v>
      </c>
      <c r="AL94" s="87">
        <f>IFERROR(VLOOKUP($B94,'LOD 300 - ADMN'!$B:EQ,63,FALSE),"N/A")</f>
        <v>1</v>
      </c>
      <c r="AM94" s="87">
        <f>IFERROR(VLOOKUP($B94,'LOD 300 - ADMN'!$B:BO,66,FALSE),"N/A")</f>
        <v>1</v>
      </c>
      <c r="AN94" s="87">
        <f>IFERROR(VLOOKUP($B94,'LOD 300 - ADMN'!$B:BR,69,FALSE),"N/A")</f>
        <v>1</v>
      </c>
      <c r="AO94" s="87">
        <f>IFERROR(VLOOKUP($B94,'LOD 300 - ADMN'!$B:BU,72,FALSE),"N/A")</f>
        <v>1</v>
      </c>
      <c r="AP94" s="87">
        <f>IFERROR(VLOOKUP($B94,'LOD 300 - ADMN'!$B:BX,75,FALSE),"N/A")</f>
        <v>1</v>
      </c>
      <c r="AQ94" s="87">
        <f>IFERROR(VLOOKUP($B94,'LOD 300 - ADMN'!$B:CA,78,FALSE),"N/A")</f>
        <v>1</v>
      </c>
      <c r="AR94" s="87">
        <f>IFERROR(VLOOKUP($B94,'LOD 300 - ADMN'!$B:CD,81,FALSE),"N/A")</f>
        <v>1</v>
      </c>
      <c r="AS94" s="87">
        <f>IFERROR(VLOOKUP($B94,'LOD 300 - ADMN'!$B:CG,84,FALSE),"N/A")</f>
        <v>1</v>
      </c>
      <c r="AT94" s="87">
        <f>IFERROR(VLOOKUP($B94,'LOD 300 - ADMN'!$B:CJ,87,FALSE),"N/A")</f>
        <v>1</v>
      </c>
      <c r="AU94" s="88">
        <f>IFERROR(VLOOKUP($B94,'LOD 300 - ADMN'!$B:CM,90,FALSE),"N/A")</f>
        <v>1</v>
      </c>
      <c r="AV94" s="88">
        <f>IFERROR(VLOOKUP($B94,'LOD 300 - ADMN'!$B:CP,93,FALSE),"N/A")</f>
        <v>1</v>
      </c>
      <c r="AW94" s="88">
        <f>IFERROR(VLOOKUP($B94,'LOD 300 - ADMN'!$B:CS,96,FALSE),"N/A")</f>
        <v>1</v>
      </c>
      <c r="AX94" s="88">
        <f>IFERROR(VLOOKUP($B94,'LOD 300 - ADMN'!$B:CV,99,FALSE),"N/A")</f>
        <v>1</v>
      </c>
      <c r="AY94" s="88">
        <f>IFERROR(VLOOKUP($B94,'LOD 300 - ADMN'!$B:CY,102,FALSE),"N/A")</f>
        <v>1</v>
      </c>
      <c r="AZ94" s="88">
        <f>IFERROR(VLOOKUP($B94,'LOD 300 - ADMN'!$B:DB,105,FALSE),"N/A")</f>
        <v>1</v>
      </c>
      <c r="BA94" s="87">
        <f>IFERROR(VLOOKUP($B94,'LOD 300 - ADMN'!$B:DE,108,FALSE),"N/A")</f>
        <v>1</v>
      </c>
      <c r="BB94" s="87">
        <f>IFERROR(VLOOKUP($B94,'LOD 300 - ADMN'!$B:DH,111,FALSE),"N/A")</f>
        <v>1</v>
      </c>
      <c r="BC94" s="87">
        <f>IFERROR(VLOOKUP($B94,'LOD 300 - ADMN'!$B:DK,114,FALSE),"N/A")</f>
        <v>1</v>
      </c>
      <c r="BD94" s="87">
        <f>IFERROR(VLOOKUP($B94,'LOD 300 - ADMN'!$B:DN,117,FALSE),"N/A")</f>
        <v>1</v>
      </c>
      <c r="BE94" s="87">
        <f>IFERROR(VLOOKUP($B94,'LOD 300 - ADMN'!$B:DQ,120,FALSE),"N/A")</f>
        <v>1</v>
      </c>
      <c r="BF94" s="87">
        <f>IFERROR(VLOOKUP($B94,'LOD 300 - ADMN'!$B:DT,123,FALSE),"N/A")</f>
        <v>1</v>
      </c>
      <c r="BG94" s="87">
        <f>IFERROR(VLOOKUP($B94,'LOD 300 - ADMN'!$B:DW,126,FALSE),"N/A")</f>
        <v>1</v>
      </c>
      <c r="BH94" s="87">
        <f>IFERROR(VLOOKUP($B94,'LOD 300 - ADMN'!$B:DZ,129,FALSE),"N/A")</f>
        <v>1</v>
      </c>
      <c r="BI94" s="87">
        <f>IFERROR(VLOOKUP($B94,'LOD 300 - ADMN'!$B:EC,132,FALSE),"N/A")</f>
        <v>1</v>
      </c>
      <c r="BJ94" s="90">
        <f>IFERROR(__xludf.DUMMYFUNCTION("IFERROR(
  MAX(FILTER(X94:BI94, ISNUMBER(X94:BI94))),
  BI94
)"),1.0)</f>
        <v>1</v>
      </c>
      <c r="BK94" s="91" t="str">
        <f>IFERROR(VLOOKUP($B94,'LOD 300 - COLO1'!$B:S,18,FALSE),"N/A")</f>
        <v>NOT PUBLISHED</v>
      </c>
      <c r="BL94" s="92" t="str">
        <f>IFERROR(VLOOKUP($B94,'LOD 300 - COLO1'!$B:V,21,FALSE),"N/A")</f>
        <v>NOT PUBLISHED</v>
      </c>
      <c r="BM94" s="92">
        <f>IFERROR(VLOOKUP($B94,'LOD 300 - COLO1'!$B:Y,24,FALSE),"N/A")</f>
        <v>0.27</v>
      </c>
      <c r="BN94" s="92">
        <f>IFERROR(VLOOKUP($B94,'LOD 300 - COLO1'!$B:AB,27,FALSE),"N/A")</f>
        <v>0.73</v>
      </c>
      <c r="BO94" s="92" t="str">
        <f>IFERROR(VLOOKUP($B94,'LOD 300 - COLO1'!$B:AE,30,FALSE),"N/A")</f>
        <v>OUTDATED MODEL</v>
      </c>
      <c r="BP94" s="92" t="str">
        <f>IFERROR(VLOOKUP($B94,'LOD 300 - COLO1'!$B:AH,33,FALSE),"N/A")</f>
        <v>OUTDATED MODEL</v>
      </c>
      <c r="BQ94" s="92" t="str">
        <f>IFERROR(VLOOKUP($B94,'LOD 300 - COLO1'!$B:AK,36,FALSE),"N/A")</f>
        <v>OUTDATED MODEL</v>
      </c>
      <c r="BR94" s="92">
        <f>IFERROR(VLOOKUP($B94,'LOD 300 - COLO1'!$B:AN,39,FALSE),"N/A")</f>
        <v>1</v>
      </c>
      <c r="BS94" s="92">
        <f>IFERROR(VLOOKUP($B94,'LOD 300 - COLO1'!$B:AQ,42,FALSE),"N/A")</f>
        <v>1</v>
      </c>
      <c r="BT94" s="92">
        <f>IFERROR(VLOOKUP($B94,'LOD 300 - COLO1'!$B:AT,45,FALSE),"N/A")</f>
        <v>1</v>
      </c>
      <c r="BU94" s="92">
        <f>IFERROR(VLOOKUP($B94,'LOD 300 - COLO1'!$B:AW,48,FALSE),"N/A")</f>
        <v>1</v>
      </c>
      <c r="BV94" s="92">
        <f>IFERROR(VLOOKUP($B94,'LOD 300 - COLO1'!$B:AZ,51,FALSE),"N/A")</f>
        <v>1</v>
      </c>
      <c r="BW94" s="92">
        <f>IFERROR(VLOOKUP($B94,'LOD 300 - COLO1'!$B:BC,54,FALSE),"N/A")</f>
        <v>1</v>
      </c>
      <c r="BX94" s="94">
        <f>IFERROR(VLOOKUP($B94,'LOD 300 - COLO1'!$B:BF,57,FALSE),"N/A")</f>
        <v>1</v>
      </c>
      <c r="BY94" s="94">
        <f>IFERROR(VLOOKUP($B94,'LOD 300 - COLO1'!$B:BI,60,FALSE),"N/A")</f>
        <v>1</v>
      </c>
      <c r="BZ94" s="95">
        <f>IFERROR(VLOOKUP($B94,'LOD 300 - COLO1'!$B:BL,63,FALSE),"N/A")</f>
        <v>1</v>
      </c>
      <c r="CA94" s="86">
        <f>IFERROR(VLOOKUP($B94,'LOD 300 - COLO1'!$B:BO,66,FALSE),"N/A")</f>
        <v>1</v>
      </c>
      <c r="CB94" s="86">
        <f>IFERROR(VLOOKUP($B94,'LOD 300 - COLO1'!$B:BR,69,FALSE),"N/A")</f>
        <v>1</v>
      </c>
      <c r="CC94" s="86">
        <f>IFERROR(VLOOKUP($B94,'LOD 300 - COLO1'!$B:BU,72,FALSE),"N/A")</f>
        <v>1</v>
      </c>
      <c r="CD94" s="86">
        <f>IFERROR(VLOOKUP($B94,'LOD 300 - COLO1'!$B:BX,75,FALSE),"N/A")</f>
        <v>1</v>
      </c>
      <c r="CE94" s="86">
        <f>IFERROR(VLOOKUP($B94,'LOD 300 - COLO1'!$B:CA,78,FALSE),"N/A")</f>
        <v>1</v>
      </c>
      <c r="CF94" s="87">
        <f>IFERROR(VLOOKUP($B94,'LOD 300 - COLO1'!$B:CD,81,FALSE),"N/A")</f>
        <v>1</v>
      </c>
      <c r="CG94" s="86">
        <f>IFERROR(VLOOKUP($B94,'LOD 300 - COLO1'!$B:CG,84,FALSE),"N/A")</f>
        <v>1</v>
      </c>
      <c r="CH94" s="87">
        <f>IFERROR(VLOOKUP($B94,'LOD 300 - COLO1'!$B:CJ,87,FALSE),"N/A")</f>
        <v>1</v>
      </c>
      <c r="CI94" s="88">
        <f>IFERROR(VLOOKUP($B94,'LOD 300 - COLO1'!$B:CM,90,FALSE),"N/A")</f>
        <v>1</v>
      </c>
      <c r="CJ94" s="88">
        <f>IFERROR(VLOOKUP($B94,'LOD 300 - COLO1'!$B:CP,93,FALSE),"N/A")</f>
        <v>1</v>
      </c>
      <c r="CK94" s="88">
        <f>IFERROR(VLOOKUP($B94,'LOD 300 - COLO1'!$B:CS,96,FALSE),"N/A")</f>
        <v>1</v>
      </c>
      <c r="CL94" s="88">
        <f>IFERROR(VLOOKUP($B94,'LOD 300 - COLO1'!$B:CV,99,FALSE),"N/A")</f>
        <v>1</v>
      </c>
      <c r="CM94" s="88">
        <f>IFERROR(VLOOKUP($B94,'LOD 300 - COLO1'!$B:CY,102,FALSE),"N/A")</f>
        <v>1</v>
      </c>
      <c r="CN94" s="89">
        <f>IFERROR(VLOOKUP($B94,'LOD 300 - COLO1'!$B:DB,105,FALSE),"N/A")</f>
        <v>1</v>
      </c>
      <c r="CO94" s="87">
        <f>IFERROR(VLOOKUP($B94,'LOD 300 - COLO1'!$B:EE,108,FALSE),"N/A")</f>
        <v>1</v>
      </c>
      <c r="CP94" s="87">
        <f>IFERROR(VLOOKUP($B94,'LOD 300 - COLO1'!$B:EH,111,FALSE),"N/A")</f>
        <v>1</v>
      </c>
      <c r="CQ94" s="87">
        <f>IFERROR(VLOOKUP($B94,'LOD 300 - COLO1'!$B:EK,114,FALSE),"N/A")</f>
        <v>1</v>
      </c>
      <c r="CR94" s="87">
        <f>IFERROR(VLOOKUP($B94,'LOD 300 - COLO1'!$B:EN,117,FALSE),"N/A")</f>
        <v>1</v>
      </c>
      <c r="CS94" s="87">
        <f>IFERROR(VLOOKUP($B94,'LOD 300 - COLO1'!$B:EQ,120,FALSE),"N/A")</f>
        <v>1</v>
      </c>
      <c r="CT94" s="87">
        <f>IFERROR(VLOOKUP($B94,'LOD 300 - COLO1'!$B:ET,123,FALSE),"N/A")</f>
        <v>1</v>
      </c>
      <c r="CU94" s="87">
        <f>IFERROR(VLOOKUP($B94,'LOD 300 - COLO1'!$B:EW,126,FALSE),"N/A")</f>
        <v>1</v>
      </c>
      <c r="CV94" s="87">
        <f>IFERROR(VLOOKUP($B94,'LOD 300 - COLO1'!$B:EZ,129,FALSE),"N/A")</f>
        <v>1</v>
      </c>
      <c r="CW94" s="87">
        <f>IFERROR(VLOOKUP($B94,'LOD 300 - COLO1'!$B:FC,132,FALSE),"N/A")</f>
        <v>1</v>
      </c>
      <c r="CX94" s="96">
        <f>IFERROR(__xludf.DUMMYFUNCTION("IFERROR(
  MAX(FILTER(BK94:CW94, ISNUMBER(BK94:CW94))),
  CW94
)"),1.0)</f>
        <v>1</v>
      </c>
      <c r="CY94" s="104">
        <f>IFERROR(VLOOKUP($B94,'LOD 300 - COLO2'!$B:S,18,FALSE),"N/A")</f>
        <v>0.67</v>
      </c>
      <c r="CZ94" s="117" t="str">
        <f>IFERROR(VLOOKUP($B94,'LOD 300 - COLO2'!$B:V,21,FALSE),"N/A")</f>
        <v>OUTDATED MODEL</v>
      </c>
      <c r="DA94" s="117" t="str">
        <f>IFERROR(VLOOKUP($B94,'LOD 300 - COLO2'!$B:Y,24,FALSE),"N/A")</f>
        <v>OUTDATED MODEL</v>
      </c>
      <c r="DB94" s="117">
        <f>IFERROR(VLOOKUP($B94,'LOD 300 - COLO2'!$B:AB,27,FALSE),"N/A")</f>
        <v>1</v>
      </c>
      <c r="DC94" s="92">
        <f>IFERROR(VLOOKUP($B94,'LOD 300 - COLO2'!$B:AE,30,FALSE),"N/A")</f>
        <v>1</v>
      </c>
      <c r="DD94" s="120">
        <f>IFERROR(VLOOKUP($B94,'LOD 300 - COLO2'!$B:AH,33,FALSE),"N/A")</f>
        <v>1</v>
      </c>
      <c r="DE94" s="117">
        <f>IFERROR(VLOOKUP($B94,'LOD 300 - COLO2'!$B:AK,36,FALSE),"N/A")</f>
        <v>1</v>
      </c>
      <c r="DF94" s="117">
        <f>IFERROR(VLOOKUP($B94,'LOD 300 - COLO2'!$B:AN,39,FALSE),"N/A")</f>
        <v>1</v>
      </c>
      <c r="DG94" s="119">
        <f>IFERROR(VLOOKUP($B94,'LOD 300 - COLO2'!$B:AQ,42,FALSE),"N/A")</f>
        <v>1</v>
      </c>
      <c r="DH94" s="87">
        <f>IFERROR(VLOOKUP($B94,'LOD 300 - COLO2'!$B:AT,45,FALSE),"N/A")</f>
        <v>1</v>
      </c>
      <c r="DI94" s="94">
        <f>IFERROR(VLOOKUP($B94,'LOD 300 - COLO2'!$B:AW,48,FALSE),"N/A")</f>
        <v>1</v>
      </c>
      <c r="DJ94" s="95">
        <f>IFERROR(VLOOKUP($B94,'LOD 300 - COLO2'!$B:AZ,51,FALSE),"N/A")</f>
        <v>1</v>
      </c>
      <c r="DK94" s="86">
        <f>IFERROR(VLOOKUP($B94,'LOD 300 - COLO2'!$B:BC,54,FALSE),"N/A")</f>
        <v>1</v>
      </c>
      <c r="DL94" s="86">
        <f>IFERROR(VLOOKUP($B94,'LOD 300 - COLO2'!$B:BF,57,FALSE),"N/A")</f>
        <v>1</v>
      </c>
      <c r="DM94" s="86">
        <f>IFERROR(VLOOKUP($B94,'LOD 300 - COLO2'!$B:BI,60,FALSE),"N/A")</f>
        <v>1</v>
      </c>
      <c r="DN94" s="86">
        <f>IFERROR(VLOOKUP($B94,'LOD 300 - COLO2'!$B:BL,63,FALSE),"N/A")</f>
        <v>1</v>
      </c>
      <c r="DO94" s="86">
        <f>IFERROR(VLOOKUP($B94,'LOD 300 - COLO2'!$B:BO,66,FALSE),"N/A")</f>
        <v>1</v>
      </c>
      <c r="DP94" s="87">
        <f>IFERROR(VLOOKUP($B94,'LOD 300 - COLO2'!$B:BR,69,FALSE),"N/A")</f>
        <v>1</v>
      </c>
      <c r="DQ94" s="87">
        <f>IFERROR(VLOOKUP($B94,'LOD 300 - COLO2'!$B:BU,72,FALSE),"N/A")</f>
        <v>1</v>
      </c>
      <c r="DR94" s="87">
        <f>IFERROR(VLOOKUP($B94,'LOD 300 - COLO2'!$B:BX,75,FALSE),"N/A")</f>
        <v>1</v>
      </c>
      <c r="DS94" s="98">
        <f>IFERROR(VLOOKUP($B94,'LOD 300 - COLO2'!$B:CA,78,FALSE),"N/A")</f>
        <v>1</v>
      </c>
      <c r="DT94" s="98">
        <f>IFERROR(VLOOKUP($B94,'LOD 300 - COLO2'!$B:CD,81,FALSE),"N/A")</f>
        <v>1</v>
      </c>
      <c r="DU94" s="98">
        <f>IFERROR(VLOOKUP($B94,'LOD 300 - COLO2'!$B:CG,84,FALSE),"N/A")</f>
        <v>1</v>
      </c>
      <c r="DV94" s="98">
        <f>IFERROR(VLOOKUP($B94,'LOD 300 - COLO2'!$B:CJ,87,FALSE),"N/A")</f>
        <v>1</v>
      </c>
      <c r="DW94" s="98">
        <f>IFERROR(VLOOKUP($B94,'LOD 300 - COLO2'!$B:CM,90,FALSE),"N/A")</f>
        <v>1</v>
      </c>
      <c r="DX94" s="98">
        <f>IFERROR(VLOOKUP($B94,'LOD 300 - COLO2'!$B:CP,93,FALSE),"N/A")</f>
        <v>1</v>
      </c>
      <c r="DY94" s="87">
        <f>IFERROR(VLOOKUP($B94,'LOD 300 - COLO2'!$B:CS,96,FALSE),"N/A")</f>
        <v>1</v>
      </c>
      <c r="DZ94" s="87">
        <f>IFERROR(VLOOKUP($B94,'LOD 300 - COLO2'!$B:CV,99,FALSE),"N/A")</f>
        <v>1</v>
      </c>
      <c r="EA94" s="87">
        <f>IFERROR(VLOOKUP($B94,'LOD 300 - COLO2'!$B:DB,105,FALSE),"N/A")</f>
        <v>1</v>
      </c>
      <c r="EB94" s="87">
        <f>IFERROR(VLOOKUP($B94,'LOD 300 - COLO2'!$B:DB,105,FALSE),"N/A")</f>
        <v>1</v>
      </c>
      <c r="EC94" s="87">
        <f>IFERROR(VLOOKUP($B94,'LOD 300 - COLO2'!$B:DE,108,FALSE),"N/A")</f>
        <v>1</v>
      </c>
      <c r="ED94" s="87">
        <f>IFERROR(VLOOKUP($B94,'LOD 300 - COLO2'!$B:DH,111,FALSE),"N/A")</f>
        <v>1</v>
      </c>
      <c r="EE94" s="87">
        <f>IFERROR(VLOOKUP($B94,'LOD 300 - COLO2'!$B:DK,114,FALSE),"N/A")</f>
        <v>1</v>
      </c>
      <c r="EF94" s="87">
        <f>IFERROR(VLOOKUP($B94,'LOD 300 - COLO2'!$B:DN,117,FALSE),"N/A")</f>
        <v>1</v>
      </c>
      <c r="EG94" s="87">
        <f>IFERROR(VLOOKUP($B94,'LOD 300 - COLO2'!$B:DQ,120,FALSE),"N/A")</f>
        <v>1</v>
      </c>
      <c r="EH94" s="99">
        <f>IFERROR(__xludf.DUMMYFUNCTION("IFERROR(
  MAX(FILTER(CZ94:EG94, ISNUMBER(CZ94:EG94))),
  EG94
)"),1.0)</f>
        <v>1</v>
      </c>
      <c r="EI94" s="100">
        <f>IFERROR(VLOOKUP($B94,'LOD 300 - COLO3'!$B:R,17,FALSE),"N/A")</f>
        <v>0</v>
      </c>
      <c r="EJ94" s="127">
        <f>IFERROR(VLOOKUP($B94,'LOD 300 - COLO3'!$B:U,20,FALSE),"N/A")</f>
        <v>1</v>
      </c>
      <c r="EK94" s="127">
        <f>IFERROR(VLOOKUP($B94,'LOD 300 - COLO3'!$B:X,23,FALSE),"N/A")</f>
        <v>1</v>
      </c>
      <c r="EL94" s="127">
        <f>IFERROR(VLOOKUP($B94,'LOD 300 - COLO3'!$B:AA,26,FALSE),"N/A")</f>
        <v>1</v>
      </c>
      <c r="EM94" s="127">
        <f>IFERROR(VLOOKUP($B94,'LOD 300 - COLO3'!$B:AD,29,FALSE),"N/A")</f>
        <v>1</v>
      </c>
      <c r="EN94" s="127">
        <f>IFERROR(VLOOKUP($B94,'LOD 300 - COLO3'!$B:AG,32,FALSE),"N/A")</f>
        <v>1</v>
      </c>
      <c r="EO94" s="127">
        <f>IFERROR(VLOOKUP($B94,'LOD 300 - COLO3'!$B:AJ,35,FALSE),"N/A")</f>
        <v>1</v>
      </c>
      <c r="EP94" s="100">
        <f>IFERROR(VLOOKUP($B94,'LOD 300 - COLO3'!$B:AM,38,FALSE),"N/A")</f>
        <v>1</v>
      </c>
      <c r="EQ94" s="100">
        <f>IFERROR(VLOOKUP($B94,'LOD 300 - COLO3'!$B:AP,41,FALSE),"N/A")</f>
        <v>1</v>
      </c>
      <c r="ER94" s="100">
        <f>IFERROR(VLOOKUP($B94,'LOD 300 - COLO3'!$B:AS,44,FALSE),"N/A")</f>
        <v>1</v>
      </c>
      <c r="ES94" s="100">
        <f>IFERROR(VLOOKUP($B94,'LOD 300 - COLO3'!$B:AV,47,FALSE),"N/A")</f>
        <v>1</v>
      </c>
      <c r="ET94" s="100">
        <f>IFERROR(VLOOKUP($B94,'LOD 300 - COLO3'!$B:AY,50,FALSE),"N/A")</f>
        <v>1</v>
      </c>
      <c r="EU94" s="100">
        <f>IFERROR(VLOOKUP($B94,'LOD 300 - COLO3'!$B:BB,53,FALSE),"N/A")</f>
        <v>1</v>
      </c>
      <c r="EV94" s="100">
        <f>IFERROR(VLOOKUP($B94,'LOD 300 - COLO3'!$B:BE,56,FALSE),"N/A")</f>
        <v>1</v>
      </c>
      <c r="EW94" s="100">
        <f>IFERROR(VLOOKUP($B94,'LOD 300 - COLO3'!$B:BL,59,FALSE),"N/A")</f>
        <v>1</v>
      </c>
      <c r="EX94" s="100">
        <f>IFERROR(VLOOKUP($B94,'LOD 300 - COLO3'!$B:BO,62,FALSE),"N/A")</f>
        <v>1</v>
      </c>
      <c r="EY94" s="103">
        <f>IFERROR(__xludf.DUMMYFUNCTION("IFERROR(
  MAX(FILTER(EI94:EX94, ISNUMBER(EI94:EX94))),
  EX94
)"),1.0)</f>
        <v>1</v>
      </c>
      <c r="EZ94" s="104">
        <f>IFERROR(VLOOKUP($B94,'LOD 300 - COLO4'!$B:BT,17,FALSE),"N/A")</f>
        <v>0</v>
      </c>
      <c r="FA94" s="103">
        <f>IFERROR(__xludf.DUMMYFUNCTION("IFERROR(
  MAX(FILTER(EZ94, ISNUMBER(EZ94))),
  EZ94
)"),0.0)</f>
        <v>0</v>
      </c>
      <c r="FB94" s="121" t="str">
        <f>IFERROR(VLOOKUP($B94,'LOD 300 - SITE'!$B:S,18,FALSE),"N/A")</f>
        <v>N/A</v>
      </c>
      <c r="FC94" s="122" t="str">
        <f>IFERROR(VLOOKUP($B94,'LOD 300 - SITE'!$B:V,21,FALSE),"N/A")</f>
        <v>N/A</v>
      </c>
      <c r="FD94" s="122" t="str">
        <f>IFERROR(VLOOKUP($B94,'LOD 300 - SITE'!$B:Y,24,FALSE),"N/A")</f>
        <v>N/A</v>
      </c>
      <c r="FE94" s="122" t="str">
        <f>IFERROR(VLOOKUP($B94,'LOD 300 - SITE'!$B:AB,27,FALSE),"N/A")</f>
        <v>N/A</v>
      </c>
      <c r="FF94" s="122" t="str">
        <f>IFERROR(VLOOKUP($B94,'LOD 300 - SITE'!$B:AE,30,FALSE),"N/A")</f>
        <v>N/A</v>
      </c>
      <c r="FG94" s="122" t="str">
        <f>IFERROR(VLOOKUP($B94,'LOD 300 - SITE'!$B:AH,33,FALSE),"N/A")</f>
        <v>N/A</v>
      </c>
      <c r="FH94" s="122" t="str">
        <f>IFERROR(VLOOKUP($B94,'LOD 300 - SITE'!$B:AK,36,FALSE),"N/A")</f>
        <v>N/A</v>
      </c>
      <c r="FI94" s="122" t="str">
        <f>IFERROR(VLOOKUP($B94,'LOD 300 - SITE'!$B:AN,39,FALSE),"N/A")</f>
        <v>N/A</v>
      </c>
      <c r="FJ94" s="122" t="str">
        <f>IFERROR(VLOOKUP($B94,'LOD 300 - SITE'!$B:AQ,42,FALSE),"N/A")</f>
        <v>N/A</v>
      </c>
      <c r="FK94" s="122" t="str">
        <f>IFERROR(VLOOKUP($B94,'LOD 300 - SITE'!$B:AT,45,FALSE),"N/A")</f>
        <v>N/A</v>
      </c>
      <c r="FL94" s="123" t="str">
        <f>IFERROR(VLOOKUP($B94,'LOD 300 - SITE'!$B:AW,48,FALSE),"N/A")</f>
        <v>N/A</v>
      </c>
      <c r="FM94" s="87" t="str">
        <f>IFERROR(VLOOKUP($B94,'LOD 300 - SITE'!$B:AZ,51,FALSE),"N/A")</f>
        <v>N/A</v>
      </c>
      <c r="FN94" s="94" t="str">
        <f>IFERROR(VLOOKUP($B94,'LOD 300 - SITE'!$B:BC,54,FALSE),"N/A")</f>
        <v>N/A</v>
      </c>
      <c r="FO94" s="95" t="str">
        <f>IFERROR(VLOOKUP($B94,'LOD 300 - SITE'!$B:BF,57,FALSE),"N/A")</f>
        <v>N/A</v>
      </c>
      <c r="FP94" s="86" t="str">
        <f>IFERROR(VLOOKUP($B94,'LOD 300 - SITE'!$B:BI,60,FALSE),"N/A")</f>
        <v>N/A</v>
      </c>
      <c r="FQ94" s="86" t="str">
        <f>IFERROR(VLOOKUP($B94,'LOD 300 - SITE'!$B:BL,63,FALSE),"N/A")</f>
        <v>N/A</v>
      </c>
      <c r="FR94" s="86" t="str">
        <f>IFERROR(VLOOKUP($B94,'LOD 300 - SITE'!$B:BO,66,FALSE),"N/A")</f>
        <v>N/A</v>
      </c>
      <c r="FS94" s="86" t="str">
        <f>IFERROR(VLOOKUP($B94,'LOD 300 - SITE'!$B:BR,69,FALSE),"N/A")</f>
        <v>N/A</v>
      </c>
      <c r="FT94" s="86" t="str">
        <f>IFERROR(VLOOKUP($B94,'LOD 300 - SITE'!$B:BU,72,FALSE),"N/A")</f>
        <v>N/A</v>
      </c>
      <c r="FU94" s="86" t="str">
        <f>IFERROR(VLOOKUP($B94,'LOD 300 - SITE'!$B:BX,75,FALSE),"N/A")</f>
        <v>N/A</v>
      </c>
      <c r="FV94" s="86" t="str">
        <f>IFERROR(VLOOKUP($B94,'LOD 300 - SITE'!$B:CA,78,FALSE),"N/A")</f>
        <v>N/A</v>
      </c>
      <c r="FW94" s="87" t="str">
        <f>IFERROR(VLOOKUP($B94,'LOD 300 - SITE'!$B:CD,81,FALSE),"N/A")</f>
        <v>N/A</v>
      </c>
      <c r="FX94" s="108" t="str">
        <f>IFERROR(VLOOKUP($B94,'LOD 300 - SITE'!$B:CG,84,FALSE),"N/A")</f>
        <v>N/A</v>
      </c>
      <c r="FY94" s="108" t="str">
        <f>IFERROR(VLOOKUP($B94,'LOD 300 - SITE'!$B:CJ,87,FALSE),"N/A")</f>
        <v>N/A</v>
      </c>
      <c r="FZ94" s="108" t="str">
        <f>IFERROR(VLOOKUP($B94,'LOD 300 - SITE'!$B:CM,90,FALSE),"N/A")</f>
        <v>N/A</v>
      </c>
      <c r="GA94" s="108" t="str">
        <f>IFERROR(VLOOKUP($B94,'LOD 300 - SITE'!$B:CP,93,FALSE),"N/A")</f>
        <v>N/A</v>
      </c>
      <c r="GB94" s="108" t="str">
        <f>IFERROR(VLOOKUP($B94,'LOD 300 - SITE'!$B:CS,96,FALSE),"N/A")</f>
        <v>N/A</v>
      </c>
      <c r="GC94" s="109" t="str">
        <f>IFERROR(VLOOKUP($B94,'LOD 300 - SITE'!$B:CV,99,FALSE),"N/A")</f>
        <v>N/A</v>
      </c>
      <c r="GD94" s="87" t="str">
        <f>IFERROR(VLOOKUP($B94,'LOD 300 - SITE'!$B:CY,102,FALSE),"N/A")</f>
        <v>N/A</v>
      </c>
      <c r="GE94" s="87" t="str">
        <f>IFERROR(VLOOKUP($B94,'LOD 300 - SITE'!$B:DB,105,FALSE),"N/A")</f>
        <v>N/A</v>
      </c>
      <c r="GF94" s="87" t="str">
        <f>IFERROR(VLOOKUP($B94,'LOD 300 - SITE'!$B:DE,108,FALSE),"N/A")</f>
        <v>N/A</v>
      </c>
      <c r="GG94" s="87" t="str">
        <f>IFERROR(VLOOKUP($B94,'LOD 300 - SITE'!$B:DH,111,FALSE),"N/A")</f>
        <v>N/A</v>
      </c>
      <c r="GH94" s="87" t="str">
        <f>IFERROR(VLOOKUP($B94,'LOD 300 - SITE'!$B:DK,114,FALSE),"N/A")</f>
        <v>N/A</v>
      </c>
      <c r="GI94" s="87" t="str">
        <f>IFERROR(VLOOKUP($B94,'LOD 300 - SITE'!$B:DN,117,FALSE),"N/A")</f>
        <v>N/A</v>
      </c>
      <c r="GJ94" s="87" t="str">
        <f>IFERROR(VLOOKUP($B94,'LOD 300 - SITE'!$B:DQ,120,FALSE),"N/A")</f>
        <v>N/A</v>
      </c>
      <c r="GK94" s="87" t="str">
        <f>IFERROR(VLOOKUP($B94,'LOD 300 - SITE'!$B:DT,123,FALSE),"N/A")</f>
        <v>N/A</v>
      </c>
      <c r="GL94" s="87" t="str">
        <f>IFERROR(VLOOKUP($B94,'LOD 300 - SITE'!$B:DW,126,FALSE),"N/A")</f>
        <v>N/A</v>
      </c>
      <c r="GM94" s="110" t="str">
        <f>IFERROR(__xludf.DUMMYFUNCTION("IFERROR(
  MAX(FILTER(FB94:GL94, ISNUMBER(FB94:GL94))),
  GL94
)"),"N/A")</f>
        <v>N/A</v>
      </c>
      <c r="GN94" s="111"/>
      <c r="GO94" s="111"/>
      <c r="GP94" s="111"/>
    </row>
    <row r="95" ht="15.0" customHeight="1" outlineLevel="1">
      <c r="A95" s="60">
        <v>98.0</v>
      </c>
      <c r="B95" s="140" t="s">
        <v>294</v>
      </c>
      <c r="C95" s="70" t="s">
        <v>295</v>
      </c>
      <c r="D95" s="71" t="s">
        <v>90</v>
      </c>
      <c r="E95" s="138" t="s">
        <v>293</v>
      </c>
      <c r="F95" s="13"/>
      <c r="G95" s="147" t="s">
        <v>288</v>
      </c>
      <c r="H95" s="150"/>
      <c r="I95" s="74" t="str">
        <f>IFERROR(VLOOKUP(C92:C234,'R22 RELATÓRIO ACC'!B:F,5,FALSE),"NOT PUBLISHED")</f>
        <v>V13</v>
      </c>
      <c r="J95" s="74" t="str">
        <f>IFERROR(VLOOKUP(C92:C234,'R22 RELATÓRIO ACC'!B:P,15,FALSE),"NOT PUBLISHED")</f>
        <v>12/05/2026</v>
      </c>
      <c r="K95" s="141" t="str">
        <f>IFERROR(VLOOKUP(B92:B282,'RELATÓRIO ACC'!B:F,5,FALSE),"NOT PUBLISHED")</f>
        <v>V1</v>
      </c>
      <c r="L95" s="142" t="str">
        <f>IFERROR(VLOOKUP(B92:B282,'RELATÓRIO ACC'!B:P,15,FALSE),"NOT PUBLISHED")</f>
        <v>15/05/2026</v>
      </c>
      <c r="M95" s="76" t="str">
        <f>IF(OR($D95="UTLS",$D95="GUAR",$D95="STIR",$D95="PUMP",$D95="SITE"),
   VLOOKUP($B95,'LOD 300 - SITE'!B:M,12,FALSE),
   VLOOKUP($B95,'LOD 300 - ADMN'!B:M,12,FALSE)
)</f>
        <v>V4</v>
      </c>
      <c r="N95" s="77" t="str">
        <f>IF(OR($D95="UTLS",$D95="GUAR",$D95="STIR",$D95="PUMP",$D95="SITE"),
   VLOOKUP($B95,'LOD 300 - SITE'!B:N,13,FALSE),
   VLOOKUP($B95,'LOD 300 - ADMN'!B:N,13,FALSE)
)</f>
        <v>10/10/2025</v>
      </c>
      <c r="O95" s="114" t="str">
        <f>IF(OR($D95="UTLS",$D95="GUAR",$D95="STIR",$D95="PUMP",$D95="SITE"),
   VLOOKUP($B95,'LOD 300 - SITE'!B:O,14,FALSE),
   VLOOKUP($B95,'LOD 300 - ADMN'!B:O,14,FALSE)
)</f>
        <v>R22</v>
      </c>
      <c r="P95" s="79" t="str">
        <f>IF(OR($D95="C345",$D95="C12A",$D95="DATA"),
   VLOOKUP($B95,'LOD 300 - COLO3'!B:M,12,FALSE),"N/A")</f>
        <v>N/A</v>
      </c>
      <c r="Q95" s="76" t="str">
        <f>IF(OR($D95="C345",$D95="C12A",$D95="DATA"),
   VLOOKUP($B95,'LOD 300 - COLO3'!B:N,13,FALSE),"N/A")</f>
        <v>N/A</v>
      </c>
      <c r="R95" s="76" t="str">
        <f>IF(OR($D95="C345",$D95="C12A",$D95="DATA"),
   VLOOKUP($B95,'LOD 300 - COLO3'!B:O,14,FALSE),"N/A")</f>
        <v>N/A</v>
      </c>
      <c r="S95" s="79" t="str">
        <f>IF(OR($D95="C345",$D95="C12A",$D95="DATA"),
   VLOOKUP($B95,'LOD 300 - COLO4'!B:M,12,FALSE),"N/A")</f>
        <v>N/A</v>
      </c>
      <c r="T95" s="76" t="str">
        <f>IF(OR($D95="C345",$D95="C12A",$D95="DATA"),
   VLOOKUP($B95,'LOD 300 - COLO4'!B:T,13,FALSE),"N/A")</f>
        <v>N/A</v>
      </c>
      <c r="U95" s="76" t="str">
        <f>IF(OR($D95="C345",$D95="C12A",$D95="DATA"),
   VLOOKUP($B95,'LOD 300 - COLO4'!B:U,17,FALSE),"N/A")</f>
        <v>N/A</v>
      </c>
      <c r="V95" s="126" t="s">
        <v>102</v>
      </c>
      <c r="W95" s="144" t="str">
        <f>IFERROR(VLOOKUP($B95,'LOD 300 - ADMN'!$B:S,18,FALSE),"N/A")</f>
        <v>N/A</v>
      </c>
      <c r="X95" s="122" t="str">
        <f>IFERROR(VLOOKUP($B95,'LOD 300 - ADMN'!$B:V,21,FALSE),"N/A")</f>
        <v>N/A</v>
      </c>
      <c r="Y95" s="122" t="str">
        <f>IFERROR(VLOOKUP($B95,'LOD 300 - ADMN'!$B:Y,24,FALSE),"N/A")</f>
        <v>N/A</v>
      </c>
      <c r="Z95" s="122" t="str">
        <f>IFERROR(VLOOKUP($B95,'LOD 300 - ADMN'!$B:AB,27,FALSE),"N/A")</f>
        <v>N/A</v>
      </c>
      <c r="AA95" s="122" t="str">
        <f>IFERROR(VLOOKUP($B95,'LOD 300 - ADMN'!$B:AE,30,FALSE),"N/A")</f>
        <v>N/A</v>
      </c>
      <c r="AB95" s="145" t="str">
        <f>IFERROR(VLOOKUP($B95,'LOD 300 - ADMN'!$B:AH,33,FALSE),"N/A")</f>
        <v>N/A</v>
      </c>
      <c r="AC95" s="145" t="str">
        <f>IFERROR(VLOOKUP($B95,'LOD 300 - ADMN'!$B:AK,36,FALSE),"N/A")</f>
        <v>N/A</v>
      </c>
      <c r="AD95" s="122" t="str">
        <f>IFERROR(VLOOKUP($B95,'LOD 300 - ADMN'!$B:AN,39,FALSE),"N/A")</f>
        <v>N/A</v>
      </c>
      <c r="AE95" s="122" t="str">
        <f>IFERROR(VLOOKUP($B95,'LOD 300 - ADMN'!$B:AQ,42,FALSE),"N/A")</f>
        <v>N/A</v>
      </c>
      <c r="AF95" s="122" t="str">
        <f>IFERROR(VLOOKUP($B95,'LOD 300 - ADMN'!$B:AT,45,FALSE),"N/A")</f>
        <v>N/A</v>
      </c>
      <c r="AG95" s="122" t="str">
        <f>IFERROR(VLOOKUP($B95,'LOD 300 - ADMN'!$B:AW,48,FALSE),"N/A")</f>
        <v>N/A</v>
      </c>
      <c r="AH95" s="122" t="str">
        <f>IFERROR(VLOOKUP($B95,'LOD 300 - ADMN'!$B:AZ,51,FALSE),"N/A")</f>
        <v>N/A</v>
      </c>
      <c r="AI95" s="122" t="str">
        <f>IFERROR(VLOOKUP($B95,'LOD 300 - ADMN'!$B:BC,54,FALSE),"N/A")</f>
        <v>N/A</v>
      </c>
      <c r="AJ95" s="87" t="str">
        <f>IFERROR(VLOOKUP($B95,'LOD 300 - ADMN'!$B:BF,57,FALSE),"N/A")</f>
        <v>N/A</v>
      </c>
      <c r="AK95" s="87" t="str">
        <f>IFERROR(VLOOKUP($B95,'LOD 300 - ADMN'!$B:EP,60,FALSE),"N/A")</f>
        <v>N/A</v>
      </c>
      <c r="AL95" s="87" t="str">
        <f>IFERROR(VLOOKUP($B95,'LOD 300 - ADMN'!$B:EQ,63,FALSE),"N/A")</f>
        <v>N/A</v>
      </c>
      <c r="AM95" s="87" t="str">
        <f>IFERROR(VLOOKUP($B95,'LOD 300 - ADMN'!$B:BO,66,FALSE),"N/A")</f>
        <v>N/A</v>
      </c>
      <c r="AN95" s="87" t="str">
        <f>IFERROR(VLOOKUP($B95,'LOD 300 - ADMN'!$B:BR,69,FALSE),"N/A")</f>
        <v>N/A</v>
      </c>
      <c r="AO95" s="87" t="str">
        <f>IFERROR(VLOOKUP($B95,'LOD 300 - ADMN'!$B:BU,72,FALSE),"N/A")</f>
        <v>N/A</v>
      </c>
      <c r="AP95" s="87" t="str">
        <f>IFERROR(VLOOKUP($B95,'LOD 300 - ADMN'!$B:BX,75,FALSE),"N/A")</f>
        <v>N/A</v>
      </c>
      <c r="AQ95" s="87" t="str">
        <f>IFERROR(VLOOKUP($B95,'LOD 300 - ADMN'!$B:CA,78,FALSE),"N/A")</f>
        <v>N/A</v>
      </c>
      <c r="AR95" s="87" t="str">
        <f>IFERROR(VLOOKUP($B95,'LOD 300 - ADMN'!$B:CD,81,FALSE),"N/A")</f>
        <v>N/A</v>
      </c>
      <c r="AS95" s="87" t="str">
        <f>IFERROR(VLOOKUP($B95,'LOD 300 - ADMN'!$B:CG,84,FALSE),"N/A")</f>
        <v>N/A</v>
      </c>
      <c r="AT95" s="87" t="str">
        <f>IFERROR(VLOOKUP($B95,'LOD 300 - ADMN'!$B:CJ,87,FALSE),"N/A")</f>
        <v>N/A</v>
      </c>
      <c r="AU95" s="88" t="str">
        <f>IFERROR(VLOOKUP($B95,'LOD 300 - ADMN'!$B:CM,90,FALSE),"N/A")</f>
        <v>N/A</v>
      </c>
      <c r="AV95" s="88" t="str">
        <f>IFERROR(VLOOKUP($B95,'LOD 300 - ADMN'!$B:CP,93,FALSE),"N/A")</f>
        <v>N/A</v>
      </c>
      <c r="AW95" s="88" t="str">
        <f>IFERROR(VLOOKUP($B95,'LOD 300 - ADMN'!$B:CS,96,FALSE),"N/A")</f>
        <v>N/A</v>
      </c>
      <c r="AX95" s="88" t="str">
        <f>IFERROR(VLOOKUP($B95,'LOD 300 - ADMN'!$B:CV,99,FALSE),"N/A")</f>
        <v>N/A</v>
      </c>
      <c r="AY95" s="88" t="str">
        <f>IFERROR(VLOOKUP($B95,'LOD 300 - ADMN'!$B:CY,102,FALSE),"N/A")</f>
        <v>N/A</v>
      </c>
      <c r="AZ95" s="88" t="str">
        <f>IFERROR(VLOOKUP($B95,'LOD 300 - ADMN'!$B:DB,105,FALSE),"N/A")</f>
        <v>N/A</v>
      </c>
      <c r="BA95" s="87" t="str">
        <f>IFERROR(VLOOKUP($B95,'LOD 300 - ADMN'!$B:DE,108,FALSE),"N/A")</f>
        <v>N/A</v>
      </c>
      <c r="BB95" s="87" t="str">
        <f>IFERROR(VLOOKUP($B95,'LOD 300 - ADMN'!$B:DH,111,FALSE),"N/A")</f>
        <v>N/A</v>
      </c>
      <c r="BC95" s="87" t="str">
        <f>IFERROR(VLOOKUP($B95,'LOD 300 - ADMN'!$B:DK,114,FALSE),"N/A")</f>
        <v>N/A</v>
      </c>
      <c r="BD95" s="87" t="str">
        <f>IFERROR(VLOOKUP($B95,'LOD 300 - ADMN'!$B:DN,117,FALSE),"N/A")</f>
        <v>N/A</v>
      </c>
      <c r="BE95" s="87" t="str">
        <f>IFERROR(VLOOKUP($B95,'LOD 300 - ADMN'!$B:DQ,120,FALSE),"N/A")</f>
        <v>N/A</v>
      </c>
      <c r="BF95" s="87" t="str">
        <f>IFERROR(VLOOKUP($B95,'LOD 300 - ADMN'!$B:DT,123,FALSE),"N/A")</f>
        <v>N/A</v>
      </c>
      <c r="BG95" s="87" t="str">
        <f>IFERROR(VLOOKUP($B95,'LOD 300 - ADMN'!$B:DW,126,FALSE),"N/A")</f>
        <v>N/A</v>
      </c>
      <c r="BH95" s="87" t="str">
        <f>IFERROR(VLOOKUP($B95,'LOD 300 - ADMN'!$B:DZ,129,FALSE),"N/A")</f>
        <v>N/A</v>
      </c>
      <c r="BI95" s="87" t="str">
        <f>IFERROR(VLOOKUP($B95,'LOD 300 - ADMN'!$B:EC,132,FALSE),"N/A")</f>
        <v>N/A</v>
      </c>
      <c r="BJ95" s="90" t="str">
        <f>IFERROR(__xludf.DUMMYFUNCTION("IFERROR(
  MAX(FILTER(X95:BI95, ISNUMBER(X95:BI95))),
  BI95
)"),"N/A")</f>
        <v>N/A</v>
      </c>
      <c r="BK95" s="91" t="str">
        <f>IFERROR(VLOOKUP($B95,'LOD 300 - COLO1'!$B:S,18,FALSE),"N/A")</f>
        <v>N/A</v>
      </c>
      <c r="BL95" s="92" t="str">
        <f>IFERROR(VLOOKUP($B95,'LOD 300 - COLO1'!$B:V,21,FALSE),"N/A")</f>
        <v>N/A</v>
      </c>
      <c r="BM95" s="92" t="str">
        <f>IFERROR(VLOOKUP($B95,'LOD 300 - COLO1'!$B:Y,24,FALSE),"N/A")</f>
        <v>N/A</v>
      </c>
      <c r="BN95" s="92" t="str">
        <f>IFERROR(VLOOKUP($B95,'LOD 300 - COLO1'!$B:AB,27,FALSE),"N/A")</f>
        <v>N/A</v>
      </c>
      <c r="BO95" s="92" t="str">
        <f>IFERROR(VLOOKUP($B95,'LOD 300 - COLO1'!$B:AE,30,FALSE),"N/A")</f>
        <v>N/A</v>
      </c>
      <c r="BP95" s="92" t="str">
        <f>IFERROR(VLOOKUP($B95,'LOD 300 - COLO1'!$B:AH,33,FALSE),"N/A")</f>
        <v>N/A</v>
      </c>
      <c r="BQ95" s="92" t="str">
        <f>IFERROR(VLOOKUP($B95,'LOD 300 - COLO1'!$B:AK,36,FALSE),"N/A")</f>
        <v>N/A</v>
      </c>
      <c r="BR95" s="92" t="str">
        <f>IFERROR(VLOOKUP($B95,'LOD 300 - COLO1'!$B:AN,39,FALSE),"N/A")</f>
        <v>N/A</v>
      </c>
      <c r="BS95" s="92" t="str">
        <f>IFERROR(VLOOKUP($B95,'LOD 300 - COLO1'!$B:AQ,42,FALSE),"N/A")</f>
        <v>N/A</v>
      </c>
      <c r="BT95" s="92" t="str">
        <f>IFERROR(VLOOKUP($B95,'LOD 300 - COLO1'!$B:AT,45,FALSE),"N/A")</f>
        <v>N/A</v>
      </c>
      <c r="BU95" s="92" t="str">
        <f>IFERROR(VLOOKUP($B95,'LOD 300 - COLO1'!$B:AW,48,FALSE),"N/A")</f>
        <v>N/A</v>
      </c>
      <c r="BV95" s="92" t="str">
        <f>IFERROR(VLOOKUP($B95,'LOD 300 - COLO1'!$B:AZ,51,FALSE),"N/A")</f>
        <v>N/A</v>
      </c>
      <c r="BW95" s="92" t="str">
        <f>IFERROR(VLOOKUP($B95,'LOD 300 - COLO1'!$B:BC,54,FALSE),"N/A")</f>
        <v>N/A</v>
      </c>
      <c r="BX95" s="94" t="str">
        <f>IFERROR(VLOOKUP($B95,'LOD 300 - COLO1'!$B:BF,57,FALSE),"N/A")</f>
        <v>N/A</v>
      </c>
      <c r="BY95" s="94" t="str">
        <f>IFERROR(VLOOKUP($B95,'LOD 300 - COLO1'!$B:BI,60,FALSE),"N/A")</f>
        <v>N/A</v>
      </c>
      <c r="BZ95" s="95" t="str">
        <f>IFERROR(VLOOKUP($B95,'LOD 300 - COLO1'!$B:BL,63,FALSE),"N/A")</f>
        <v>N/A</v>
      </c>
      <c r="CA95" s="86" t="str">
        <f>IFERROR(VLOOKUP($B95,'LOD 300 - COLO1'!$B:BO,66,FALSE),"N/A")</f>
        <v>N/A</v>
      </c>
      <c r="CB95" s="86" t="str">
        <f>IFERROR(VLOOKUP($B95,'LOD 300 - COLO1'!$B:BR,69,FALSE),"N/A")</f>
        <v>N/A</v>
      </c>
      <c r="CC95" s="86" t="str">
        <f>IFERROR(VLOOKUP($B95,'LOD 300 - COLO1'!$B:BU,72,FALSE),"N/A")</f>
        <v>N/A</v>
      </c>
      <c r="CD95" s="86" t="str">
        <f>IFERROR(VLOOKUP($B95,'LOD 300 - COLO1'!$B:BX,75,FALSE),"N/A")</f>
        <v>N/A</v>
      </c>
      <c r="CE95" s="86" t="str">
        <f>IFERROR(VLOOKUP($B95,'LOD 300 - COLO1'!$B:CA,78,FALSE),"N/A")</f>
        <v>N/A</v>
      </c>
      <c r="CF95" s="87" t="str">
        <f>IFERROR(VLOOKUP($B95,'LOD 300 - COLO1'!$B:CD,81,FALSE),"N/A")</f>
        <v>N/A</v>
      </c>
      <c r="CG95" s="86" t="str">
        <f>IFERROR(VLOOKUP($B95,'LOD 300 - COLO1'!$B:CG,84,FALSE),"N/A")</f>
        <v>N/A</v>
      </c>
      <c r="CH95" s="87" t="str">
        <f>IFERROR(VLOOKUP($B95,'LOD 300 - COLO1'!$B:CJ,87,FALSE),"N/A")</f>
        <v>N/A</v>
      </c>
      <c r="CI95" s="88" t="str">
        <f>IFERROR(VLOOKUP($B95,'LOD 300 - COLO1'!$B:CM,90,FALSE),"N/A")</f>
        <v>N/A</v>
      </c>
      <c r="CJ95" s="88" t="str">
        <f>IFERROR(VLOOKUP($B95,'LOD 300 - COLO1'!$B:CP,93,FALSE),"N/A")</f>
        <v>N/A</v>
      </c>
      <c r="CK95" s="88" t="str">
        <f>IFERROR(VLOOKUP($B95,'LOD 300 - COLO1'!$B:CS,96,FALSE),"N/A")</f>
        <v>N/A</v>
      </c>
      <c r="CL95" s="88" t="str">
        <f>IFERROR(VLOOKUP($B95,'LOD 300 - COLO1'!$B:CV,99,FALSE),"N/A")</f>
        <v>N/A</v>
      </c>
      <c r="CM95" s="88" t="str">
        <f>IFERROR(VLOOKUP($B95,'LOD 300 - COLO1'!$B:CY,102,FALSE),"N/A")</f>
        <v>N/A</v>
      </c>
      <c r="CN95" s="89" t="str">
        <f>IFERROR(VLOOKUP($B95,'LOD 300 - COLO1'!$B:DB,105,FALSE),"N/A")</f>
        <v>N/A</v>
      </c>
      <c r="CO95" s="87" t="str">
        <f>IFERROR(VLOOKUP($B95,'LOD 300 - COLO1'!$B:EE,108,FALSE),"N/A")</f>
        <v>N/A</v>
      </c>
      <c r="CP95" s="87" t="str">
        <f>IFERROR(VLOOKUP($B95,'LOD 300 - COLO1'!$B:EH,111,FALSE),"N/A")</f>
        <v>N/A</v>
      </c>
      <c r="CQ95" s="87" t="str">
        <f>IFERROR(VLOOKUP($B95,'LOD 300 - COLO1'!$B:EK,114,FALSE),"N/A")</f>
        <v>N/A</v>
      </c>
      <c r="CR95" s="87" t="str">
        <f>IFERROR(VLOOKUP($B95,'LOD 300 - COLO1'!$B:EN,117,FALSE),"N/A")</f>
        <v>N/A</v>
      </c>
      <c r="CS95" s="87" t="str">
        <f>IFERROR(VLOOKUP($B95,'LOD 300 - COLO1'!$B:EQ,120,FALSE),"N/A")</f>
        <v>N/A</v>
      </c>
      <c r="CT95" s="87" t="str">
        <f>IFERROR(VLOOKUP($B95,'LOD 300 - COLO1'!$B:ET,123,FALSE),"N/A")</f>
        <v>N/A</v>
      </c>
      <c r="CU95" s="87" t="str">
        <f>IFERROR(VLOOKUP($B95,'LOD 300 - COLO1'!$B:EW,126,FALSE),"N/A")</f>
        <v>N/A</v>
      </c>
      <c r="CV95" s="87" t="str">
        <f>IFERROR(VLOOKUP($B95,'LOD 300 - COLO1'!$B:EZ,129,FALSE),"N/A")</f>
        <v>N/A</v>
      </c>
      <c r="CW95" s="87" t="str">
        <f>IFERROR(VLOOKUP($B95,'LOD 300 - COLO1'!$B:FC,132,FALSE),"N/A")</f>
        <v>N/A</v>
      </c>
      <c r="CX95" s="96" t="str">
        <f>IFERROR(__xludf.DUMMYFUNCTION("IFERROR(
  MAX(FILTER(BK95:CW95, ISNUMBER(BK95:CW95))),
  CW95
)"),"N/A")</f>
        <v>N/A</v>
      </c>
      <c r="CY95" s="104" t="str">
        <f>IFERROR(VLOOKUP($B95,'LOD 300 - COLO2'!$B:S,18,FALSE),"N/A")</f>
        <v>N/A</v>
      </c>
      <c r="CZ95" s="117" t="str">
        <f>IFERROR(VLOOKUP($B95,'LOD 300 - COLO2'!$B:V,21,FALSE),"N/A")</f>
        <v>N/A</v>
      </c>
      <c r="DA95" s="117" t="str">
        <f>IFERROR(VLOOKUP($B95,'LOD 300 - COLO2'!$B:Y,24,FALSE),"N/A")</f>
        <v>N/A</v>
      </c>
      <c r="DB95" s="117" t="str">
        <f>IFERROR(VLOOKUP($B95,'LOD 300 - COLO2'!$B:AB,27,FALSE),"N/A")</f>
        <v>N/A</v>
      </c>
      <c r="DC95" s="92" t="str">
        <f>IFERROR(VLOOKUP($B95,'LOD 300 - COLO2'!$B:AE,30,FALSE),"N/A")</f>
        <v>N/A</v>
      </c>
      <c r="DD95" s="120" t="str">
        <f>IFERROR(VLOOKUP($B95,'LOD 300 - COLO2'!$B:AH,33,FALSE),"N/A")</f>
        <v>N/A</v>
      </c>
      <c r="DE95" s="117" t="str">
        <f>IFERROR(VLOOKUP($B95,'LOD 300 - COLO2'!$B:AK,36,FALSE),"N/A")</f>
        <v>N/A</v>
      </c>
      <c r="DF95" s="117" t="str">
        <f>IFERROR(VLOOKUP($B95,'LOD 300 - COLO2'!$B:AN,39,FALSE),"N/A")</f>
        <v>N/A</v>
      </c>
      <c r="DG95" s="119" t="str">
        <f>IFERROR(VLOOKUP($B95,'LOD 300 - COLO2'!$B:AQ,42,FALSE),"N/A")</f>
        <v>N/A</v>
      </c>
      <c r="DH95" s="87" t="str">
        <f>IFERROR(VLOOKUP($B95,'LOD 300 - COLO2'!$B:AT,45,FALSE),"N/A")</f>
        <v>N/A</v>
      </c>
      <c r="DI95" s="94" t="str">
        <f>IFERROR(VLOOKUP($B95,'LOD 300 - COLO2'!$B:AW,48,FALSE),"N/A")</f>
        <v>N/A</v>
      </c>
      <c r="DJ95" s="95" t="str">
        <f>IFERROR(VLOOKUP($B95,'LOD 300 - COLO2'!$B:AZ,51,FALSE),"N/A")</f>
        <v>N/A</v>
      </c>
      <c r="DK95" s="86" t="str">
        <f>IFERROR(VLOOKUP($B95,'LOD 300 - COLO2'!$B:BC,54,FALSE),"N/A")</f>
        <v>N/A</v>
      </c>
      <c r="DL95" s="86" t="str">
        <f>IFERROR(VLOOKUP($B95,'LOD 300 - COLO2'!$B:BF,57,FALSE),"N/A")</f>
        <v>N/A</v>
      </c>
      <c r="DM95" s="86" t="str">
        <f>IFERROR(VLOOKUP($B95,'LOD 300 - COLO2'!$B:BI,60,FALSE),"N/A")</f>
        <v>N/A</v>
      </c>
      <c r="DN95" s="86" t="str">
        <f>IFERROR(VLOOKUP($B95,'LOD 300 - COLO2'!$B:BL,63,FALSE),"N/A")</f>
        <v>N/A</v>
      </c>
      <c r="DO95" s="86" t="str">
        <f>IFERROR(VLOOKUP($B95,'LOD 300 - COLO2'!$B:BO,66,FALSE),"N/A")</f>
        <v>N/A</v>
      </c>
      <c r="DP95" s="87" t="str">
        <f>IFERROR(VLOOKUP($B95,'LOD 300 - COLO2'!$B:BR,69,FALSE),"N/A")</f>
        <v>N/A</v>
      </c>
      <c r="DQ95" s="87" t="str">
        <f>IFERROR(VLOOKUP($B95,'LOD 300 - COLO2'!$B:BU,72,FALSE),"N/A")</f>
        <v>N/A</v>
      </c>
      <c r="DR95" s="87" t="str">
        <f>IFERROR(VLOOKUP($B95,'LOD 300 - COLO2'!$B:BX,75,FALSE),"N/A")</f>
        <v>N/A</v>
      </c>
      <c r="DS95" s="98" t="str">
        <f>IFERROR(VLOOKUP($B95,'LOD 300 - COLO2'!$B:CA,78,FALSE),"N/A")</f>
        <v>N/A</v>
      </c>
      <c r="DT95" s="98" t="str">
        <f>IFERROR(VLOOKUP($B95,'LOD 300 - COLO2'!$B:CD,81,FALSE),"N/A")</f>
        <v>N/A</v>
      </c>
      <c r="DU95" s="98" t="str">
        <f>IFERROR(VLOOKUP($B95,'LOD 300 - COLO2'!$B:CG,84,FALSE),"N/A")</f>
        <v>N/A</v>
      </c>
      <c r="DV95" s="98" t="str">
        <f>IFERROR(VLOOKUP($B95,'LOD 300 - COLO2'!$B:CJ,87,FALSE),"N/A")</f>
        <v>N/A</v>
      </c>
      <c r="DW95" s="98" t="str">
        <f>IFERROR(VLOOKUP($B95,'LOD 300 - COLO2'!$B:CM,90,FALSE),"N/A")</f>
        <v>N/A</v>
      </c>
      <c r="DX95" s="98" t="str">
        <f>IFERROR(VLOOKUP($B95,'LOD 300 - COLO2'!$B:CP,93,FALSE),"N/A")</f>
        <v>N/A</v>
      </c>
      <c r="DY95" s="87" t="str">
        <f>IFERROR(VLOOKUP($B95,'LOD 300 - COLO2'!$B:CS,96,FALSE),"N/A")</f>
        <v>N/A</v>
      </c>
      <c r="DZ95" s="87" t="str">
        <f>IFERROR(VLOOKUP($B95,'LOD 300 - COLO2'!$B:CV,99,FALSE),"N/A")</f>
        <v>N/A</v>
      </c>
      <c r="EA95" s="87" t="str">
        <f>IFERROR(VLOOKUP($B95,'LOD 300 - COLO2'!$B:DB,105,FALSE),"N/A")</f>
        <v>N/A</v>
      </c>
      <c r="EB95" s="87" t="str">
        <f>IFERROR(VLOOKUP($B95,'LOD 300 - COLO2'!$B:DB,105,FALSE),"N/A")</f>
        <v>N/A</v>
      </c>
      <c r="EC95" s="87" t="str">
        <f>IFERROR(VLOOKUP($B95,'LOD 300 - COLO2'!$B:DE,108,FALSE),"N/A")</f>
        <v>N/A</v>
      </c>
      <c r="ED95" s="87" t="str">
        <f>IFERROR(VLOOKUP($B95,'LOD 300 - COLO2'!$B:DH,111,FALSE),"N/A")</f>
        <v>N/A</v>
      </c>
      <c r="EE95" s="87" t="str">
        <f>IFERROR(VLOOKUP($B95,'LOD 300 - COLO2'!$B:DK,114,FALSE),"N/A")</f>
        <v>N/A</v>
      </c>
      <c r="EF95" s="87" t="str">
        <f>IFERROR(VLOOKUP($B95,'LOD 300 - COLO2'!$B:DN,117,FALSE),"N/A")</f>
        <v>N/A</v>
      </c>
      <c r="EG95" s="87" t="str">
        <f>IFERROR(VLOOKUP($B95,'LOD 300 - COLO2'!$B:DQ,120,FALSE),"N/A")</f>
        <v>N/A</v>
      </c>
      <c r="EH95" s="99" t="str">
        <f>IFERROR(__xludf.DUMMYFUNCTION("IFERROR(
  MAX(FILTER(CZ95:EG95, ISNUMBER(CZ95:EG95))),
  EG95
)"),"N/A")</f>
        <v>N/A</v>
      </c>
      <c r="EI95" s="100" t="str">
        <f>IFERROR(VLOOKUP($B95,'LOD 300 - COLO3'!$B:R,17,FALSE),"N/A")</f>
        <v>N/A</v>
      </c>
      <c r="EJ95" s="127" t="str">
        <f>IFERROR(VLOOKUP($B95,'LOD 300 - COLO3'!$B:U,20,FALSE),"N/A")</f>
        <v>N/A</v>
      </c>
      <c r="EK95" s="127" t="str">
        <f>IFERROR(VLOOKUP($B95,'LOD 300 - COLO3'!$B:X,23,FALSE),"N/A")</f>
        <v>N/A</v>
      </c>
      <c r="EL95" s="127" t="str">
        <f>IFERROR(VLOOKUP($B95,'LOD 300 - COLO3'!$B:AA,26,FALSE),"N/A")</f>
        <v>N/A</v>
      </c>
      <c r="EM95" s="127" t="str">
        <f>IFERROR(VLOOKUP($B95,'LOD 300 - COLO3'!$B:AD,29,FALSE),"N/A")</f>
        <v>N/A</v>
      </c>
      <c r="EN95" s="127" t="str">
        <f>IFERROR(VLOOKUP($B95,'LOD 300 - COLO3'!$B:AG,32,FALSE),"N/A")</f>
        <v>N/A</v>
      </c>
      <c r="EO95" s="127" t="str">
        <f>IFERROR(VLOOKUP($B95,'LOD 300 - COLO3'!$B:AJ,35,FALSE),"N/A")</f>
        <v>N/A</v>
      </c>
      <c r="EP95" s="100" t="str">
        <f>IFERROR(VLOOKUP($B95,'LOD 300 - COLO3'!$B:AM,38,FALSE),"N/A")</f>
        <v>N/A</v>
      </c>
      <c r="EQ95" s="100" t="str">
        <f>IFERROR(VLOOKUP($B95,'LOD 300 - COLO3'!$B:AP,41,FALSE),"N/A")</f>
        <v>N/A</v>
      </c>
      <c r="ER95" s="100" t="str">
        <f>IFERROR(VLOOKUP($B95,'LOD 300 - COLO3'!$B:AS,44,FALSE),"N/A")</f>
        <v>N/A</v>
      </c>
      <c r="ES95" s="100" t="str">
        <f>IFERROR(VLOOKUP($B95,'LOD 300 - COLO3'!$B:AV,47,FALSE),"N/A")</f>
        <v>N/A</v>
      </c>
      <c r="ET95" s="100" t="str">
        <f>IFERROR(VLOOKUP($B95,'LOD 300 - COLO3'!$B:AY,50,FALSE),"N/A")</f>
        <v>N/A</v>
      </c>
      <c r="EU95" s="100" t="str">
        <f>IFERROR(VLOOKUP($B95,'LOD 300 - COLO3'!$B:BB,53,FALSE),"N/A")</f>
        <v>N/A</v>
      </c>
      <c r="EV95" s="100" t="str">
        <f>IFERROR(VLOOKUP($B95,'LOD 300 - COLO3'!$B:BE,56,FALSE),"N/A")</f>
        <v>N/A</v>
      </c>
      <c r="EW95" s="100" t="str">
        <f>IFERROR(VLOOKUP($B95,'LOD 300 - COLO3'!$B:BL,59,FALSE),"N/A")</f>
        <v>N/A</v>
      </c>
      <c r="EX95" s="100" t="str">
        <f>IFERROR(VLOOKUP($B95,'LOD 300 - COLO3'!$B:BO,62,FALSE),"N/A")</f>
        <v>N/A</v>
      </c>
      <c r="EY95" s="103" t="str">
        <f>IFERROR(__xludf.DUMMYFUNCTION("IFERROR(
  MAX(FILTER(EI95:EX95, ISNUMBER(EI95:EX95))),
  EX95
)"),"N/A")</f>
        <v>N/A</v>
      </c>
      <c r="EZ95" s="104" t="str">
        <f>IFERROR(VLOOKUP($B95,'LOD 300 - COLO4'!$B:BT,17,FALSE),"N/A")</f>
        <v>N/A</v>
      </c>
      <c r="FA95" s="103" t="str">
        <f>IFERROR(__xludf.DUMMYFUNCTION("IFERROR(
  MAX(FILTER(EZ95, ISNUMBER(EZ95))),
  EZ95
)"),"N/A")</f>
        <v>N/A</v>
      </c>
      <c r="FB95" s="121">
        <f>IFERROR(VLOOKUP($B95,'LOD 300 - SITE'!$B:S,18,FALSE),"N/A")</f>
        <v>0.2</v>
      </c>
      <c r="FC95" s="122">
        <f>IFERROR(VLOOKUP($B95,'LOD 300 - SITE'!$B:V,21,FALSE),"N/A")</f>
        <v>0.2</v>
      </c>
      <c r="FD95" s="122" t="str">
        <f>IFERROR(VLOOKUP($B95,'LOD 300 - SITE'!$B:Y,24,FALSE),"N/A")</f>
        <v>OUTDATED MODEL</v>
      </c>
      <c r="FE95" s="122" t="str">
        <f>IFERROR(VLOOKUP($B95,'LOD 300 - SITE'!$B:AB,27,FALSE),"N/A")</f>
        <v>OUTDATED MODEL</v>
      </c>
      <c r="FF95" s="122" t="str">
        <f>IFERROR(VLOOKUP($B95,'LOD 300 - SITE'!$B:AE,30,FALSE),"N/A")</f>
        <v>OUTDATED MODEL</v>
      </c>
      <c r="FG95" s="122">
        <f>IFERROR(VLOOKUP($B95,'LOD 300 - SITE'!$B:AH,33,FALSE),"N/A")</f>
        <v>1</v>
      </c>
      <c r="FH95" s="122">
        <f>IFERROR(VLOOKUP($B95,'LOD 300 - SITE'!$B:AK,36,FALSE),"N/A")</f>
        <v>1</v>
      </c>
      <c r="FI95" s="122">
        <f>IFERROR(VLOOKUP($B95,'LOD 300 - SITE'!$B:AN,39,FALSE),"N/A")</f>
        <v>1</v>
      </c>
      <c r="FJ95" s="122">
        <f>IFERROR(VLOOKUP($B95,'LOD 300 - SITE'!$B:AQ,42,FALSE),"N/A")</f>
        <v>1</v>
      </c>
      <c r="FK95" s="122">
        <f>IFERROR(VLOOKUP($B95,'LOD 300 - SITE'!$B:AT,45,FALSE),"N/A")</f>
        <v>1</v>
      </c>
      <c r="FL95" s="123">
        <f>IFERROR(VLOOKUP($B95,'LOD 300 - SITE'!$B:AW,48,FALSE),"N/A")</f>
        <v>1</v>
      </c>
      <c r="FM95" s="87">
        <f>IFERROR(VLOOKUP($B95,'LOD 300 - SITE'!$B:AZ,51,FALSE),"N/A")</f>
        <v>1</v>
      </c>
      <c r="FN95" s="94">
        <f>IFERROR(VLOOKUP($B95,'LOD 300 - SITE'!$B:BC,54,FALSE),"N/A")</f>
        <v>1</v>
      </c>
      <c r="FO95" s="95">
        <f>IFERROR(VLOOKUP($B95,'LOD 300 - SITE'!$B:BF,57,FALSE),"N/A")</f>
        <v>1</v>
      </c>
      <c r="FP95" s="86">
        <f>IFERROR(VLOOKUP($B95,'LOD 300 - SITE'!$B:BI,60,FALSE),"N/A")</f>
        <v>1</v>
      </c>
      <c r="FQ95" s="86">
        <f>IFERROR(VLOOKUP($B95,'LOD 300 - SITE'!$B:BL,63,FALSE),"N/A")</f>
        <v>1</v>
      </c>
      <c r="FR95" s="86">
        <f>IFERROR(VLOOKUP($B95,'LOD 300 - SITE'!$B:BO,66,FALSE),"N/A")</f>
        <v>1</v>
      </c>
      <c r="FS95" s="86">
        <f>IFERROR(VLOOKUP($B95,'LOD 300 - SITE'!$B:BR,69,FALSE),"N/A")</f>
        <v>1</v>
      </c>
      <c r="FT95" s="86">
        <f>IFERROR(VLOOKUP($B95,'LOD 300 - SITE'!$B:BU,72,FALSE),"N/A")</f>
        <v>1</v>
      </c>
      <c r="FU95" s="86">
        <f>IFERROR(VLOOKUP($B95,'LOD 300 - SITE'!$B:BX,75,FALSE),"N/A")</f>
        <v>1</v>
      </c>
      <c r="FV95" s="86">
        <f>IFERROR(VLOOKUP($B95,'LOD 300 - SITE'!$B:CA,78,FALSE),"N/A")</f>
        <v>1</v>
      </c>
      <c r="FW95" s="87">
        <f>IFERROR(VLOOKUP($B95,'LOD 300 - SITE'!$B:CD,81,FALSE),"N/A")</f>
        <v>1</v>
      </c>
      <c r="FX95" s="108">
        <f>IFERROR(VLOOKUP($B95,'LOD 300 - SITE'!$B:CG,84,FALSE),"N/A")</f>
        <v>1</v>
      </c>
      <c r="FY95" s="108">
        <f>IFERROR(VLOOKUP($B95,'LOD 300 - SITE'!$B:CJ,87,FALSE),"N/A")</f>
        <v>1</v>
      </c>
      <c r="FZ95" s="108">
        <f>IFERROR(VLOOKUP($B95,'LOD 300 - SITE'!$B:CM,90,FALSE),"N/A")</f>
        <v>1</v>
      </c>
      <c r="GA95" s="108">
        <f>IFERROR(VLOOKUP($B95,'LOD 300 - SITE'!$B:CP,93,FALSE),"N/A")</f>
        <v>1</v>
      </c>
      <c r="GB95" s="108">
        <f>IFERROR(VLOOKUP($B95,'LOD 300 - SITE'!$B:CS,96,FALSE),"N/A")</f>
        <v>1</v>
      </c>
      <c r="GC95" s="109">
        <f>IFERROR(VLOOKUP($B95,'LOD 300 - SITE'!$B:CV,99,FALSE),"N/A")</f>
        <v>1</v>
      </c>
      <c r="GD95" s="87">
        <f>IFERROR(VLOOKUP($B95,'LOD 300 - SITE'!$B:CY,102,FALSE),"N/A")</f>
        <v>1</v>
      </c>
      <c r="GE95" s="87">
        <f>IFERROR(VLOOKUP($B95,'LOD 300 - SITE'!$B:DB,105,FALSE),"N/A")</f>
        <v>1</v>
      </c>
      <c r="GF95" s="87">
        <f>IFERROR(VLOOKUP($B95,'LOD 300 - SITE'!$B:DE,108,FALSE),"N/A")</f>
        <v>1</v>
      </c>
      <c r="GG95" s="87">
        <f>IFERROR(VLOOKUP($B95,'LOD 300 - SITE'!$B:DH,111,FALSE),"N/A")</f>
        <v>1</v>
      </c>
      <c r="GH95" s="87">
        <f>IFERROR(VLOOKUP($B95,'LOD 300 - SITE'!$B:DK,114,FALSE),"N/A")</f>
        <v>1</v>
      </c>
      <c r="GI95" s="87">
        <f>IFERROR(VLOOKUP($B95,'LOD 300 - SITE'!$B:DN,117,FALSE),"N/A")</f>
        <v>1</v>
      </c>
      <c r="GJ95" s="87">
        <f>IFERROR(VLOOKUP($B95,'LOD 300 - SITE'!$B:DQ,120,FALSE),"N/A")</f>
        <v>1</v>
      </c>
      <c r="GK95" s="87">
        <f>IFERROR(VLOOKUP($B95,'LOD 300 - SITE'!$B:DT,123,FALSE),"N/A")</f>
        <v>1</v>
      </c>
      <c r="GL95" s="87">
        <f>IFERROR(VLOOKUP($B95,'LOD 300 - SITE'!$B:DW,126,FALSE),"N/A")</f>
        <v>1</v>
      </c>
      <c r="GM95" s="110">
        <f>IFERROR(__xludf.DUMMYFUNCTION("IFERROR(
  MAX(FILTER(FB95:GL95, ISNUMBER(FB95:GL95))),
  GL95
)"),1.0)</f>
        <v>1</v>
      </c>
      <c r="GN95" s="68"/>
      <c r="GO95" s="68"/>
      <c r="GP95" s="68"/>
    </row>
    <row r="96" ht="15.0" customHeight="1" outlineLevel="1">
      <c r="A96" s="60">
        <v>99.0</v>
      </c>
      <c r="B96" s="140" t="s">
        <v>296</v>
      </c>
      <c r="C96" s="70" t="s">
        <v>297</v>
      </c>
      <c r="D96" s="71" t="s">
        <v>85</v>
      </c>
      <c r="E96" s="138" t="s">
        <v>298</v>
      </c>
      <c r="F96" s="13">
        <v>1121.0</v>
      </c>
      <c r="G96" s="138" t="s">
        <v>298</v>
      </c>
      <c r="H96" s="150">
        <v>0.0</v>
      </c>
      <c r="I96" s="74" t="str">
        <f>IFERROR(VLOOKUP(C93:C235,'R22 RELATÓRIO ACC'!B:F,5,FALSE),"NOT PUBLISHED")</f>
        <v>V1</v>
      </c>
      <c r="J96" s="74" t="str">
        <f>IFERROR(VLOOKUP(C93:C235,'R22 RELATÓRIO ACC'!B:P,15,FALSE),"NOT PUBLISHED")</f>
        <v>05/05/2026</v>
      </c>
      <c r="K96" s="141" t="str">
        <f>IFERROR(VLOOKUP(B93:B283,'RELATÓRIO ACC'!B:F,5,FALSE),"NOT PUBLISHED")</f>
        <v>V3</v>
      </c>
      <c r="L96" s="142" t="str">
        <f>IFERROR(VLOOKUP(B93:B283,'RELATÓRIO ACC'!B:P,15,FALSE),"NOT PUBLISHED")</f>
        <v>20/06/2026</v>
      </c>
      <c r="M96" s="76" t="str">
        <f>IF(OR($D96="UTLS",$D96="GUAR",$D96="STIR",$D96="PUMP",$D96="SITE"),
   VLOOKUP($B96,'LOD 300 - SITE'!B:M,12,FALSE),
   VLOOKUP($B96,'LOD 300 - ADMN'!B:M,12,FALSE)
)</f>
        <v>V3</v>
      </c>
      <c r="N96" s="80">
        <f>IF(OR($D96="UTLS",$D96="GUAR",$D96="STIR",$D96="PUMP",$D96="SITE"),
   VLOOKUP($B96,'LOD 300 - SITE'!B:N,13,FALSE),
   VLOOKUP($B96,'LOD 300 - ADMN'!B:N,13,FALSE)
)</f>
        <v>46193</v>
      </c>
      <c r="O96" s="78" t="str">
        <f>IF(OR($D96="UTLS",$D96="GUAR",$D96="STIR",$D96="PUMP",$D96="SITE"),
   VLOOKUP($B96,'LOD 300 - SITE'!B:O,14,FALSE),
   VLOOKUP($B96,'LOD 300 - ADMN'!B:O,14,FALSE)
)</f>
        <v>R24</v>
      </c>
      <c r="P96" s="79" t="str">
        <f>IF(OR($D96="C345",$D96="C12A",$D96="DATA"),
   VLOOKUP($B96,'LOD 300 - COLO3'!B:M,12,FALSE),"N/A")</f>
        <v>V3</v>
      </c>
      <c r="Q96" s="77">
        <f>IF(OR($D96="C345",$D96="C12A",$D96="DATA"),
   VLOOKUP($B96,'LOD 300 - COLO3'!B:N,13,FALSE),"N/A")</f>
        <v>46193</v>
      </c>
      <c r="R96" s="76" t="str">
        <f>IF(OR($D96="C345",$D96="C12A",$D96="DATA"),
   VLOOKUP($B96,'LOD 300 - COLO3'!B:O,14,FALSE),"N/A")</f>
        <v>R24</v>
      </c>
      <c r="S96" s="79" t="str">
        <f>IF(OR($D96="C345",$D96="C12A",$D96="DATA"),
   VLOOKUP($B96,'LOD 300 - COLO4'!B:M,12,FALSE),"N/A")</f>
        <v>N/A</v>
      </c>
      <c r="T96" s="76" t="str">
        <f>IF(OR($D96="C345",$D96="C12A",$D96="DATA"),
   VLOOKUP($B96,'LOD 300 - COLO4'!B:T,13,FALSE),"N/A")</f>
        <v>N/A</v>
      </c>
      <c r="U96" s="76" t="str">
        <f>IF(OR($D96="C345",$D96="C12A",$D96="DATA"),
   VLOOKUP($B96,'LOD 300 - COLO4'!B:U,17,FALSE),"N/A")</f>
        <v>NOT PUBLISHED</v>
      </c>
      <c r="V96" s="126"/>
      <c r="W96" s="144" t="str">
        <f>IFERROR(VLOOKUP($B96,'LOD 300 - ADMN'!$B:S,18,FALSE),"N/A")</f>
        <v>NOT PUBLISHED</v>
      </c>
      <c r="X96" s="122" t="str">
        <f>IFERROR(VLOOKUP($B96,'LOD 300 - ADMN'!$B:V,21,FALSE),"N/A")</f>
        <v>NOT PUBLISHED</v>
      </c>
      <c r="Y96" s="122" t="str">
        <f>IFERROR(VLOOKUP($B96,'LOD 300 - ADMN'!$B:Y,24,FALSE),"N/A")</f>
        <v>NOT PUBLISHED</v>
      </c>
      <c r="Z96" s="122" t="str">
        <f>IFERROR(VLOOKUP($B96,'LOD 300 - ADMN'!$B:AB,27,FALSE),"N/A")</f>
        <v>NOT PUBLISHED</v>
      </c>
      <c r="AA96" s="122" t="str">
        <f>IFERROR(VLOOKUP($B96,'LOD 300 - ADMN'!$B:AE,30,FALSE),"N/A")</f>
        <v>NOT PUBLISHED</v>
      </c>
      <c r="AB96" s="145" t="str">
        <f>IFERROR(VLOOKUP($B96,'LOD 300 - ADMN'!$B:AH,33,FALSE),"N/A")</f>
        <v>NOT PUBLISHED</v>
      </c>
      <c r="AC96" s="145" t="str">
        <f>IFERROR(VLOOKUP($B96,'LOD 300 - ADMN'!$B:AK,36,FALSE),"N/A")</f>
        <v>NOT PUBLISHED</v>
      </c>
      <c r="AD96" s="122" t="str">
        <f>IFERROR(VLOOKUP($B96,'LOD 300 - ADMN'!$B:AN,39,FALSE),"N/A")</f>
        <v>NOT PUBLISHED</v>
      </c>
      <c r="AE96" s="122" t="str">
        <f>IFERROR(VLOOKUP($B96,'LOD 300 - ADMN'!$B:AQ,42,FALSE),"N/A")</f>
        <v>NOT PUBLISHED</v>
      </c>
      <c r="AF96" s="122" t="str">
        <f>IFERROR(VLOOKUP($B96,'LOD 300 - ADMN'!$B:AT,45,FALSE),"N/A")</f>
        <v>NOT PUBLISHED</v>
      </c>
      <c r="AG96" s="122" t="str">
        <f>IFERROR(VLOOKUP($B96,'LOD 300 - ADMN'!$B:AW,48,FALSE),"N/A")</f>
        <v>NOT PUBLISHED</v>
      </c>
      <c r="AH96" s="122" t="str">
        <f>IFERROR(VLOOKUP($B96,'LOD 300 - ADMN'!$B:AZ,51,FALSE),"N/A")</f>
        <v>NOT PUBLISHED</v>
      </c>
      <c r="AI96" s="122" t="str">
        <f>IFERROR(VLOOKUP($B96,'LOD 300 - ADMN'!$B:BC,54,FALSE),"N/A")</f>
        <v>NOT PUBLISHED</v>
      </c>
      <c r="AJ96" s="87" t="str">
        <f>IFERROR(VLOOKUP($B96,'LOD 300 - ADMN'!$B:BF,57,FALSE),"N/A")</f>
        <v>NOT PUBLISHED</v>
      </c>
      <c r="AK96" s="87" t="str">
        <f>IFERROR(VLOOKUP($B96,'LOD 300 - ADMN'!$B:EP,60,FALSE),"N/A")</f>
        <v>NOT PUBLISHED</v>
      </c>
      <c r="AL96" s="87" t="str">
        <f>IFERROR(VLOOKUP($B96,'LOD 300 - ADMN'!$B:EQ,63,FALSE),"N/A")</f>
        <v>NOT PUBLISHED</v>
      </c>
      <c r="AM96" s="87" t="str">
        <f>IFERROR(VLOOKUP($B96,'LOD 300 - ADMN'!$B:BO,66,FALSE),"N/A")</f>
        <v>NOT PUBLISHED</v>
      </c>
      <c r="AN96" s="87" t="str">
        <f>IFERROR(VLOOKUP($B96,'LOD 300 - ADMN'!$B:BR,69,FALSE),"N/A")</f>
        <v>NOT PUBLISHED</v>
      </c>
      <c r="AO96" s="87" t="str">
        <f>IFERROR(VLOOKUP($B96,'LOD 300 - ADMN'!$B:BU,72,FALSE),"N/A")</f>
        <v>NOT PUBLISHED</v>
      </c>
      <c r="AP96" s="87" t="str">
        <f>IFERROR(VLOOKUP($B96,'LOD 300 - ADMN'!$B:BX,75,FALSE),"N/A")</f>
        <v>NOT PUBLISHED</v>
      </c>
      <c r="AQ96" s="87" t="str">
        <f>IFERROR(VLOOKUP($B96,'LOD 300 - ADMN'!$B:CA,78,FALSE),"N/A")</f>
        <v>NOT PUBLISHED</v>
      </c>
      <c r="AR96" s="87" t="str">
        <f>IFERROR(VLOOKUP($B96,'LOD 300 - ADMN'!$B:CD,81,FALSE),"N/A")</f>
        <v>NOT PUBLISHED</v>
      </c>
      <c r="AS96" s="87" t="str">
        <f>IFERROR(VLOOKUP($B96,'LOD 300 - ADMN'!$B:CG,84,FALSE),"N/A")</f>
        <v>NOT PUBLISHED</v>
      </c>
      <c r="AT96" s="87" t="str">
        <f>IFERROR(VLOOKUP($B96,'LOD 300 - ADMN'!$B:CJ,87,FALSE),"N/A")</f>
        <v>NOT PUBLISHED</v>
      </c>
      <c r="AU96" s="88" t="str">
        <f>IFERROR(VLOOKUP($B96,'LOD 300 - ADMN'!$B:CM,90,FALSE),"N/A")</f>
        <v>NOT PUBLISHED</v>
      </c>
      <c r="AV96" s="88" t="str">
        <f>IFERROR(VLOOKUP($B96,'LOD 300 - ADMN'!$B:CP,93,FALSE),"N/A")</f>
        <v>NOT PUBLISHED</v>
      </c>
      <c r="AW96" s="88" t="str">
        <f>IFERROR(VLOOKUP($B96,'LOD 300 - ADMN'!$B:CS,96,FALSE),"N/A")</f>
        <v>NOT PUBLISHED</v>
      </c>
      <c r="AX96" s="88" t="str">
        <f>IFERROR(VLOOKUP($B96,'LOD 300 - ADMN'!$B:CV,99,FALSE),"N/A")</f>
        <v>NOT PUBLISHED</v>
      </c>
      <c r="AY96" s="88" t="str">
        <f>IFERROR(VLOOKUP($B96,'LOD 300 - ADMN'!$B:CY,102,FALSE),"N/A")</f>
        <v>NOT PUBLISHED</v>
      </c>
      <c r="AZ96" s="88" t="str">
        <f>IFERROR(VLOOKUP($B96,'LOD 300 - ADMN'!$B:DB,105,FALSE),"N/A")</f>
        <v>N/A</v>
      </c>
      <c r="BA96" s="87" t="str">
        <f>IFERROR(VLOOKUP($B96,'LOD 300 - ADMN'!$B:DE,108,FALSE),"N/A")</f>
        <v>N/A</v>
      </c>
      <c r="BB96" s="87" t="str">
        <f>IFERROR(VLOOKUP($B96,'LOD 300 - ADMN'!$B:DH,111,FALSE),"N/A")</f>
        <v>N/A</v>
      </c>
      <c r="BC96" s="87">
        <f>IFERROR(VLOOKUP($B96,'LOD 300 - ADMN'!$B:DK,114,FALSE),"N/A")</f>
        <v>0.43</v>
      </c>
      <c r="BD96" s="87" t="str">
        <f>IFERROR(VLOOKUP($B96,'LOD 300 - ADMN'!$B:DN,117,FALSE),"N/A")</f>
        <v>OUTDATED MODEL</v>
      </c>
      <c r="BE96" s="87" t="str">
        <f>IFERROR(VLOOKUP($B96,'LOD 300 - ADMN'!$B:DQ,120,FALSE),"N/A")</f>
        <v>NEXT ROUND</v>
      </c>
      <c r="BF96" s="87">
        <f>IFERROR(VLOOKUP($B96,'LOD 300 - ADMN'!$B:DT,123,FALSE),"N/A")</f>
        <v>0.94</v>
      </c>
      <c r="BG96" s="87" t="str">
        <f>IFERROR(VLOOKUP($B96,'LOD 300 - ADMN'!$B:DW,126,FALSE),"N/A")</f>
        <v>OUTDATED MODEL</v>
      </c>
      <c r="BH96" s="87" t="str">
        <f>IFERROR(VLOOKUP($B96,'LOD 300 - ADMN'!$B:DZ,129,FALSE),"N/A")</f>
        <v>OUTDATED MODEL</v>
      </c>
      <c r="BI96" s="87" t="str">
        <f>IFERROR(VLOOKUP($B96,'LOD 300 - ADMN'!$B:EC,132,FALSE),"N/A")</f>
        <v>OUTDATED MODEL</v>
      </c>
      <c r="BJ96" s="90">
        <f>IFERROR(__xludf.DUMMYFUNCTION("IFERROR(
  MAX(FILTER(X96:BI96, ISNUMBER(X96:BI96))),
  BI96
)"),0.94)</f>
        <v>0.94</v>
      </c>
      <c r="BK96" s="91" t="str">
        <f>IFERROR(VLOOKUP($B96,'LOD 300 - COLO1'!$B:S,18,FALSE),"N/A")</f>
        <v>NOT PUBLISHED</v>
      </c>
      <c r="BL96" s="92" t="str">
        <f>IFERROR(VLOOKUP($B96,'LOD 300 - COLO1'!$B:V,21,FALSE),"N/A")</f>
        <v>NOT PUBLISHED</v>
      </c>
      <c r="BM96" s="92" t="str">
        <f>IFERROR(VLOOKUP($B96,'LOD 300 - COLO1'!$B:Y,24,FALSE),"N/A")</f>
        <v>NOT PUBLISHED</v>
      </c>
      <c r="BN96" s="92" t="str">
        <f>IFERROR(VLOOKUP($B96,'LOD 300 - COLO1'!$B:AB,27,FALSE),"N/A")</f>
        <v>NOT PUBLISHED</v>
      </c>
      <c r="BO96" s="92" t="str">
        <f>IFERROR(VLOOKUP($B96,'LOD 300 - COLO1'!$B:AE,30,FALSE),"N/A")</f>
        <v>NOT PUBLISHED</v>
      </c>
      <c r="BP96" s="92" t="str">
        <f>IFERROR(VLOOKUP($B96,'LOD 300 - COLO1'!$B:AH,33,FALSE),"N/A")</f>
        <v>NOT PUBLISHED</v>
      </c>
      <c r="BQ96" s="92" t="str">
        <f>IFERROR(VLOOKUP($B96,'LOD 300 - COLO1'!$B:AK,36,FALSE),"N/A")</f>
        <v>NOT PUBLISHED</v>
      </c>
      <c r="BR96" s="92" t="str">
        <f>IFERROR(VLOOKUP($B96,'LOD 300 - COLO1'!$B:AN,39,FALSE),"N/A")</f>
        <v>NOT PUBLISHED</v>
      </c>
      <c r="BS96" s="92" t="str">
        <f>IFERROR(VLOOKUP($B96,'LOD 300 - COLO1'!$B:AQ,42,FALSE),"N/A")</f>
        <v>NOT PUBLISHED</v>
      </c>
      <c r="BT96" s="92" t="str">
        <f>IFERROR(VLOOKUP($B96,'LOD 300 - COLO1'!$B:AT,45,FALSE),"N/A")</f>
        <v>NOT PUBLISHED</v>
      </c>
      <c r="BU96" s="92" t="str">
        <f>IFERROR(VLOOKUP($B96,'LOD 300 - COLO1'!$B:AW,48,FALSE),"N/A")</f>
        <v>NOT PUBLISHED</v>
      </c>
      <c r="BV96" s="92" t="str">
        <f>IFERROR(VLOOKUP($B96,'LOD 300 - COLO1'!$B:AZ,51,FALSE),"N/A")</f>
        <v>NOT PUBLISHED</v>
      </c>
      <c r="BW96" s="92" t="str">
        <f>IFERROR(VLOOKUP($B96,'LOD 300 - COLO1'!$B:BC,54,FALSE),"N/A")</f>
        <v>NOT PUBLISHED</v>
      </c>
      <c r="BX96" s="94" t="str">
        <f>IFERROR(VLOOKUP($B96,'LOD 300 - COLO1'!$B:BF,57,FALSE),"N/A")</f>
        <v>NOT PUBLISHED</v>
      </c>
      <c r="BY96" s="94" t="str">
        <f>IFERROR(VLOOKUP($B96,'LOD 300 - COLO1'!$B:BI,60,FALSE),"N/A")</f>
        <v>NOT PUBLISHED</v>
      </c>
      <c r="BZ96" s="95" t="str">
        <f>IFERROR(VLOOKUP($B96,'LOD 300 - COLO1'!$B:BL,63,FALSE),"N/A")</f>
        <v>NOT PUBLISHED</v>
      </c>
      <c r="CA96" s="86" t="str">
        <f>IFERROR(VLOOKUP($B96,'LOD 300 - COLO1'!$B:BO,66,FALSE),"N/A")</f>
        <v>NOT PUBLISHED</v>
      </c>
      <c r="CB96" s="86" t="str">
        <f>IFERROR(VLOOKUP($B96,'LOD 300 - COLO1'!$B:BR,69,FALSE),"N/A")</f>
        <v>NOT PUBLISHED</v>
      </c>
      <c r="CC96" s="86" t="str">
        <f>IFERROR(VLOOKUP($B96,'LOD 300 - COLO1'!$B:BU,72,FALSE),"N/A")</f>
        <v>NOT PUBLISHED</v>
      </c>
      <c r="CD96" s="86" t="str">
        <f>IFERROR(VLOOKUP($B96,'LOD 300 - COLO1'!$B:BX,75,FALSE),"N/A")</f>
        <v>NOT PUBLISHED</v>
      </c>
      <c r="CE96" s="86" t="str">
        <f>IFERROR(VLOOKUP($B96,'LOD 300 - COLO1'!$B:CA,78,FALSE),"N/A")</f>
        <v>NOT PUBLISHED</v>
      </c>
      <c r="CF96" s="87" t="str">
        <f>IFERROR(VLOOKUP($B96,'LOD 300 - COLO1'!$B:CD,81,FALSE),"N/A")</f>
        <v>NOT PUBLISHED</v>
      </c>
      <c r="CG96" s="86" t="str">
        <f>IFERROR(VLOOKUP($B96,'LOD 300 - COLO1'!$B:CG,84,FALSE),"N/A")</f>
        <v>NOT PUBLISHED</v>
      </c>
      <c r="CH96" s="87" t="str">
        <f>IFERROR(VLOOKUP($B96,'LOD 300 - COLO1'!$B:CJ,87,FALSE),"N/A")</f>
        <v>NOT PUBLISHED</v>
      </c>
      <c r="CI96" s="88" t="str">
        <f>IFERROR(VLOOKUP($B96,'LOD 300 - COLO1'!$B:CM,90,FALSE),"N/A")</f>
        <v>NOT PUBLISHED</v>
      </c>
      <c r="CJ96" s="88" t="str">
        <f>IFERROR(VLOOKUP($B96,'LOD 300 - COLO1'!$B:CP,93,FALSE),"N/A")</f>
        <v>NOT PUBLISHED</v>
      </c>
      <c r="CK96" s="88" t="str">
        <f>IFERROR(VLOOKUP($B96,'LOD 300 - COLO1'!$B:CS,96,FALSE),"N/A")</f>
        <v>NOT PUBLISHED</v>
      </c>
      <c r="CL96" s="88" t="str">
        <f>IFERROR(VLOOKUP($B96,'LOD 300 - COLO1'!$B:CV,99,FALSE),"N/A")</f>
        <v>NOT PUBLISHED</v>
      </c>
      <c r="CM96" s="88" t="str">
        <f>IFERROR(VLOOKUP($B96,'LOD 300 - COLO1'!$B:CY,102,FALSE),"N/A")</f>
        <v>NOT PUBLISHED</v>
      </c>
      <c r="CN96" s="89" t="str">
        <f>IFERROR(VLOOKUP($B96,'LOD 300 - COLO1'!$B:DB,105,FALSE),"N/A")</f>
        <v>N/A</v>
      </c>
      <c r="CO96" s="87" t="str">
        <f>IFERROR(VLOOKUP($B96,'LOD 300 - COLO1'!$B:EE,108,FALSE),"N/A")</f>
        <v>N/A</v>
      </c>
      <c r="CP96" s="87" t="str">
        <f>IFERROR(VLOOKUP($B96,'LOD 300 - COLO1'!$B:EH,111,FALSE),"N/A")</f>
        <v>N/A</v>
      </c>
      <c r="CQ96" s="87">
        <f>IFERROR(VLOOKUP($B96,'LOD 300 - COLO1'!$B:EK,114,FALSE),"N/A")</f>
        <v>0</v>
      </c>
      <c r="CR96" s="87">
        <f>IFERROR(VLOOKUP($B96,'LOD 300 - COLO1'!$B:EN,117,FALSE),"N/A")</f>
        <v>0.34</v>
      </c>
      <c r="CS96" s="87" t="str">
        <f>IFERROR(VLOOKUP($B96,'LOD 300 - COLO1'!$B:EQ,120,FALSE),"N/A")</f>
        <v>NEXT ROUND</v>
      </c>
      <c r="CT96" s="87">
        <f>IFERROR(VLOOKUP($B96,'LOD 300 - COLO1'!$B:ET,123,FALSE),"N/A")</f>
        <v>0.89</v>
      </c>
      <c r="CU96" s="87" t="str">
        <f>IFERROR(VLOOKUP($B96,'LOD 300 - COLO1'!$B:EW,126,FALSE),"N/A")</f>
        <v>OUTDATED MODEL</v>
      </c>
      <c r="CV96" s="87" t="str">
        <f>IFERROR(VLOOKUP($B96,'LOD 300 - COLO1'!$B:EZ,129,FALSE),"N/A")</f>
        <v>OUTDATED MODEL</v>
      </c>
      <c r="CW96" s="87" t="str">
        <f>IFERROR(VLOOKUP($B96,'LOD 300 - COLO1'!$B:FC,132,FALSE),"N/A")</f>
        <v>OUTDATED MODEL</v>
      </c>
      <c r="CX96" s="96">
        <f>IFERROR(__xludf.DUMMYFUNCTION("IFERROR(
  MAX(FILTER(BK96:CW96, ISNUMBER(BK96:CW96))),
  CW96
)"),0.89)</f>
        <v>0.89</v>
      </c>
      <c r="CY96" s="104" t="str">
        <f>IFERROR(VLOOKUP($B96,'LOD 300 - COLO2'!$B:S,18,FALSE),"N/A")</f>
        <v>NOT PUBLISHED</v>
      </c>
      <c r="CZ96" s="117" t="str">
        <f>IFERROR(VLOOKUP($B96,'LOD 300 - COLO2'!$B:V,21,FALSE),"N/A")</f>
        <v>NOT PUBLISHED</v>
      </c>
      <c r="DA96" s="117" t="str">
        <f>IFERROR(VLOOKUP($B96,'LOD 300 - COLO2'!$B:Y,24,FALSE),"N/A")</f>
        <v>NOT PUBLISHED</v>
      </c>
      <c r="DB96" s="117" t="str">
        <f>IFERROR(VLOOKUP($B96,'LOD 300 - COLO2'!$B:AB,27,FALSE),"N/A")</f>
        <v>NOT PUBLISHED</v>
      </c>
      <c r="DC96" s="92" t="str">
        <f>IFERROR(VLOOKUP($B96,'LOD 300 - COLO2'!$B:AE,30,FALSE),"N/A")</f>
        <v>NOT PUBLISHED</v>
      </c>
      <c r="DD96" s="120" t="str">
        <f>IFERROR(VLOOKUP($B96,'LOD 300 - COLO2'!$B:AH,33,FALSE),"N/A")</f>
        <v>NOT PUBLISHED</v>
      </c>
      <c r="DE96" s="117" t="str">
        <f>IFERROR(VLOOKUP($B96,'LOD 300 - COLO2'!$B:AK,36,FALSE),"N/A")</f>
        <v>NOT PUBLISHED</v>
      </c>
      <c r="DF96" s="117" t="str">
        <f>IFERROR(VLOOKUP($B96,'LOD 300 - COLO2'!$B:AN,39,FALSE),"N/A")</f>
        <v>NOT PUBLISHED</v>
      </c>
      <c r="DG96" s="119" t="str">
        <f>IFERROR(VLOOKUP($B96,'LOD 300 - COLO2'!$B:AQ,42,FALSE),"N/A")</f>
        <v>NOT PUBLISHED</v>
      </c>
      <c r="DH96" s="87" t="str">
        <f>IFERROR(VLOOKUP($B96,'LOD 300 - COLO2'!$B:AT,45,FALSE),"N/A")</f>
        <v>NOT PUBLISHED</v>
      </c>
      <c r="DI96" s="94" t="str">
        <f>IFERROR(VLOOKUP($B96,'LOD 300 - COLO2'!$B:AW,48,FALSE),"N/A")</f>
        <v>NOT PUBLISHED</v>
      </c>
      <c r="DJ96" s="95" t="str">
        <f>IFERROR(VLOOKUP($B96,'LOD 300 - COLO2'!$B:AZ,51,FALSE),"N/A")</f>
        <v>NOT PUBLISHED</v>
      </c>
      <c r="DK96" s="86" t="str">
        <f>IFERROR(VLOOKUP($B96,'LOD 300 - COLO2'!$B:BC,54,FALSE),"N/A")</f>
        <v>NOT PUBLISHED</v>
      </c>
      <c r="DL96" s="86" t="str">
        <f>IFERROR(VLOOKUP($B96,'LOD 300 - COLO2'!$B:BF,57,FALSE),"N/A")</f>
        <v>NOT PUBLISHED</v>
      </c>
      <c r="DM96" s="86" t="str">
        <f>IFERROR(VLOOKUP($B96,'LOD 300 - COLO2'!$B:BI,60,FALSE),"N/A")</f>
        <v>NOT PUBLISHED</v>
      </c>
      <c r="DN96" s="86" t="str">
        <f>IFERROR(VLOOKUP($B96,'LOD 300 - COLO2'!$B:BL,63,FALSE),"N/A")</f>
        <v>NOT PUBLISHED</v>
      </c>
      <c r="DO96" s="86" t="str">
        <f>IFERROR(VLOOKUP($B96,'LOD 300 - COLO2'!$B:BO,66,FALSE),"N/A")</f>
        <v>NOT PUBLISHED</v>
      </c>
      <c r="DP96" s="87" t="str">
        <f>IFERROR(VLOOKUP($B96,'LOD 300 - COLO2'!$B:BR,69,FALSE),"N/A")</f>
        <v>NOT PUBLISHED</v>
      </c>
      <c r="DQ96" s="87" t="str">
        <f>IFERROR(VLOOKUP($B96,'LOD 300 - COLO2'!$B:BU,72,FALSE),"N/A")</f>
        <v>NOT PUBLISHED</v>
      </c>
      <c r="DR96" s="87" t="str">
        <f>IFERROR(VLOOKUP($B96,'LOD 300 - COLO2'!$B:BX,75,FALSE),"N/A")</f>
        <v>NOT PUBLISHED</v>
      </c>
      <c r="DS96" s="98" t="str">
        <f>IFERROR(VLOOKUP($B96,'LOD 300 - COLO2'!$B:CA,78,FALSE),"N/A")</f>
        <v>NOT PUBLISHED</v>
      </c>
      <c r="DT96" s="98" t="str">
        <f>IFERROR(VLOOKUP($B96,'LOD 300 - COLO2'!$B:CD,81,FALSE),"N/A")</f>
        <v>NOT PUBLISHED</v>
      </c>
      <c r="DU96" s="98" t="str">
        <f>IFERROR(VLOOKUP($B96,'LOD 300 - COLO2'!$B:CG,84,FALSE),"N/A")</f>
        <v>NOT PUBLISHED</v>
      </c>
      <c r="DV96" s="98" t="str">
        <f>IFERROR(VLOOKUP($B96,'LOD 300 - COLO2'!$B:CJ,87,FALSE),"N/A")</f>
        <v>NOT PUBLISHED</v>
      </c>
      <c r="DW96" s="98" t="str">
        <f>IFERROR(VLOOKUP($B96,'LOD 300 - COLO2'!$B:CM,90,FALSE),"N/A")</f>
        <v>NOT PUBLISHED</v>
      </c>
      <c r="DX96" s="98" t="str">
        <f>IFERROR(VLOOKUP($B96,'LOD 300 - COLO2'!$B:CP,93,FALSE),"N/A")</f>
        <v>N/A</v>
      </c>
      <c r="DY96" s="87" t="str">
        <f>IFERROR(VLOOKUP($B96,'LOD 300 - COLO2'!$B:CS,96,FALSE),"N/A")</f>
        <v>N/A</v>
      </c>
      <c r="DZ96" s="87" t="str">
        <f>IFERROR(VLOOKUP($B96,'LOD 300 - COLO2'!$B:CV,99,FALSE),"N/A")</f>
        <v>N/A</v>
      </c>
      <c r="EA96" s="87">
        <f>IFERROR(VLOOKUP($B96,'LOD 300 - COLO2'!$B:DB,105,FALSE),"N/A")</f>
        <v>0.42</v>
      </c>
      <c r="EB96" s="87">
        <f>IFERROR(VLOOKUP($B96,'LOD 300 - COLO2'!$B:DB,105,FALSE),"N/A")</f>
        <v>0.42</v>
      </c>
      <c r="EC96" s="87" t="str">
        <f>IFERROR(VLOOKUP($B96,'LOD 300 - COLO2'!$B:DE,108,FALSE),"N/A")</f>
        <v>NEXT ROUND</v>
      </c>
      <c r="ED96" s="87">
        <f>IFERROR(VLOOKUP($B96,'LOD 300 - COLO2'!$B:DH,111,FALSE),"N/A")</f>
        <v>0.96</v>
      </c>
      <c r="EE96" s="87" t="str">
        <f>IFERROR(VLOOKUP($B96,'LOD 300 - COLO2'!$B:DK,114,FALSE),"N/A")</f>
        <v>OUTDATED MODEL</v>
      </c>
      <c r="EF96" s="87" t="str">
        <f>IFERROR(VLOOKUP($B96,'LOD 300 - COLO2'!$B:DN,117,FALSE),"N/A")</f>
        <v>OUTDATED MODEL</v>
      </c>
      <c r="EG96" s="87" t="str">
        <f>IFERROR(VLOOKUP($B96,'LOD 300 - COLO2'!$B:DQ,120,FALSE),"N/A")</f>
        <v>OUTDATED MODEL</v>
      </c>
      <c r="EH96" s="99">
        <f>IFERROR(__xludf.DUMMYFUNCTION("IFERROR(
  MAX(FILTER(CZ96:EG96, ISNUMBER(CZ96:EG96))),
  EG96
)"),0.96)</f>
        <v>0.96</v>
      </c>
      <c r="EI96" s="100" t="str">
        <f>IFERROR(VLOOKUP($B96,'LOD 300 - COLO3'!$B:R,17,FALSE),"N/A")</f>
        <v>NOT PUBLISHED</v>
      </c>
      <c r="EJ96" s="127" t="str">
        <f>IFERROR(VLOOKUP($B96,'LOD 300 - COLO3'!$B:U,20,FALSE),"N/A")</f>
        <v>NOT PUBLISHED</v>
      </c>
      <c r="EK96" s="127" t="str">
        <f>IFERROR(VLOOKUP($B96,'LOD 300 - COLO3'!$B:X,23,FALSE),"N/A")</f>
        <v>NOT PUBLISHED</v>
      </c>
      <c r="EL96" s="127" t="str">
        <f>IFERROR(VLOOKUP($B96,'LOD 300 - COLO3'!$B:AA,26,FALSE),"N/A")</f>
        <v>NOT PUBLISHED</v>
      </c>
      <c r="EM96" s="127" t="str">
        <f>IFERROR(VLOOKUP($B96,'LOD 300 - COLO3'!$B:AD,29,FALSE),"N/A")</f>
        <v>NOT PUBLISHED</v>
      </c>
      <c r="EN96" s="127" t="str">
        <f>IFERROR(VLOOKUP($B96,'LOD 300 - COLO3'!$B:AG,32,FALSE),"N/A")</f>
        <v>NOT PUBLISHED</v>
      </c>
      <c r="EO96" s="127" t="str">
        <f>IFERROR(VLOOKUP($B96,'LOD 300 - COLO3'!$B:AJ,35,FALSE),"N/A")</f>
        <v>N/A</v>
      </c>
      <c r="EP96" s="100" t="str">
        <f>IFERROR(VLOOKUP($B96,'LOD 300 - COLO3'!$B:AM,38,FALSE),"N/A")</f>
        <v>N/A</v>
      </c>
      <c r="EQ96" s="100" t="str">
        <f>IFERROR(VLOOKUP($B96,'LOD 300 - COLO3'!$B:AP,41,FALSE),"N/A")</f>
        <v>N/A</v>
      </c>
      <c r="ER96" s="100">
        <f>IFERROR(VLOOKUP($B96,'LOD 300 - COLO3'!$B:AS,44,FALSE),"N/A")</f>
        <v>0</v>
      </c>
      <c r="ES96" s="100">
        <f>IFERROR(VLOOKUP($B96,'LOD 300 - COLO3'!$B:AV,47,FALSE),"N/A")</f>
        <v>0.56</v>
      </c>
      <c r="ET96" s="100" t="str">
        <f>IFERROR(VLOOKUP($B96,'LOD 300 - COLO3'!$B:AY,50,FALSE),"N/A")</f>
        <v>NEXT ROUND</v>
      </c>
      <c r="EU96" s="100">
        <f>IFERROR(VLOOKUP($B96,'LOD 300 - COLO3'!$B:BB,53,FALSE),"N/A")</f>
        <v>0.93</v>
      </c>
      <c r="EV96" s="100" t="str">
        <f>IFERROR(VLOOKUP($B96,'LOD 300 - COLO3'!$B:BE,56,FALSE),"N/A")</f>
        <v>OUTDATED MODEL</v>
      </c>
      <c r="EW96" s="100" t="str">
        <f>IFERROR(VLOOKUP($B96,'LOD 300 - COLO3'!$B:BL,59,FALSE),"N/A")</f>
        <v>OUTDATED MODEL</v>
      </c>
      <c r="EX96" s="100" t="str">
        <f>IFERROR(VLOOKUP($B96,'LOD 300 - COLO3'!$B:BO,62,FALSE),"N/A")</f>
        <v>OUTDATED MODEL</v>
      </c>
      <c r="EY96" s="103">
        <f>IFERROR(__xludf.DUMMYFUNCTION("IFERROR(
  MAX(FILTER(EI96:EX96, ISNUMBER(EI96:EX96))),
  EX96
)"),0.93)</f>
        <v>0.93</v>
      </c>
      <c r="EZ96" s="104" t="str">
        <f>IFERROR(VLOOKUP($B96,'LOD 300 - COLO4'!$B:BT,17,FALSE),"N/A")</f>
        <v>NOT PUBLISHED</v>
      </c>
      <c r="FA96" s="103" t="str">
        <f>IFERROR(__xludf.DUMMYFUNCTION("IFERROR(
  MAX(FILTER(EZ96, ISNUMBER(EZ96))),
  EZ96
)"),"NOT PUBLISHED")</f>
        <v>NOT PUBLISHED</v>
      </c>
      <c r="FB96" s="121" t="str">
        <f>IFERROR(VLOOKUP($B96,'LOD 300 - SITE'!$B:S,18,FALSE),"N/A")</f>
        <v>N/A</v>
      </c>
      <c r="FC96" s="122" t="str">
        <f>IFERROR(VLOOKUP($B96,'LOD 300 - SITE'!$B:V,21,FALSE),"N/A")</f>
        <v>N/A</v>
      </c>
      <c r="FD96" s="122" t="str">
        <f>IFERROR(VLOOKUP($B96,'LOD 300 - SITE'!$B:Y,24,FALSE),"N/A")</f>
        <v>N/A</v>
      </c>
      <c r="FE96" s="122" t="str">
        <f>IFERROR(VLOOKUP($B96,'LOD 300 - SITE'!$B:AB,27,FALSE),"N/A")</f>
        <v>N/A</v>
      </c>
      <c r="FF96" s="122" t="str">
        <f>IFERROR(VLOOKUP($B96,'LOD 300 - SITE'!$B:AE,30,FALSE),"N/A")</f>
        <v>N/A</v>
      </c>
      <c r="FG96" s="122" t="str">
        <f>IFERROR(VLOOKUP($B96,'LOD 300 - SITE'!$B:AH,33,FALSE),"N/A")</f>
        <v>N/A</v>
      </c>
      <c r="FH96" s="122" t="str">
        <f>IFERROR(VLOOKUP($B96,'LOD 300 - SITE'!$B:AK,36,FALSE),"N/A")</f>
        <v>N/A</v>
      </c>
      <c r="FI96" s="122" t="str">
        <f>IFERROR(VLOOKUP($B96,'LOD 300 - SITE'!$B:AN,39,FALSE),"N/A")</f>
        <v>N/A</v>
      </c>
      <c r="FJ96" s="122" t="str">
        <f>IFERROR(VLOOKUP($B96,'LOD 300 - SITE'!$B:AQ,42,FALSE),"N/A")</f>
        <v>N/A</v>
      </c>
      <c r="FK96" s="122" t="str">
        <f>IFERROR(VLOOKUP($B96,'LOD 300 - SITE'!$B:AT,45,FALSE),"N/A")</f>
        <v>N/A</v>
      </c>
      <c r="FL96" s="123" t="str">
        <f>IFERROR(VLOOKUP($B96,'LOD 300 - SITE'!$B:AW,48,FALSE),"N/A")</f>
        <v>N/A</v>
      </c>
      <c r="FM96" s="87" t="str">
        <f>IFERROR(VLOOKUP($B96,'LOD 300 - SITE'!$B:AZ,51,FALSE),"N/A")</f>
        <v>N/A</v>
      </c>
      <c r="FN96" s="94" t="str">
        <f>IFERROR(VLOOKUP($B96,'LOD 300 - SITE'!$B:BC,54,FALSE),"N/A")</f>
        <v>N/A</v>
      </c>
      <c r="FO96" s="95" t="str">
        <f>IFERROR(VLOOKUP($B96,'LOD 300 - SITE'!$B:BF,57,FALSE),"N/A")</f>
        <v>N/A</v>
      </c>
      <c r="FP96" s="86" t="str">
        <f>IFERROR(VLOOKUP($B96,'LOD 300 - SITE'!$B:BI,60,FALSE),"N/A")</f>
        <v>N/A</v>
      </c>
      <c r="FQ96" s="86" t="str">
        <f>IFERROR(VLOOKUP($B96,'LOD 300 - SITE'!$B:BL,63,FALSE),"N/A")</f>
        <v>N/A</v>
      </c>
      <c r="FR96" s="86" t="str">
        <f>IFERROR(VLOOKUP($B96,'LOD 300 - SITE'!$B:BO,66,FALSE),"N/A")</f>
        <v>N/A</v>
      </c>
      <c r="FS96" s="86" t="str">
        <f>IFERROR(VLOOKUP($B96,'LOD 300 - SITE'!$B:BR,69,FALSE),"N/A")</f>
        <v>N/A</v>
      </c>
      <c r="FT96" s="86" t="str">
        <f>IFERROR(VLOOKUP($B96,'LOD 300 - SITE'!$B:BU,72,FALSE),"N/A")</f>
        <v>N/A</v>
      </c>
      <c r="FU96" s="86" t="str">
        <f>IFERROR(VLOOKUP($B96,'LOD 300 - SITE'!$B:BX,75,FALSE),"N/A")</f>
        <v>N/A</v>
      </c>
      <c r="FV96" s="86" t="str">
        <f>IFERROR(VLOOKUP($B96,'LOD 300 - SITE'!$B:CA,78,FALSE),"N/A")</f>
        <v>N/A</v>
      </c>
      <c r="FW96" s="87" t="str">
        <f>IFERROR(VLOOKUP($B96,'LOD 300 - SITE'!$B:CD,81,FALSE),"N/A")</f>
        <v>N/A</v>
      </c>
      <c r="FX96" s="108" t="str">
        <f>IFERROR(VLOOKUP($B96,'LOD 300 - SITE'!$B:CG,84,FALSE),"N/A")</f>
        <v>N/A</v>
      </c>
      <c r="FY96" s="108" t="str">
        <f>IFERROR(VLOOKUP($B96,'LOD 300 - SITE'!$B:CJ,87,FALSE),"N/A")</f>
        <v>N/A</v>
      </c>
      <c r="FZ96" s="108" t="str">
        <f>IFERROR(VLOOKUP($B96,'LOD 300 - SITE'!$B:CM,90,FALSE),"N/A")</f>
        <v>N/A</v>
      </c>
      <c r="GA96" s="108" t="str">
        <f>IFERROR(VLOOKUP($B96,'LOD 300 - SITE'!$B:CP,93,FALSE),"N/A")</f>
        <v>N/A</v>
      </c>
      <c r="GB96" s="108" t="str">
        <f>IFERROR(VLOOKUP($B96,'LOD 300 - SITE'!$B:CS,96,FALSE),"N/A")</f>
        <v>N/A</v>
      </c>
      <c r="GC96" s="109" t="str">
        <f>IFERROR(VLOOKUP($B96,'LOD 300 - SITE'!$B:CV,99,FALSE),"N/A")</f>
        <v>N/A</v>
      </c>
      <c r="GD96" s="87" t="str">
        <f>IFERROR(VLOOKUP($B96,'LOD 300 - SITE'!$B:CY,102,FALSE),"N/A")</f>
        <v>N/A</v>
      </c>
      <c r="GE96" s="87" t="str">
        <f>IFERROR(VLOOKUP($B96,'LOD 300 - SITE'!$B:DB,105,FALSE),"N/A")</f>
        <v>N/A</v>
      </c>
      <c r="GF96" s="87" t="str">
        <f>IFERROR(VLOOKUP($B96,'LOD 300 - SITE'!$B:DE,108,FALSE),"N/A")</f>
        <v>N/A</v>
      </c>
      <c r="GG96" s="87" t="str">
        <f>IFERROR(VLOOKUP($B96,'LOD 300 - SITE'!$B:DH,111,FALSE),"N/A")</f>
        <v>N/A</v>
      </c>
      <c r="GH96" s="87" t="str">
        <f>IFERROR(VLOOKUP($B96,'LOD 300 - SITE'!$B:DK,114,FALSE),"N/A")</f>
        <v>N/A</v>
      </c>
      <c r="GI96" s="87" t="str">
        <f>IFERROR(VLOOKUP($B96,'LOD 300 - SITE'!$B:DN,117,FALSE),"N/A")</f>
        <v>N/A</v>
      </c>
      <c r="GJ96" s="87" t="str">
        <f>IFERROR(VLOOKUP($B96,'LOD 300 - SITE'!$B:DQ,120,FALSE),"N/A")</f>
        <v>N/A</v>
      </c>
      <c r="GK96" s="87" t="str">
        <f>IFERROR(VLOOKUP($B96,'LOD 300 - SITE'!$B:DT,123,FALSE),"N/A")</f>
        <v>N/A</v>
      </c>
      <c r="GL96" s="87" t="str">
        <f>IFERROR(VLOOKUP($B96,'LOD 300 - SITE'!$B:DW,126,FALSE),"N/A")</f>
        <v>N/A</v>
      </c>
      <c r="GM96" s="110" t="str">
        <f>IFERROR(__xludf.DUMMYFUNCTION("IFERROR(
  MAX(FILTER(FB96:GL96, ISNUMBER(FB96:GL96))),
  GL96
)"),"N/A")</f>
        <v>N/A</v>
      </c>
      <c r="GN96" s="68"/>
      <c r="GO96" s="68"/>
      <c r="GP96" s="68"/>
    </row>
    <row r="97" ht="15.0" customHeight="1" outlineLevel="1">
      <c r="A97" s="60">
        <v>100.0</v>
      </c>
      <c r="B97" s="140" t="s">
        <v>299</v>
      </c>
      <c r="C97" s="70" t="s">
        <v>300</v>
      </c>
      <c r="D97" s="71" t="s">
        <v>90</v>
      </c>
      <c r="E97" s="138" t="s">
        <v>298</v>
      </c>
      <c r="F97" s="13"/>
      <c r="G97" s="138" t="s">
        <v>298</v>
      </c>
      <c r="H97" s="150"/>
      <c r="I97" s="74" t="str">
        <f>IFERROR(VLOOKUP(C94:C236,'R22 RELATÓRIO ACC'!B:F,5,FALSE),"NOT PUBLISHED")</f>
        <v>V1</v>
      </c>
      <c r="J97" s="74" t="str">
        <f>IFERROR(VLOOKUP(C94:C236,'R22 RELATÓRIO ACC'!B:P,15,FALSE),"NOT PUBLISHED")</f>
        <v>05/05/2026</v>
      </c>
      <c r="K97" s="141" t="str">
        <f>IFERROR(VLOOKUP(B94:B284,'RELATÓRIO ACC'!B:F,5,FALSE),"NOT PUBLISHED")</f>
        <v>V2</v>
      </c>
      <c r="L97" s="142" t="str">
        <f>IFERROR(VLOOKUP(B94:B284,'RELATÓRIO ACC'!B:P,15,FALSE),"NOT PUBLISHED")</f>
        <v>26/05/2026</v>
      </c>
      <c r="M97" s="76" t="str">
        <f>IF(OR($D97="UTLS",$D97="GUAR",$D97="STIR",$D97="PUMP",$D97="SITE"),
   VLOOKUP($B97,'LOD 300 - SITE'!B:M,12,FALSE),
   VLOOKUP($B97,'LOD 300 - ADMN'!B:M,12,FALSE)
)</f>
        <v>V2</v>
      </c>
      <c r="N97" s="77">
        <f>IF(OR($D97="UTLS",$D97="GUAR",$D97="STIR",$D97="PUMP",$D97="SITE"),
   VLOOKUP($B97,'LOD 300 - SITE'!B:N,13,FALSE),
   VLOOKUP($B97,'LOD 300 - ADMN'!B:N,13,FALSE)
)</f>
        <v>45803</v>
      </c>
      <c r="O97" s="78" t="str">
        <f>IF(OR($D97="UTLS",$D97="GUAR",$D97="STIR",$D97="PUMP",$D97="SITE"),
   VLOOKUP($B97,'LOD 300 - SITE'!B:O,14,FALSE),
   VLOOKUP($B97,'LOD 300 - ADMN'!B:O,14,FALSE)
)</f>
        <v>R24</v>
      </c>
      <c r="P97" s="79" t="str">
        <f>IF(OR($D97="C345",$D97="C12A",$D97="DATA"),
   VLOOKUP($B97,'LOD 300 - COLO3'!B:M,12,FALSE),"N/A")</f>
        <v>N/A</v>
      </c>
      <c r="Q97" s="76" t="str">
        <f>IF(OR($D97="C345",$D97="C12A",$D97="DATA"),
   VLOOKUP($B97,'LOD 300 - COLO3'!B:N,13,FALSE),"N/A")</f>
        <v>N/A</v>
      </c>
      <c r="R97" s="76" t="str">
        <f>IF(OR($D97="C345",$D97="C12A",$D97="DATA"),
   VLOOKUP($B97,'LOD 300 - COLO3'!B:O,14,FALSE),"N/A")</f>
        <v>N/A</v>
      </c>
      <c r="S97" s="79" t="str">
        <f>IF(OR($D97="C345",$D97="C12A",$D97="DATA"),
   VLOOKUP($B97,'LOD 300 - COLO4'!B:M,12,FALSE),"N/A")</f>
        <v>N/A</v>
      </c>
      <c r="T97" s="76" t="str">
        <f>IF(OR($D97="C345",$D97="C12A",$D97="DATA"),
   VLOOKUP($B97,'LOD 300 - COLO4'!B:T,13,FALSE),"N/A")</f>
        <v>N/A</v>
      </c>
      <c r="U97" s="76" t="str">
        <f>IF(OR($D97="C345",$D97="C12A",$D97="DATA"),
   VLOOKUP($B97,'LOD 300 - COLO4'!B:U,17,FALSE),"N/A")</f>
        <v>N/A</v>
      </c>
      <c r="V97" s="126"/>
      <c r="W97" s="144" t="str">
        <f>IFERROR(VLOOKUP($B97,'LOD 300 - ADMN'!$B:S,18,FALSE),"N/A")</f>
        <v>N/A</v>
      </c>
      <c r="X97" s="122" t="str">
        <f>IFERROR(VLOOKUP($B97,'LOD 300 - ADMN'!$B:V,21,FALSE),"N/A")</f>
        <v>N/A</v>
      </c>
      <c r="Y97" s="122" t="str">
        <f>IFERROR(VLOOKUP($B97,'LOD 300 - ADMN'!$B:Y,24,FALSE),"N/A")</f>
        <v>N/A</v>
      </c>
      <c r="Z97" s="122" t="str">
        <f>IFERROR(VLOOKUP($B97,'LOD 300 - ADMN'!$B:AB,27,FALSE),"N/A")</f>
        <v>N/A</v>
      </c>
      <c r="AA97" s="122" t="str">
        <f>IFERROR(VLOOKUP($B97,'LOD 300 - ADMN'!$B:AE,30,FALSE),"N/A")</f>
        <v>N/A</v>
      </c>
      <c r="AB97" s="145" t="str">
        <f>IFERROR(VLOOKUP($B97,'LOD 300 - ADMN'!$B:AH,33,FALSE),"N/A")</f>
        <v>N/A</v>
      </c>
      <c r="AC97" s="145" t="str">
        <f>IFERROR(VLOOKUP($B97,'LOD 300 - ADMN'!$B:AK,36,FALSE),"N/A")</f>
        <v>N/A</v>
      </c>
      <c r="AD97" s="122" t="str">
        <f>IFERROR(VLOOKUP($B97,'LOD 300 - ADMN'!$B:AN,39,FALSE),"N/A")</f>
        <v>N/A</v>
      </c>
      <c r="AE97" s="122" t="str">
        <f>IFERROR(VLOOKUP($B97,'LOD 300 - ADMN'!$B:AQ,42,FALSE),"N/A")</f>
        <v>N/A</v>
      </c>
      <c r="AF97" s="122" t="str">
        <f>IFERROR(VLOOKUP($B97,'LOD 300 - ADMN'!$B:AT,45,FALSE),"N/A")</f>
        <v>N/A</v>
      </c>
      <c r="AG97" s="122" t="str">
        <f>IFERROR(VLOOKUP($B97,'LOD 300 - ADMN'!$B:AW,48,FALSE),"N/A")</f>
        <v>N/A</v>
      </c>
      <c r="AH97" s="122" t="str">
        <f>IFERROR(VLOOKUP($B97,'LOD 300 - ADMN'!$B:AZ,51,FALSE),"N/A")</f>
        <v>N/A</v>
      </c>
      <c r="AI97" s="122" t="str">
        <f>IFERROR(VLOOKUP($B97,'LOD 300 - ADMN'!$B:BC,54,FALSE),"N/A")</f>
        <v>N/A</v>
      </c>
      <c r="AJ97" s="87" t="str">
        <f>IFERROR(VLOOKUP($B97,'LOD 300 - ADMN'!$B:BF,57,FALSE),"N/A")</f>
        <v>N/A</v>
      </c>
      <c r="AK97" s="87" t="str">
        <f>IFERROR(VLOOKUP($B97,'LOD 300 - ADMN'!$B:EP,60,FALSE),"N/A")</f>
        <v>N/A</v>
      </c>
      <c r="AL97" s="87" t="str">
        <f>IFERROR(VLOOKUP($B97,'LOD 300 - ADMN'!$B:EQ,63,FALSE),"N/A")</f>
        <v>N/A</v>
      </c>
      <c r="AM97" s="87" t="str">
        <f>IFERROR(VLOOKUP($B97,'LOD 300 - ADMN'!$B:BO,66,FALSE),"N/A")</f>
        <v>N/A</v>
      </c>
      <c r="AN97" s="87" t="str">
        <f>IFERROR(VLOOKUP($B97,'LOD 300 - ADMN'!$B:BR,69,FALSE),"N/A")</f>
        <v>N/A</v>
      </c>
      <c r="AO97" s="87" t="str">
        <f>IFERROR(VLOOKUP($B97,'LOD 300 - ADMN'!$B:BU,72,FALSE),"N/A")</f>
        <v>N/A</v>
      </c>
      <c r="AP97" s="87" t="str">
        <f>IFERROR(VLOOKUP($B97,'LOD 300 - ADMN'!$B:BX,75,FALSE),"N/A")</f>
        <v>N/A</v>
      </c>
      <c r="AQ97" s="87" t="str">
        <f>IFERROR(VLOOKUP($B97,'LOD 300 - ADMN'!$B:CA,78,FALSE),"N/A")</f>
        <v>N/A</v>
      </c>
      <c r="AR97" s="87" t="str">
        <f>IFERROR(VLOOKUP($B97,'LOD 300 - ADMN'!$B:CD,81,FALSE),"N/A")</f>
        <v>N/A</v>
      </c>
      <c r="AS97" s="87" t="str">
        <f>IFERROR(VLOOKUP($B97,'LOD 300 - ADMN'!$B:CG,84,FALSE),"N/A")</f>
        <v>N/A</v>
      </c>
      <c r="AT97" s="87" t="str">
        <f>IFERROR(VLOOKUP($B97,'LOD 300 - ADMN'!$B:CJ,87,FALSE),"N/A")</f>
        <v>N/A</v>
      </c>
      <c r="AU97" s="88" t="str">
        <f>IFERROR(VLOOKUP($B97,'LOD 300 - ADMN'!$B:CM,90,FALSE),"N/A")</f>
        <v>N/A</v>
      </c>
      <c r="AV97" s="88" t="str">
        <f>IFERROR(VLOOKUP($B97,'LOD 300 - ADMN'!$B:CP,93,FALSE),"N/A")</f>
        <v>N/A</v>
      </c>
      <c r="AW97" s="88" t="str">
        <f>IFERROR(VLOOKUP($B97,'LOD 300 - ADMN'!$B:CS,96,FALSE),"N/A")</f>
        <v>N/A</v>
      </c>
      <c r="AX97" s="88" t="str">
        <f>IFERROR(VLOOKUP($B97,'LOD 300 - ADMN'!$B:CV,99,FALSE),"N/A")</f>
        <v>N/A</v>
      </c>
      <c r="AY97" s="88" t="str">
        <f>IFERROR(VLOOKUP($B97,'LOD 300 - ADMN'!$B:CY,102,FALSE),"N/A")</f>
        <v>N/A</v>
      </c>
      <c r="AZ97" s="88" t="str">
        <f>IFERROR(VLOOKUP($B97,'LOD 300 - ADMN'!$B:DB,105,FALSE),"N/A")</f>
        <v>N/A</v>
      </c>
      <c r="BA97" s="87" t="str">
        <f>IFERROR(VLOOKUP($B97,'LOD 300 - ADMN'!$B:DE,108,FALSE),"N/A")</f>
        <v>N/A</v>
      </c>
      <c r="BB97" s="87" t="str">
        <f>IFERROR(VLOOKUP($B97,'LOD 300 - ADMN'!$B:DH,111,FALSE),"N/A")</f>
        <v>N/A</v>
      </c>
      <c r="BC97" s="87" t="str">
        <f>IFERROR(VLOOKUP($B97,'LOD 300 - ADMN'!$B:DK,114,FALSE),"N/A")</f>
        <v>N/A</v>
      </c>
      <c r="BD97" s="87" t="str">
        <f>IFERROR(VLOOKUP($B97,'LOD 300 - ADMN'!$B:DN,117,FALSE),"N/A")</f>
        <v>N/A</v>
      </c>
      <c r="BE97" s="87" t="str">
        <f>IFERROR(VLOOKUP($B97,'LOD 300 - ADMN'!$B:DQ,120,FALSE),"N/A")</f>
        <v>N/A</v>
      </c>
      <c r="BF97" s="87" t="str">
        <f>IFERROR(VLOOKUP($B97,'LOD 300 - ADMN'!$B:DT,123,FALSE),"N/A")</f>
        <v>N/A</v>
      </c>
      <c r="BG97" s="87" t="str">
        <f>IFERROR(VLOOKUP($B97,'LOD 300 - ADMN'!$B:DW,126,FALSE),"N/A")</f>
        <v>N/A</v>
      </c>
      <c r="BH97" s="87" t="str">
        <f>IFERROR(VLOOKUP($B97,'LOD 300 - ADMN'!$B:DZ,129,FALSE),"N/A")</f>
        <v>N/A</v>
      </c>
      <c r="BI97" s="87" t="str">
        <f>IFERROR(VLOOKUP($B97,'LOD 300 - ADMN'!$B:EC,132,FALSE),"N/A")</f>
        <v>N/A</v>
      </c>
      <c r="BJ97" s="90" t="str">
        <f>IFERROR(__xludf.DUMMYFUNCTION("IFERROR(
  MAX(FILTER(X97:BI97, ISNUMBER(X97:BI97))),
  BI97
)"),"N/A")</f>
        <v>N/A</v>
      </c>
      <c r="BK97" s="91" t="str">
        <f>IFERROR(VLOOKUP($B97,'LOD 300 - COLO1'!$B:S,18,FALSE),"N/A")</f>
        <v>N/A</v>
      </c>
      <c r="BL97" s="92" t="str">
        <f>IFERROR(VLOOKUP($B97,'LOD 300 - COLO1'!$B:V,21,FALSE),"N/A")</f>
        <v>N/A</v>
      </c>
      <c r="BM97" s="92" t="str">
        <f>IFERROR(VLOOKUP($B97,'LOD 300 - COLO1'!$B:Y,24,FALSE),"N/A")</f>
        <v>N/A</v>
      </c>
      <c r="BN97" s="92" t="str">
        <f>IFERROR(VLOOKUP($B97,'LOD 300 - COLO1'!$B:AB,27,FALSE),"N/A")</f>
        <v>N/A</v>
      </c>
      <c r="BO97" s="92" t="str">
        <f>IFERROR(VLOOKUP($B97,'LOD 300 - COLO1'!$B:AE,30,FALSE),"N/A")</f>
        <v>N/A</v>
      </c>
      <c r="BP97" s="92" t="str">
        <f>IFERROR(VLOOKUP($B97,'LOD 300 - COLO1'!$B:AH,33,FALSE),"N/A")</f>
        <v>N/A</v>
      </c>
      <c r="BQ97" s="92" t="str">
        <f>IFERROR(VLOOKUP($B97,'LOD 300 - COLO1'!$B:AK,36,FALSE),"N/A")</f>
        <v>N/A</v>
      </c>
      <c r="BR97" s="92" t="str">
        <f>IFERROR(VLOOKUP($B97,'LOD 300 - COLO1'!$B:AN,39,FALSE),"N/A")</f>
        <v>N/A</v>
      </c>
      <c r="BS97" s="92" t="str">
        <f>IFERROR(VLOOKUP($B97,'LOD 300 - COLO1'!$B:AQ,42,FALSE),"N/A")</f>
        <v>N/A</v>
      </c>
      <c r="BT97" s="92" t="str">
        <f>IFERROR(VLOOKUP($B97,'LOD 300 - COLO1'!$B:AT,45,FALSE),"N/A")</f>
        <v>N/A</v>
      </c>
      <c r="BU97" s="92" t="str">
        <f>IFERROR(VLOOKUP($B97,'LOD 300 - COLO1'!$B:AW,48,FALSE),"N/A")</f>
        <v>N/A</v>
      </c>
      <c r="BV97" s="92" t="str">
        <f>IFERROR(VLOOKUP($B97,'LOD 300 - COLO1'!$B:AZ,51,FALSE),"N/A")</f>
        <v>N/A</v>
      </c>
      <c r="BW97" s="92" t="str">
        <f>IFERROR(VLOOKUP($B97,'LOD 300 - COLO1'!$B:BC,54,FALSE),"N/A")</f>
        <v>N/A</v>
      </c>
      <c r="BX97" s="94" t="str">
        <f>IFERROR(VLOOKUP($B97,'LOD 300 - COLO1'!$B:BF,57,FALSE),"N/A")</f>
        <v>N/A</v>
      </c>
      <c r="BY97" s="94" t="str">
        <f>IFERROR(VLOOKUP($B97,'LOD 300 - COLO1'!$B:BI,60,FALSE),"N/A")</f>
        <v>N/A</v>
      </c>
      <c r="BZ97" s="95" t="str">
        <f>IFERROR(VLOOKUP($B97,'LOD 300 - COLO1'!$B:BL,63,FALSE),"N/A")</f>
        <v>N/A</v>
      </c>
      <c r="CA97" s="86" t="str">
        <f>IFERROR(VLOOKUP($B97,'LOD 300 - COLO1'!$B:BO,66,FALSE),"N/A")</f>
        <v>N/A</v>
      </c>
      <c r="CB97" s="86" t="str">
        <f>IFERROR(VLOOKUP($B97,'LOD 300 - COLO1'!$B:BR,69,FALSE),"N/A")</f>
        <v>N/A</v>
      </c>
      <c r="CC97" s="86" t="str">
        <f>IFERROR(VLOOKUP($B97,'LOD 300 - COLO1'!$B:BU,72,FALSE),"N/A")</f>
        <v>N/A</v>
      </c>
      <c r="CD97" s="86" t="str">
        <f>IFERROR(VLOOKUP($B97,'LOD 300 - COLO1'!$B:BX,75,FALSE),"N/A")</f>
        <v>N/A</v>
      </c>
      <c r="CE97" s="86" t="str">
        <f>IFERROR(VLOOKUP($B97,'LOD 300 - COLO1'!$B:CA,78,FALSE),"N/A")</f>
        <v>N/A</v>
      </c>
      <c r="CF97" s="87" t="str">
        <f>IFERROR(VLOOKUP($B97,'LOD 300 - COLO1'!$B:CD,81,FALSE),"N/A")</f>
        <v>N/A</v>
      </c>
      <c r="CG97" s="86" t="str">
        <f>IFERROR(VLOOKUP($B97,'LOD 300 - COLO1'!$B:CG,84,FALSE),"N/A")</f>
        <v>N/A</v>
      </c>
      <c r="CH97" s="87" t="str">
        <f>IFERROR(VLOOKUP($B97,'LOD 300 - COLO1'!$B:CJ,87,FALSE),"N/A")</f>
        <v>N/A</v>
      </c>
      <c r="CI97" s="88" t="str">
        <f>IFERROR(VLOOKUP($B97,'LOD 300 - COLO1'!$B:CM,90,FALSE),"N/A")</f>
        <v>N/A</v>
      </c>
      <c r="CJ97" s="88" t="str">
        <f>IFERROR(VLOOKUP($B97,'LOD 300 - COLO1'!$B:CP,93,FALSE),"N/A")</f>
        <v>N/A</v>
      </c>
      <c r="CK97" s="88" t="str">
        <f>IFERROR(VLOOKUP($B97,'LOD 300 - COLO1'!$B:CS,96,FALSE),"N/A")</f>
        <v>N/A</v>
      </c>
      <c r="CL97" s="88" t="str">
        <f>IFERROR(VLOOKUP($B97,'LOD 300 - COLO1'!$B:CV,99,FALSE),"N/A")</f>
        <v>N/A</v>
      </c>
      <c r="CM97" s="88" t="str">
        <f>IFERROR(VLOOKUP($B97,'LOD 300 - COLO1'!$B:CY,102,FALSE),"N/A")</f>
        <v>N/A</v>
      </c>
      <c r="CN97" s="89" t="str">
        <f>IFERROR(VLOOKUP($B97,'LOD 300 - COLO1'!$B:DB,105,FALSE),"N/A")</f>
        <v>N/A</v>
      </c>
      <c r="CO97" s="87" t="str">
        <f>IFERROR(VLOOKUP($B97,'LOD 300 - COLO1'!$B:EE,108,FALSE),"N/A")</f>
        <v>N/A</v>
      </c>
      <c r="CP97" s="87" t="str">
        <f>IFERROR(VLOOKUP($B97,'LOD 300 - COLO1'!$B:EH,111,FALSE),"N/A")</f>
        <v>N/A</v>
      </c>
      <c r="CQ97" s="87" t="str">
        <f>IFERROR(VLOOKUP($B97,'LOD 300 - COLO1'!$B:EK,114,FALSE),"N/A")</f>
        <v>N/A</v>
      </c>
      <c r="CR97" s="87" t="str">
        <f>IFERROR(VLOOKUP($B97,'LOD 300 - COLO1'!$B:EN,117,FALSE),"N/A")</f>
        <v>N/A</v>
      </c>
      <c r="CS97" s="87" t="str">
        <f>IFERROR(VLOOKUP($B97,'LOD 300 - COLO1'!$B:EQ,120,FALSE),"N/A")</f>
        <v>N/A</v>
      </c>
      <c r="CT97" s="87" t="str">
        <f>IFERROR(VLOOKUP($B97,'LOD 300 - COLO1'!$B:ET,123,FALSE),"N/A")</f>
        <v>N/A</v>
      </c>
      <c r="CU97" s="87" t="str">
        <f>IFERROR(VLOOKUP($B97,'LOD 300 - COLO1'!$B:EW,126,FALSE),"N/A")</f>
        <v>N/A</v>
      </c>
      <c r="CV97" s="87" t="str">
        <f>IFERROR(VLOOKUP($B97,'LOD 300 - COLO1'!$B:EZ,129,FALSE),"N/A")</f>
        <v>N/A</v>
      </c>
      <c r="CW97" s="87" t="str">
        <f>IFERROR(VLOOKUP($B97,'LOD 300 - COLO1'!$B:FC,132,FALSE),"N/A")</f>
        <v>N/A</v>
      </c>
      <c r="CX97" s="96" t="str">
        <f>IFERROR(__xludf.DUMMYFUNCTION("IFERROR(
  MAX(FILTER(BK97:CW97, ISNUMBER(BK97:CW97))),
  CW97
)"),"N/A")</f>
        <v>N/A</v>
      </c>
      <c r="CY97" s="104" t="str">
        <f>IFERROR(VLOOKUP($B97,'LOD 300 - COLO2'!$B:S,18,FALSE),"N/A")</f>
        <v>N/A</v>
      </c>
      <c r="CZ97" s="117" t="str">
        <f>IFERROR(VLOOKUP($B97,'LOD 300 - COLO2'!$B:V,21,FALSE),"N/A")</f>
        <v>N/A</v>
      </c>
      <c r="DA97" s="117" t="str">
        <f>IFERROR(VLOOKUP($B97,'LOD 300 - COLO2'!$B:Y,24,FALSE),"N/A")</f>
        <v>N/A</v>
      </c>
      <c r="DB97" s="117" t="str">
        <f>IFERROR(VLOOKUP($B97,'LOD 300 - COLO2'!$B:AB,27,FALSE),"N/A")</f>
        <v>N/A</v>
      </c>
      <c r="DC97" s="92" t="str">
        <f>IFERROR(VLOOKUP($B97,'LOD 300 - COLO2'!$B:AE,30,FALSE),"N/A")</f>
        <v>N/A</v>
      </c>
      <c r="DD97" s="120" t="str">
        <f>IFERROR(VLOOKUP($B97,'LOD 300 - COLO2'!$B:AH,33,FALSE),"N/A")</f>
        <v>N/A</v>
      </c>
      <c r="DE97" s="117" t="str">
        <f>IFERROR(VLOOKUP($B97,'LOD 300 - COLO2'!$B:AK,36,FALSE),"N/A")</f>
        <v>N/A</v>
      </c>
      <c r="DF97" s="117" t="str">
        <f>IFERROR(VLOOKUP($B97,'LOD 300 - COLO2'!$B:AN,39,FALSE),"N/A")</f>
        <v>N/A</v>
      </c>
      <c r="DG97" s="119" t="str">
        <f>IFERROR(VLOOKUP($B97,'LOD 300 - COLO2'!$B:AQ,42,FALSE),"N/A")</f>
        <v>N/A</v>
      </c>
      <c r="DH97" s="87" t="str">
        <f>IFERROR(VLOOKUP($B97,'LOD 300 - COLO2'!$B:AT,45,FALSE),"N/A")</f>
        <v>N/A</v>
      </c>
      <c r="DI97" s="94" t="str">
        <f>IFERROR(VLOOKUP($B97,'LOD 300 - COLO2'!$B:AW,48,FALSE),"N/A")</f>
        <v>N/A</v>
      </c>
      <c r="DJ97" s="95" t="str">
        <f>IFERROR(VLOOKUP($B97,'LOD 300 - COLO2'!$B:AZ,51,FALSE),"N/A")</f>
        <v>N/A</v>
      </c>
      <c r="DK97" s="86" t="str">
        <f>IFERROR(VLOOKUP($B97,'LOD 300 - COLO2'!$B:BC,54,FALSE),"N/A")</f>
        <v>N/A</v>
      </c>
      <c r="DL97" s="86" t="str">
        <f>IFERROR(VLOOKUP($B97,'LOD 300 - COLO2'!$B:BF,57,FALSE),"N/A")</f>
        <v>N/A</v>
      </c>
      <c r="DM97" s="86" t="str">
        <f>IFERROR(VLOOKUP($B97,'LOD 300 - COLO2'!$B:BI,60,FALSE),"N/A")</f>
        <v>N/A</v>
      </c>
      <c r="DN97" s="86" t="str">
        <f>IFERROR(VLOOKUP($B97,'LOD 300 - COLO2'!$B:BL,63,FALSE),"N/A")</f>
        <v>N/A</v>
      </c>
      <c r="DO97" s="86" t="str">
        <f>IFERROR(VLOOKUP($B97,'LOD 300 - COLO2'!$B:BO,66,FALSE),"N/A")</f>
        <v>N/A</v>
      </c>
      <c r="DP97" s="87" t="str">
        <f>IFERROR(VLOOKUP($B97,'LOD 300 - COLO2'!$B:BR,69,FALSE),"N/A")</f>
        <v>N/A</v>
      </c>
      <c r="DQ97" s="87" t="str">
        <f>IFERROR(VLOOKUP($B97,'LOD 300 - COLO2'!$B:BU,72,FALSE),"N/A")</f>
        <v>N/A</v>
      </c>
      <c r="DR97" s="87" t="str">
        <f>IFERROR(VLOOKUP($B97,'LOD 300 - COLO2'!$B:BX,75,FALSE),"N/A")</f>
        <v>N/A</v>
      </c>
      <c r="DS97" s="98" t="str">
        <f>IFERROR(VLOOKUP($B97,'LOD 300 - COLO2'!$B:CA,78,FALSE),"N/A")</f>
        <v>N/A</v>
      </c>
      <c r="DT97" s="98" t="str">
        <f>IFERROR(VLOOKUP($B97,'LOD 300 - COLO2'!$B:CD,81,FALSE),"N/A")</f>
        <v>N/A</v>
      </c>
      <c r="DU97" s="98" t="str">
        <f>IFERROR(VLOOKUP($B97,'LOD 300 - COLO2'!$B:CG,84,FALSE),"N/A")</f>
        <v>N/A</v>
      </c>
      <c r="DV97" s="98" t="str">
        <f>IFERROR(VLOOKUP($B97,'LOD 300 - COLO2'!$B:CJ,87,FALSE),"N/A")</f>
        <v>N/A</v>
      </c>
      <c r="DW97" s="98" t="str">
        <f>IFERROR(VLOOKUP($B97,'LOD 300 - COLO2'!$B:CM,90,FALSE),"N/A")</f>
        <v>N/A</v>
      </c>
      <c r="DX97" s="98" t="str">
        <f>IFERROR(VLOOKUP($B97,'LOD 300 - COLO2'!$B:CP,93,FALSE),"N/A")</f>
        <v>N/A</v>
      </c>
      <c r="DY97" s="87" t="str">
        <f>IFERROR(VLOOKUP($B97,'LOD 300 - COLO2'!$B:CS,96,FALSE),"N/A")</f>
        <v>N/A</v>
      </c>
      <c r="DZ97" s="87" t="str">
        <f>IFERROR(VLOOKUP($B97,'LOD 300 - COLO2'!$B:CV,99,FALSE),"N/A")</f>
        <v>N/A</v>
      </c>
      <c r="EA97" s="87" t="str">
        <f>IFERROR(VLOOKUP($B97,'LOD 300 - COLO2'!$B:DB,105,FALSE),"N/A")</f>
        <v>N/A</v>
      </c>
      <c r="EB97" s="87" t="str">
        <f>IFERROR(VLOOKUP($B97,'LOD 300 - COLO2'!$B:DB,105,FALSE),"N/A")</f>
        <v>N/A</v>
      </c>
      <c r="EC97" s="87" t="str">
        <f>IFERROR(VLOOKUP($B97,'LOD 300 - COLO2'!$B:DE,108,FALSE),"N/A")</f>
        <v>N/A</v>
      </c>
      <c r="ED97" s="87" t="str">
        <f>IFERROR(VLOOKUP($B97,'LOD 300 - COLO2'!$B:DH,111,FALSE),"N/A")</f>
        <v>N/A</v>
      </c>
      <c r="EE97" s="87" t="str">
        <f>IFERROR(VLOOKUP($B97,'LOD 300 - COLO2'!$B:DK,114,FALSE),"N/A")</f>
        <v>N/A</v>
      </c>
      <c r="EF97" s="87" t="str">
        <f>IFERROR(VLOOKUP($B97,'LOD 300 - COLO2'!$B:DN,117,FALSE),"N/A")</f>
        <v>N/A</v>
      </c>
      <c r="EG97" s="87" t="str">
        <f>IFERROR(VLOOKUP($B97,'LOD 300 - COLO2'!$B:DQ,120,FALSE),"N/A")</f>
        <v>N/A</v>
      </c>
      <c r="EH97" s="99" t="str">
        <f>IFERROR(__xludf.DUMMYFUNCTION("IFERROR(
  MAX(FILTER(CZ97:EG97, ISNUMBER(CZ97:EG97))),
  EG97
)"),"N/A")</f>
        <v>N/A</v>
      </c>
      <c r="EI97" s="100" t="str">
        <f>IFERROR(VLOOKUP($B97,'LOD 300 - COLO3'!$B:R,17,FALSE),"N/A")</f>
        <v>N/A</v>
      </c>
      <c r="EJ97" s="127" t="str">
        <f>IFERROR(VLOOKUP($B97,'LOD 300 - COLO3'!$B:U,20,FALSE),"N/A")</f>
        <v>N/A</v>
      </c>
      <c r="EK97" s="127" t="str">
        <f>IFERROR(VLOOKUP($B97,'LOD 300 - COLO3'!$B:X,23,FALSE),"N/A")</f>
        <v>N/A</v>
      </c>
      <c r="EL97" s="127" t="str">
        <f>IFERROR(VLOOKUP($B97,'LOD 300 - COLO3'!$B:AA,26,FALSE),"N/A")</f>
        <v>N/A</v>
      </c>
      <c r="EM97" s="127" t="str">
        <f>IFERROR(VLOOKUP($B97,'LOD 300 - COLO3'!$B:AD,29,FALSE),"N/A")</f>
        <v>N/A</v>
      </c>
      <c r="EN97" s="127" t="str">
        <f>IFERROR(VLOOKUP($B97,'LOD 300 - COLO3'!$B:AG,32,FALSE),"N/A")</f>
        <v>N/A</v>
      </c>
      <c r="EO97" s="127" t="str">
        <f>IFERROR(VLOOKUP($B97,'LOD 300 - COLO3'!$B:AJ,35,FALSE),"N/A")</f>
        <v>N/A</v>
      </c>
      <c r="EP97" s="100" t="str">
        <f>IFERROR(VLOOKUP($B97,'LOD 300 - COLO3'!$B:AM,38,FALSE),"N/A")</f>
        <v>N/A</v>
      </c>
      <c r="EQ97" s="100" t="str">
        <f>IFERROR(VLOOKUP($B97,'LOD 300 - COLO3'!$B:AP,41,FALSE),"N/A")</f>
        <v>N/A</v>
      </c>
      <c r="ER97" s="100" t="str">
        <f>IFERROR(VLOOKUP($B97,'LOD 300 - COLO3'!$B:AS,44,FALSE),"N/A")</f>
        <v>N/A</v>
      </c>
      <c r="ES97" s="100" t="str">
        <f>IFERROR(VLOOKUP($B97,'LOD 300 - COLO3'!$B:AV,47,FALSE),"N/A")</f>
        <v>N/A</v>
      </c>
      <c r="ET97" s="100" t="str">
        <f>IFERROR(VLOOKUP($B97,'LOD 300 - COLO3'!$B:AY,50,FALSE),"N/A")</f>
        <v>N/A</v>
      </c>
      <c r="EU97" s="100" t="str">
        <f>IFERROR(VLOOKUP($B97,'LOD 300 - COLO3'!$B:BB,53,FALSE),"N/A")</f>
        <v>N/A</v>
      </c>
      <c r="EV97" s="100" t="str">
        <f>IFERROR(VLOOKUP($B97,'LOD 300 - COLO3'!$B:BE,56,FALSE),"N/A")</f>
        <v>N/A</v>
      </c>
      <c r="EW97" s="100" t="str">
        <f>IFERROR(VLOOKUP($B97,'LOD 300 - COLO3'!$B:BL,59,FALSE),"N/A")</f>
        <v>N/A</v>
      </c>
      <c r="EX97" s="100" t="str">
        <f>IFERROR(VLOOKUP($B97,'LOD 300 - COLO3'!$B:BO,62,FALSE),"N/A")</f>
        <v>N/A</v>
      </c>
      <c r="EY97" s="103" t="str">
        <f>IFERROR(__xludf.DUMMYFUNCTION("IFERROR(
  MAX(FILTER(EI97:EX97, ISNUMBER(EI97:EX97))),
  EX97
)"),"N/A")</f>
        <v>N/A</v>
      </c>
      <c r="EZ97" s="104" t="str">
        <f>IFERROR(VLOOKUP($B97,'LOD 300 - COLO4'!$B:BT,17,FALSE),"N/A")</f>
        <v>N/A</v>
      </c>
      <c r="FA97" s="103" t="str">
        <f>IFERROR(__xludf.DUMMYFUNCTION("IFERROR(
  MAX(FILTER(EZ97, ISNUMBER(EZ97))),
  EZ97
)"),"N/A")</f>
        <v>N/A</v>
      </c>
      <c r="FB97" s="121" t="str">
        <f>IFERROR(VLOOKUP($B97,'LOD 300 - SITE'!$B:S,18,FALSE),"N/A")</f>
        <v>NOT PUBLISHED</v>
      </c>
      <c r="FC97" s="122" t="str">
        <f>IFERROR(VLOOKUP($B97,'LOD 300 - SITE'!$B:V,21,FALSE),"N/A")</f>
        <v>NOT PUBLISHED</v>
      </c>
      <c r="FD97" s="122" t="str">
        <f>IFERROR(VLOOKUP($B97,'LOD 300 - SITE'!$B:Y,24,FALSE),"N/A")</f>
        <v>NOT PUBLISHED</v>
      </c>
      <c r="FE97" s="122" t="str">
        <f>IFERROR(VLOOKUP($B97,'LOD 300 - SITE'!$B:AB,27,FALSE),"N/A")</f>
        <v>NOT PUBLISHED</v>
      </c>
      <c r="FF97" s="122" t="str">
        <f>IFERROR(VLOOKUP($B97,'LOD 300 - SITE'!$B:AE,30,FALSE),"N/A")</f>
        <v>NOT PUBLISHED</v>
      </c>
      <c r="FG97" s="122" t="str">
        <f>IFERROR(VLOOKUP($B97,'LOD 300 - SITE'!$B:AH,33,FALSE),"N/A")</f>
        <v>NOT PUBLISHED</v>
      </c>
      <c r="FH97" s="122" t="str">
        <f>IFERROR(VLOOKUP($B97,'LOD 300 - SITE'!$B:AK,36,FALSE),"N/A")</f>
        <v>NOT PUBLISHED</v>
      </c>
      <c r="FI97" s="122" t="str">
        <f>IFERROR(VLOOKUP($B97,'LOD 300 - SITE'!$B:AN,39,FALSE),"N/A")</f>
        <v>NOT PUBLISHED</v>
      </c>
      <c r="FJ97" s="122" t="str">
        <f>IFERROR(VLOOKUP($B97,'LOD 300 - SITE'!$B:AQ,42,FALSE),"N/A")</f>
        <v>NOT PUBLISHED</v>
      </c>
      <c r="FK97" s="122" t="str">
        <f>IFERROR(VLOOKUP($B97,'LOD 300 - SITE'!$B:AT,45,FALSE),"N/A")</f>
        <v>NOT PUBLISHED</v>
      </c>
      <c r="FL97" s="123" t="str">
        <f>IFERROR(VLOOKUP($B97,'LOD 300 - SITE'!$B:AW,48,FALSE),"N/A")</f>
        <v>NOT PUBLISHED</v>
      </c>
      <c r="FM97" s="87" t="str">
        <f>IFERROR(VLOOKUP($B97,'LOD 300 - SITE'!$B:AZ,51,FALSE),"N/A")</f>
        <v>NOT PUBLISHED</v>
      </c>
      <c r="FN97" s="94" t="str">
        <f>IFERROR(VLOOKUP($B97,'LOD 300 - SITE'!$B:BC,54,FALSE),"N/A")</f>
        <v>NOT PUBLISHED</v>
      </c>
      <c r="FO97" s="95" t="str">
        <f>IFERROR(VLOOKUP($B97,'LOD 300 - SITE'!$B:BF,57,FALSE),"N/A")</f>
        <v>NOT PUBLISHED</v>
      </c>
      <c r="FP97" s="86" t="str">
        <f>IFERROR(VLOOKUP($B97,'LOD 300 - SITE'!$B:BI,60,FALSE),"N/A")</f>
        <v>NOT PUBLISHED</v>
      </c>
      <c r="FQ97" s="86" t="str">
        <f>IFERROR(VLOOKUP($B97,'LOD 300 - SITE'!$B:BL,63,FALSE),"N/A")</f>
        <v>NOT PUBLISHED</v>
      </c>
      <c r="FR97" s="86" t="str">
        <f>IFERROR(VLOOKUP($B97,'LOD 300 - SITE'!$B:BO,66,FALSE),"N/A")</f>
        <v>NOT PUBLISHED</v>
      </c>
      <c r="FS97" s="86" t="str">
        <f>IFERROR(VLOOKUP($B97,'LOD 300 - SITE'!$B:BR,69,FALSE),"N/A")</f>
        <v>NOT PUBLISHED</v>
      </c>
      <c r="FT97" s="86" t="str">
        <f>IFERROR(VLOOKUP($B97,'LOD 300 - SITE'!$B:BU,72,FALSE),"N/A")</f>
        <v>NOT PUBLISHED</v>
      </c>
      <c r="FU97" s="86" t="str">
        <f>IFERROR(VLOOKUP($B97,'LOD 300 - SITE'!$B:BX,75,FALSE),"N/A")</f>
        <v>NOT PUBLISHED</v>
      </c>
      <c r="FV97" s="86" t="str">
        <f>IFERROR(VLOOKUP($B97,'LOD 300 - SITE'!$B:CA,78,FALSE),"N/A")</f>
        <v>NOT PUBLISHED</v>
      </c>
      <c r="FW97" s="87" t="str">
        <f>IFERROR(VLOOKUP($B97,'LOD 300 - SITE'!$B:CD,81,FALSE),"N/A")</f>
        <v>NOT PUBLISHED</v>
      </c>
      <c r="FX97" s="108" t="str">
        <f>IFERROR(VLOOKUP($B97,'LOD 300 - SITE'!$B:CG,84,FALSE),"N/A")</f>
        <v>NOT PUBLISHED</v>
      </c>
      <c r="FY97" s="108" t="str">
        <f>IFERROR(VLOOKUP($B97,'LOD 300 - SITE'!$B:CJ,87,FALSE),"N/A")</f>
        <v>NOT PUBLISHED</v>
      </c>
      <c r="FZ97" s="108" t="str">
        <f>IFERROR(VLOOKUP($B97,'LOD 300 - SITE'!$B:CM,90,FALSE),"N/A")</f>
        <v>NOT PUBLISHED</v>
      </c>
      <c r="GA97" s="108" t="str">
        <f>IFERROR(VLOOKUP($B97,'LOD 300 - SITE'!$B:CP,93,FALSE),"N/A")</f>
        <v>NOT PUBLISHED</v>
      </c>
      <c r="GB97" s="108" t="str">
        <f>IFERROR(VLOOKUP($B97,'LOD 300 - SITE'!$B:CS,96,FALSE),"N/A")</f>
        <v>NOT PUBLISHED</v>
      </c>
      <c r="GC97" s="109" t="str">
        <f>IFERROR(VLOOKUP($B97,'LOD 300 - SITE'!$B:CV,99,FALSE),"N/A")</f>
        <v>N/A</v>
      </c>
      <c r="GD97" s="87" t="str">
        <f>IFERROR(VLOOKUP($B97,'LOD 300 - SITE'!$B:CY,102,FALSE),"N/A")</f>
        <v>N/A</v>
      </c>
      <c r="GE97" s="87" t="str">
        <f>IFERROR(VLOOKUP($B97,'LOD 300 - SITE'!$B:DB,105,FALSE),"N/A")</f>
        <v>N/A</v>
      </c>
      <c r="GF97" s="87">
        <f>IFERROR(VLOOKUP($B97,'LOD 300 - SITE'!$B:DE,108,FALSE),"N/A")</f>
        <v>0</v>
      </c>
      <c r="GG97" s="87" t="str">
        <f>IFERROR(VLOOKUP($B97,'LOD 300 - SITE'!$B:DH,111,FALSE),"N/A")</f>
        <v>NEXT ROUND</v>
      </c>
      <c r="GH97" s="87" t="str">
        <f>IFERROR(VLOOKUP($B97,'LOD 300 - SITE'!$B:DK,114,FALSE),"N/A")</f>
        <v>NEXT ROUND</v>
      </c>
      <c r="GI97" s="87">
        <f>IFERROR(VLOOKUP($B97,'LOD 300 - SITE'!$B:DN,117,FALSE),"N/A")</f>
        <v>0.8</v>
      </c>
      <c r="GJ97" s="87" t="str">
        <f>IFERROR(VLOOKUP($B97,'LOD 300 - SITE'!$B:DQ,120,FALSE),"N/A")</f>
        <v>OUTDATED MODEL</v>
      </c>
      <c r="GK97" s="87" t="str">
        <f>IFERROR(VLOOKUP($B97,'LOD 300 - SITE'!$B:DT,123,FALSE),"N/A")</f>
        <v>OUTDATED MODEL</v>
      </c>
      <c r="GL97" s="87" t="str">
        <f>IFERROR(VLOOKUP($B97,'LOD 300 - SITE'!$B:DW,126,FALSE),"N/A")</f>
        <v>OUTDATED MODEL</v>
      </c>
      <c r="GM97" s="110">
        <f>IFERROR(__xludf.DUMMYFUNCTION("IFERROR(
  MAX(FILTER(FB97:GL97, ISNUMBER(FB97:GL97))),
  GL97
)"),0.8)</f>
        <v>0.8</v>
      </c>
      <c r="GN97" s="68"/>
      <c r="GO97" s="68"/>
      <c r="GP97" s="68"/>
    </row>
    <row r="98" ht="15.0" customHeight="1" outlineLevel="1">
      <c r="A98" s="60">
        <v>101.0</v>
      </c>
      <c r="B98" s="140" t="s">
        <v>301</v>
      </c>
      <c r="C98" s="70" t="s">
        <v>302</v>
      </c>
      <c r="D98" s="71" t="s">
        <v>90</v>
      </c>
      <c r="E98" s="146" t="s">
        <v>303</v>
      </c>
      <c r="F98" s="13">
        <v>1122.0</v>
      </c>
      <c r="G98" s="147" t="s">
        <v>288</v>
      </c>
      <c r="H98" s="150">
        <v>0.0</v>
      </c>
      <c r="I98" s="74" t="str">
        <f>IFERROR(VLOOKUP(C95:C237,'R22 RELATÓRIO ACC'!B:F,5,FALSE),"NOT PUBLISHED")</f>
        <v>NOT PUBLISHED</v>
      </c>
      <c r="J98" s="74" t="str">
        <f>IFERROR(VLOOKUP(C95:C237,'R22 RELATÓRIO ACC'!B:P,15,FALSE),"NOT PUBLISHED")</f>
        <v>NOT PUBLISHED</v>
      </c>
      <c r="K98" s="141" t="str">
        <f>IFERROR(VLOOKUP(B95:B285,'RELATÓRIO ACC'!B:F,5,FALSE),"NOT PUBLISHED")</f>
        <v>NOT PUBLISHED</v>
      </c>
      <c r="L98" s="142" t="str">
        <f>IFERROR(VLOOKUP(B95:B285,'RELATÓRIO ACC'!B:P,15,FALSE),"NOT PUBLISHED")</f>
        <v>NOT PUBLISHED</v>
      </c>
      <c r="M98" s="76" t="str">
        <f>IF(OR($D98="UTLS",$D98="GUAR",$D98="STIR",$D98="PUMP",$D98="SITE"),
   VLOOKUP($B98,'LOD 300 - SITE'!B:M,12,FALSE),
   VLOOKUP($B98,'LOD 300 - ADMN'!B:M,12,FALSE)
)</f>
        <v>NOT PUBLISHED</v>
      </c>
      <c r="N98" s="76" t="str">
        <f>IF(OR($D98="UTLS",$D98="GUAR",$D98="STIR",$D98="PUMP",$D98="SITE"),
   VLOOKUP($B98,'LOD 300 - SITE'!B:N,13,FALSE),
   VLOOKUP($B98,'LOD 300 - ADMN'!B:N,13,FALSE)
)</f>
        <v>NOT PUBLISHED</v>
      </c>
      <c r="O98" s="78" t="str">
        <f>IF(OR($D98="UTLS",$D98="GUAR",$D98="STIR",$D98="PUMP",$D98="SITE"),
   VLOOKUP($B98,'LOD 300 - SITE'!B:O,14,FALSE),
   VLOOKUP($B98,'LOD 300 - ADMN'!B:O,14,FALSE)
)</f>
        <v/>
      </c>
      <c r="P98" s="79" t="str">
        <f>IF(OR($D98="C345",$D98="C12A",$D98="DATA"),
   VLOOKUP($B98,'LOD 300 - COLO3'!B:M,12,FALSE),"N/A")</f>
        <v>N/A</v>
      </c>
      <c r="Q98" s="76" t="str">
        <f>IF(OR($D98="C345",$D98="C12A",$D98="DATA"),
   VLOOKUP($B98,'LOD 300 - COLO3'!B:N,13,FALSE),"N/A")</f>
        <v>N/A</v>
      </c>
      <c r="R98" s="76" t="str">
        <f>IF(OR($D98="C345",$D98="C12A",$D98="DATA"),
   VLOOKUP($B98,'LOD 300 - COLO3'!B:O,14,FALSE),"N/A")</f>
        <v>N/A</v>
      </c>
      <c r="S98" s="79" t="str">
        <f>IF(OR($D98="C345",$D98="C12A",$D98="DATA"),
   VLOOKUP($B98,'LOD 300 - COLO4'!B:M,12,FALSE),"N/A")</f>
        <v>N/A</v>
      </c>
      <c r="T98" s="76" t="str">
        <f>IF(OR($D98="C345",$D98="C12A",$D98="DATA"),
   VLOOKUP($B98,'LOD 300 - COLO4'!B:T,13,FALSE),"N/A")</f>
        <v>N/A</v>
      </c>
      <c r="U98" s="76" t="str">
        <f>IF(OR($D98="C345",$D98="C12A",$D98="DATA"),
   VLOOKUP($B98,'LOD 300 - COLO4'!B:U,17,FALSE),"N/A")</f>
        <v>N/A</v>
      </c>
      <c r="V98" s="126"/>
      <c r="W98" s="144" t="str">
        <f>IFERROR(VLOOKUP($B98,'LOD 300 - ADMN'!$B:S,18,FALSE),"N/A")</f>
        <v>N/A</v>
      </c>
      <c r="X98" s="122" t="str">
        <f>IFERROR(VLOOKUP($B98,'LOD 300 - ADMN'!$B:V,21,FALSE),"N/A")</f>
        <v>N/A</v>
      </c>
      <c r="Y98" s="122" t="str">
        <f>IFERROR(VLOOKUP($B98,'LOD 300 - ADMN'!$B:Y,24,FALSE),"N/A")</f>
        <v>N/A</v>
      </c>
      <c r="Z98" s="122" t="str">
        <f>IFERROR(VLOOKUP($B98,'LOD 300 - ADMN'!$B:AB,27,FALSE),"N/A")</f>
        <v>N/A</v>
      </c>
      <c r="AA98" s="122" t="str">
        <f>IFERROR(VLOOKUP($B98,'LOD 300 - ADMN'!$B:AE,30,FALSE),"N/A")</f>
        <v>N/A</v>
      </c>
      <c r="AB98" s="145" t="str">
        <f>IFERROR(VLOOKUP($B98,'LOD 300 - ADMN'!$B:AH,33,FALSE),"N/A")</f>
        <v>N/A</v>
      </c>
      <c r="AC98" s="145" t="str">
        <f>IFERROR(VLOOKUP($B98,'LOD 300 - ADMN'!$B:AK,36,FALSE),"N/A")</f>
        <v>N/A</v>
      </c>
      <c r="AD98" s="122" t="str">
        <f>IFERROR(VLOOKUP($B98,'LOD 300 - ADMN'!$B:AN,39,FALSE),"N/A")</f>
        <v>N/A</v>
      </c>
      <c r="AE98" s="122" t="str">
        <f>IFERROR(VLOOKUP($B98,'LOD 300 - ADMN'!$B:AQ,42,FALSE),"N/A")</f>
        <v>N/A</v>
      </c>
      <c r="AF98" s="122" t="str">
        <f>IFERROR(VLOOKUP($B98,'LOD 300 - ADMN'!$B:AT,45,FALSE),"N/A")</f>
        <v>N/A</v>
      </c>
      <c r="AG98" s="122" t="str">
        <f>IFERROR(VLOOKUP($B98,'LOD 300 - ADMN'!$B:AW,48,FALSE),"N/A")</f>
        <v>N/A</v>
      </c>
      <c r="AH98" s="122" t="str">
        <f>IFERROR(VLOOKUP($B98,'LOD 300 - ADMN'!$B:AZ,51,FALSE),"N/A")</f>
        <v>N/A</v>
      </c>
      <c r="AI98" s="122" t="str">
        <f>IFERROR(VLOOKUP($B98,'LOD 300 - ADMN'!$B:BC,54,FALSE),"N/A")</f>
        <v>N/A</v>
      </c>
      <c r="AJ98" s="87" t="str">
        <f>IFERROR(VLOOKUP($B98,'LOD 300 - ADMN'!$B:BF,57,FALSE),"N/A")</f>
        <v>N/A</v>
      </c>
      <c r="AK98" s="87" t="str">
        <f>IFERROR(VLOOKUP($B98,'LOD 300 - ADMN'!$B:EP,60,FALSE),"N/A")</f>
        <v>N/A</v>
      </c>
      <c r="AL98" s="87" t="str">
        <f>IFERROR(VLOOKUP($B98,'LOD 300 - ADMN'!$B:EQ,63,FALSE),"N/A")</f>
        <v>N/A</v>
      </c>
      <c r="AM98" s="87" t="str">
        <f>IFERROR(VLOOKUP($B98,'LOD 300 - ADMN'!$B:BO,66,FALSE),"N/A")</f>
        <v>N/A</v>
      </c>
      <c r="AN98" s="87" t="str">
        <f>IFERROR(VLOOKUP($B98,'LOD 300 - ADMN'!$B:BR,69,FALSE),"N/A")</f>
        <v>N/A</v>
      </c>
      <c r="AO98" s="87" t="str">
        <f>IFERROR(VLOOKUP($B98,'LOD 300 - ADMN'!$B:BU,72,FALSE),"N/A")</f>
        <v>N/A</v>
      </c>
      <c r="AP98" s="87" t="str">
        <f>IFERROR(VLOOKUP($B98,'LOD 300 - ADMN'!$B:BX,75,FALSE),"N/A")</f>
        <v>N/A</v>
      </c>
      <c r="AQ98" s="87" t="str">
        <f>IFERROR(VLOOKUP($B98,'LOD 300 - ADMN'!$B:CA,78,FALSE),"N/A")</f>
        <v>N/A</v>
      </c>
      <c r="AR98" s="87" t="str">
        <f>IFERROR(VLOOKUP($B98,'LOD 300 - ADMN'!$B:CD,81,FALSE),"N/A")</f>
        <v>N/A</v>
      </c>
      <c r="AS98" s="87" t="str">
        <f>IFERROR(VLOOKUP($B98,'LOD 300 - ADMN'!$B:CG,84,FALSE),"N/A")</f>
        <v>N/A</v>
      </c>
      <c r="AT98" s="87" t="str">
        <f>IFERROR(VLOOKUP($B98,'LOD 300 - ADMN'!$B:CJ,87,FALSE),"N/A")</f>
        <v>N/A</v>
      </c>
      <c r="AU98" s="88" t="str">
        <f>IFERROR(VLOOKUP($B98,'LOD 300 - ADMN'!$B:CM,90,FALSE),"N/A")</f>
        <v>N/A</v>
      </c>
      <c r="AV98" s="88" t="str">
        <f>IFERROR(VLOOKUP($B98,'LOD 300 - ADMN'!$B:CP,93,FALSE),"N/A")</f>
        <v>N/A</v>
      </c>
      <c r="AW98" s="88" t="str">
        <f>IFERROR(VLOOKUP($B98,'LOD 300 - ADMN'!$B:CS,96,FALSE),"N/A")</f>
        <v>N/A</v>
      </c>
      <c r="AX98" s="88" t="str">
        <f>IFERROR(VLOOKUP($B98,'LOD 300 - ADMN'!$B:CV,99,FALSE),"N/A")</f>
        <v>N/A</v>
      </c>
      <c r="AY98" s="88" t="str">
        <f>IFERROR(VLOOKUP($B98,'LOD 300 - ADMN'!$B:CY,102,FALSE),"N/A")</f>
        <v>N/A</v>
      </c>
      <c r="AZ98" s="88" t="str">
        <f>IFERROR(VLOOKUP($B98,'LOD 300 - ADMN'!$B:DB,105,FALSE),"N/A")</f>
        <v>N/A</v>
      </c>
      <c r="BA98" s="87" t="str">
        <f>IFERROR(VLOOKUP($B98,'LOD 300 - ADMN'!$B:DE,108,FALSE),"N/A")</f>
        <v>N/A</v>
      </c>
      <c r="BB98" s="87" t="str">
        <f>IFERROR(VLOOKUP($B98,'LOD 300 - ADMN'!$B:DH,111,FALSE),"N/A")</f>
        <v>N/A</v>
      </c>
      <c r="BC98" s="87" t="str">
        <f>IFERROR(VLOOKUP($B98,'LOD 300 - ADMN'!$B:DK,114,FALSE),"N/A")</f>
        <v>N/A</v>
      </c>
      <c r="BD98" s="87" t="str">
        <f>IFERROR(VLOOKUP($B98,'LOD 300 - ADMN'!$B:DN,117,FALSE),"N/A")</f>
        <v>N/A</v>
      </c>
      <c r="BE98" s="87" t="str">
        <f>IFERROR(VLOOKUP($B98,'LOD 300 - ADMN'!$B:DQ,120,FALSE),"N/A")</f>
        <v>N/A</v>
      </c>
      <c r="BF98" s="87" t="str">
        <f>IFERROR(VLOOKUP($B98,'LOD 300 - ADMN'!$B:DT,123,FALSE),"N/A")</f>
        <v>N/A</v>
      </c>
      <c r="BG98" s="87" t="str">
        <f>IFERROR(VLOOKUP($B98,'LOD 300 - ADMN'!$B:DW,126,FALSE),"N/A")</f>
        <v>N/A</v>
      </c>
      <c r="BH98" s="87" t="str">
        <f>IFERROR(VLOOKUP($B98,'LOD 300 - ADMN'!$B:DZ,129,FALSE),"N/A")</f>
        <v>N/A</v>
      </c>
      <c r="BI98" s="134"/>
      <c r="BJ98" s="90" t="str">
        <f>IFERROR(__xludf.DUMMYFUNCTION("IFERROR(
  MAX(FILTER(X98:BH98, ISNUMBER(X98:BH98))),
  BH98
)"),"N/A")</f>
        <v>N/A</v>
      </c>
      <c r="BK98" s="91" t="str">
        <f>IFERROR(VLOOKUP($B98,'LOD 300 - COLO1'!$B:S,18,FALSE),"N/A")</f>
        <v>N/A</v>
      </c>
      <c r="BL98" s="92" t="str">
        <f>IFERROR(VLOOKUP($B98,'LOD 300 - COLO1'!$B:V,21,FALSE),"N/A")</f>
        <v>N/A</v>
      </c>
      <c r="BM98" s="92" t="str">
        <f>IFERROR(VLOOKUP($B98,'LOD 300 - COLO1'!$B:Y,24,FALSE),"N/A")</f>
        <v>N/A</v>
      </c>
      <c r="BN98" s="92" t="str">
        <f>IFERROR(VLOOKUP($B98,'LOD 300 - COLO1'!$B:AB,27,FALSE),"N/A")</f>
        <v>N/A</v>
      </c>
      <c r="BO98" s="92" t="str">
        <f>IFERROR(VLOOKUP($B98,'LOD 300 - COLO1'!$B:AE,30,FALSE),"N/A")</f>
        <v>N/A</v>
      </c>
      <c r="BP98" s="92" t="str">
        <f>IFERROR(VLOOKUP($B98,'LOD 300 - COLO1'!$B:AH,33,FALSE),"N/A")</f>
        <v>N/A</v>
      </c>
      <c r="BQ98" s="92" t="str">
        <f>IFERROR(VLOOKUP($B98,'LOD 300 - COLO1'!$B:AK,36,FALSE),"N/A")</f>
        <v>N/A</v>
      </c>
      <c r="BR98" s="92" t="str">
        <f>IFERROR(VLOOKUP($B98,'LOD 300 - COLO1'!$B:AN,39,FALSE),"N/A")</f>
        <v>N/A</v>
      </c>
      <c r="BS98" s="92" t="str">
        <f>IFERROR(VLOOKUP($B98,'LOD 300 - COLO1'!$B:AQ,42,FALSE),"N/A")</f>
        <v>N/A</v>
      </c>
      <c r="BT98" s="92" t="str">
        <f>IFERROR(VLOOKUP($B98,'LOD 300 - COLO1'!$B:AT,45,FALSE),"N/A")</f>
        <v>N/A</v>
      </c>
      <c r="BU98" s="92" t="str">
        <f>IFERROR(VLOOKUP($B98,'LOD 300 - COLO1'!$B:AW,48,FALSE),"N/A")</f>
        <v>N/A</v>
      </c>
      <c r="BV98" s="92" t="str">
        <f>IFERROR(VLOOKUP($B98,'LOD 300 - COLO1'!$B:AZ,51,FALSE),"N/A")</f>
        <v>N/A</v>
      </c>
      <c r="BW98" s="92" t="str">
        <f>IFERROR(VLOOKUP($B98,'LOD 300 - COLO1'!$B:BC,54,FALSE),"N/A")</f>
        <v>N/A</v>
      </c>
      <c r="BX98" s="94" t="str">
        <f>IFERROR(VLOOKUP($B98,'LOD 300 - COLO1'!$B:BF,57,FALSE),"N/A")</f>
        <v>N/A</v>
      </c>
      <c r="BY98" s="94" t="str">
        <f>IFERROR(VLOOKUP($B98,'LOD 300 - COLO1'!$B:BI,60,FALSE),"N/A")</f>
        <v>N/A</v>
      </c>
      <c r="BZ98" s="95" t="str">
        <f>IFERROR(VLOOKUP($B98,'LOD 300 - COLO1'!$B:BL,63,FALSE),"N/A")</f>
        <v>N/A</v>
      </c>
      <c r="CA98" s="86" t="str">
        <f>IFERROR(VLOOKUP($B98,'LOD 300 - COLO1'!$B:BO,66,FALSE),"N/A")</f>
        <v>N/A</v>
      </c>
      <c r="CB98" s="86" t="str">
        <f>IFERROR(VLOOKUP($B98,'LOD 300 - COLO1'!$B:BR,69,FALSE),"N/A")</f>
        <v>N/A</v>
      </c>
      <c r="CC98" s="86" t="str">
        <f>IFERROR(VLOOKUP($B98,'LOD 300 - COLO1'!$B:BU,72,FALSE),"N/A")</f>
        <v>N/A</v>
      </c>
      <c r="CD98" s="86" t="str">
        <f>IFERROR(VLOOKUP($B98,'LOD 300 - COLO1'!$B:BX,75,FALSE),"N/A")</f>
        <v>N/A</v>
      </c>
      <c r="CE98" s="86" t="str">
        <f>IFERROR(VLOOKUP($B98,'LOD 300 - COLO1'!$B:CA,78,FALSE),"N/A")</f>
        <v>N/A</v>
      </c>
      <c r="CF98" s="87" t="str">
        <f>IFERROR(VLOOKUP($B98,'LOD 300 - COLO1'!$B:CD,81,FALSE),"N/A")</f>
        <v>N/A</v>
      </c>
      <c r="CG98" s="86" t="str">
        <f>IFERROR(VLOOKUP($B98,'LOD 300 - COLO1'!$B:CG,84,FALSE),"N/A")</f>
        <v>N/A</v>
      </c>
      <c r="CH98" s="87" t="str">
        <f>IFERROR(VLOOKUP($B98,'LOD 300 - COLO1'!$B:CJ,87,FALSE),"N/A")</f>
        <v>N/A</v>
      </c>
      <c r="CI98" s="88" t="str">
        <f>IFERROR(VLOOKUP($B98,'LOD 300 - COLO1'!$B:CM,90,FALSE),"N/A")</f>
        <v>N/A</v>
      </c>
      <c r="CJ98" s="88" t="str">
        <f>IFERROR(VLOOKUP($B98,'LOD 300 - COLO1'!$B:CP,93,FALSE),"N/A")</f>
        <v>N/A</v>
      </c>
      <c r="CK98" s="88" t="str">
        <f>IFERROR(VLOOKUP($B98,'LOD 300 - COLO1'!$B:CS,96,FALSE),"N/A")</f>
        <v>N/A</v>
      </c>
      <c r="CL98" s="88" t="str">
        <f>IFERROR(VLOOKUP($B98,'LOD 300 - COLO1'!$B:CV,99,FALSE),"N/A")</f>
        <v>N/A</v>
      </c>
      <c r="CM98" s="88" t="str">
        <f>IFERROR(VLOOKUP($B98,'LOD 300 - COLO1'!$B:CY,102,FALSE),"N/A")</f>
        <v>N/A</v>
      </c>
      <c r="CN98" s="89" t="str">
        <f>IFERROR(VLOOKUP($B98,'LOD 300 - COLO1'!$B:DB,105,FALSE),"N/A")</f>
        <v>N/A</v>
      </c>
      <c r="CO98" s="87" t="str">
        <f>IFERROR(VLOOKUP($B98,'LOD 300 - COLO1'!$B:EE,108,FALSE),"N/A")</f>
        <v>N/A</v>
      </c>
      <c r="CP98" s="87" t="str">
        <f>IFERROR(VLOOKUP($B98,'LOD 300 - COLO1'!$B:EH,111,FALSE),"N/A")</f>
        <v>N/A</v>
      </c>
      <c r="CQ98" s="87" t="str">
        <f>IFERROR(VLOOKUP($B98,'LOD 300 - COLO1'!$B:EK,114,FALSE),"N/A")</f>
        <v>N/A</v>
      </c>
      <c r="CR98" s="87" t="str">
        <f>IFERROR(VLOOKUP($B98,'LOD 300 - COLO1'!$B:EN,117,FALSE),"N/A")</f>
        <v>N/A</v>
      </c>
      <c r="CS98" s="87" t="str">
        <f>IFERROR(VLOOKUP($B98,'LOD 300 - COLO1'!$B:EQ,120,FALSE),"N/A")</f>
        <v>N/A</v>
      </c>
      <c r="CT98" s="87" t="str">
        <f>IFERROR(VLOOKUP($B98,'LOD 300 - COLO1'!$B:ET,123,FALSE),"N/A")</f>
        <v>N/A</v>
      </c>
      <c r="CU98" s="87" t="str">
        <f>IFERROR(VLOOKUP($B98,'LOD 300 - COLO1'!$B:EW,126,FALSE),"N/A")</f>
        <v>N/A</v>
      </c>
      <c r="CV98" s="87" t="str">
        <f>IFERROR(VLOOKUP($B98,'LOD 300 - COLO1'!$B:EZ,129,FALSE),"N/A")</f>
        <v>N/A</v>
      </c>
      <c r="CW98" s="135"/>
      <c r="CX98" s="96" t="str">
        <f>IFERROR(__xludf.DUMMYFUNCTION("IFERROR(
  MAX(FILTER(BK98:CV98, ISNUMBER(BK98:CV98))),
  CV98
)"),"N/A")</f>
        <v>N/A</v>
      </c>
      <c r="CY98" s="104" t="str">
        <f>IFERROR(VLOOKUP($B98,'LOD 300 - COLO2'!$B:S,18,FALSE),"N/A")</f>
        <v>N/A</v>
      </c>
      <c r="CZ98" s="117" t="str">
        <f>IFERROR(VLOOKUP($B98,'LOD 300 - COLO2'!$B:V,21,FALSE),"N/A")</f>
        <v>N/A</v>
      </c>
      <c r="DA98" s="117" t="str">
        <f>IFERROR(VLOOKUP($B98,'LOD 300 - COLO2'!$B:Y,24,FALSE),"N/A")</f>
        <v>N/A</v>
      </c>
      <c r="DB98" s="117" t="str">
        <f>IFERROR(VLOOKUP($B98,'LOD 300 - COLO2'!$B:AB,27,FALSE),"N/A")</f>
        <v>N/A</v>
      </c>
      <c r="DC98" s="92" t="str">
        <f>IFERROR(VLOOKUP($B98,'LOD 300 - COLO2'!$B:AE,30,FALSE),"N/A")</f>
        <v>N/A</v>
      </c>
      <c r="DD98" s="120" t="str">
        <f>IFERROR(VLOOKUP($B98,'LOD 300 - COLO2'!$B:AH,33,FALSE),"N/A")</f>
        <v>N/A</v>
      </c>
      <c r="DE98" s="117" t="str">
        <f>IFERROR(VLOOKUP($B98,'LOD 300 - COLO2'!$B:AK,36,FALSE),"N/A")</f>
        <v>N/A</v>
      </c>
      <c r="DF98" s="117" t="str">
        <f>IFERROR(VLOOKUP($B98,'LOD 300 - COLO2'!$B:AN,39,FALSE),"N/A")</f>
        <v>N/A</v>
      </c>
      <c r="DG98" s="119" t="str">
        <f>IFERROR(VLOOKUP($B98,'LOD 300 - COLO2'!$B:AQ,42,FALSE),"N/A")</f>
        <v>N/A</v>
      </c>
      <c r="DH98" s="87" t="str">
        <f>IFERROR(VLOOKUP($B98,'LOD 300 - COLO2'!$B:AT,45,FALSE),"N/A")</f>
        <v>N/A</v>
      </c>
      <c r="DI98" s="94" t="str">
        <f>IFERROR(VLOOKUP($B98,'LOD 300 - COLO2'!$B:AW,48,FALSE),"N/A")</f>
        <v>N/A</v>
      </c>
      <c r="DJ98" s="95" t="str">
        <f>IFERROR(VLOOKUP($B98,'LOD 300 - COLO2'!$B:AZ,51,FALSE),"N/A")</f>
        <v>N/A</v>
      </c>
      <c r="DK98" s="86" t="str">
        <f>IFERROR(VLOOKUP($B98,'LOD 300 - COLO2'!$B:BC,54,FALSE),"N/A")</f>
        <v>N/A</v>
      </c>
      <c r="DL98" s="86" t="str">
        <f>IFERROR(VLOOKUP($B98,'LOD 300 - COLO2'!$B:BF,57,FALSE),"N/A")</f>
        <v>N/A</v>
      </c>
      <c r="DM98" s="86" t="str">
        <f>IFERROR(VLOOKUP($B98,'LOD 300 - COLO2'!$B:BI,60,FALSE),"N/A")</f>
        <v>N/A</v>
      </c>
      <c r="DN98" s="86" t="str">
        <f>IFERROR(VLOOKUP($B98,'LOD 300 - COLO2'!$B:BL,63,FALSE),"N/A")</f>
        <v>N/A</v>
      </c>
      <c r="DO98" s="86" t="str">
        <f>IFERROR(VLOOKUP($B98,'LOD 300 - COLO2'!$B:BO,66,FALSE),"N/A")</f>
        <v>N/A</v>
      </c>
      <c r="DP98" s="87" t="str">
        <f>IFERROR(VLOOKUP($B98,'LOD 300 - COLO2'!$B:BR,69,FALSE),"N/A")</f>
        <v>N/A</v>
      </c>
      <c r="DQ98" s="87" t="str">
        <f>IFERROR(VLOOKUP($B98,'LOD 300 - COLO2'!$B:BU,72,FALSE),"N/A")</f>
        <v>N/A</v>
      </c>
      <c r="DR98" s="87" t="str">
        <f>IFERROR(VLOOKUP($B98,'LOD 300 - COLO2'!$B:BX,75,FALSE),"N/A")</f>
        <v>N/A</v>
      </c>
      <c r="DS98" s="98" t="str">
        <f>IFERROR(VLOOKUP($B98,'LOD 300 - COLO2'!$B:CA,78,FALSE),"N/A")</f>
        <v>N/A</v>
      </c>
      <c r="DT98" s="98" t="str">
        <f>IFERROR(VLOOKUP($B98,'LOD 300 - COLO2'!$B:CD,81,FALSE),"N/A")</f>
        <v>N/A</v>
      </c>
      <c r="DU98" s="98" t="str">
        <f>IFERROR(VLOOKUP($B98,'LOD 300 - COLO2'!$B:CG,84,FALSE),"N/A")</f>
        <v>N/A</v>
      </c>
      <c r="DV98" s="98" t="str">
        <f>IFERROR(VLOOKUP($B98,'LOD 300 - COLO2'!$B:CJ,87,FALSE),"N/A")</f>
        <v>N/A</v>
      </c>
      <c r="DW98" s="98" t="str">
        <f>IFERROR(VLOOKUP($B98,'LOD 300 - COLO2'!$B:CM,90,FALSE),"N/A")</f>
        <v>N/A</v>
      </c>
      <c r="DX98" s="98" t="str">
        <f>IFERROR(VLOOKUP($B98,'LOD 300 - COLO2'!$B:CP,93,FALSE),"N/A")</f>
        <v>N/A</v>
      </c>
      <c r="DY98" s="87" t="str">
        <f>IFERROR(VLOOKUP($B98,'LOD 300 - COLO2'!$B:CS,96,FALSE),"N/A")</f>
        <v>N/A</v>
      </c>
      <c r="DZ98" s="87" t="str">
        <f>IFERROR(VLOOKUP($B98,'LOD 300 - COLO2'!$B:CV,99,FALSE),"N/A")</f>
        <v>N/A</v>
      </c>
      <c r="EA98" s="87" t="str">
        <f>IFERROR(VLOOKUP($B98,'LOD 300 - COLO2'!$B:DB,105,FALSE),"N/A")</f>
        <v>N/A</v>
      </c>
      <c r="EB98" s="87" t="str">
        <f>IFERROR(VLOOKUP($B98,'LOD 300 - COLO2'!$B:DB,105,FALSE),"N/A")</f>
        <v>N/A</v>
      </c>
      <c r="EC98" s="87" t="str">
        <f>IFERROR(VLOOKUP($B98,'LOD 300 - COLO2'!$B:DE,108,FALSE),"N/A")</f>
        <v>N/A</v>
      </c>
      <c r="ED98" s="87" t="str">
        <f>IFERROR(VLOOKUP($B98,'LOD 300 - COLO2'!$B:DH,111,FALSE),"N/A")</f>
        <v>N/A</v>
      </c>
      <c r="EE98" s="87" t="str">
        <f>IFERROR(VLOOKUP($B98,'LOD 300 - COLO2'!$B:DK,114,FALSE),"N/A")</f>
        <v>N/A</v>
      </c>
      <c r="EF98" s="87" t="str">
        <f>IFERROR(VLOOKUP($B98,'LOD 300 - COLO2'!$B:DN,117,FALSE),"N/A")</f>
        <v>N/A</v>
      </c>
      <c r="EG98" s="135"/>
      <c r="EH98" s="99" t="str">
        <f>IFERROR(__xludf.DUMMYFUNCTION("IFERROR(
  MAX(FILTER(CZ98:EF98, ISNUMBER(CZ98:EF98))),
  EF98
)"),"N/A")</f>
        <v>N/A</v>
      </c>
      <c r="EI98" s="100" t="str">
        <f>IFERROR(VLOOKUP($B98,'LOD 300 - COLO3'!$B:R,17,FALSE),"N/A")</f>
        <v>N/A</v>
      </c>
      <c r="EJ98" s="127" t="str">
        <f>IFERROR(VLOOKUP($B98,'LOD 300 - COLO3'!$B:U,20,FALSE),"N/A")</f>
        <v>N/A</v>
      </c>
      <c r="EK98" s="127" t="str">
        <f>IFERROR(VLOOKUP($B98,'LOD 300 - COLO3'!$B:X,23,FALSE),"N/A")</f>
        <v>N/A</v>
      </c>
      <c r="EL98" s="127" t="str">
        <f>IFERROR(VLOOKUP($B98,'LOD 300 - COLO3'!$B:AA,26,FALSE),"N/A")</f>
        <v>N/A</v>
      </c>
      <c r="EM98" s="127" t="str">
        <f>IFERROR(VLOOKUP($B98,'LOD 300 - COLO3'!$B:AD,29,FALSE),"N/A")</f>
        <v>N/A</v>
      </c>
      <c r="EN98" s="127" t="str">
        <f>IFERROR(VLOOKUP($B98,'LOD 300 - COLO3'!$B:AG,32,FALSE),"N/A")</f>
        <v>N/A</v>
      </c>
      <c r="EO98" s="127" t="str">
        <f>IFERROR(VLOOKUP($B98,'LOD 300 - COLO3'!$B:AJ,35,FALSE),"N/A")</f>
        <v>N/A</v>
      </c>
      <c r="EP98" s="100" t="str">
        <f>IFERROR(VLOOKUP($B98,'LOD 300 - COLO3'!$B:AM,38,FALSE),"N/A")</f>
        <v>N/A</v>
      </c>
      <c r="EQ98" s="100" t="str">
        <f>IFERROR(VLOOKUP($B98,'LOD 300 - COLO3'!$B:AP,41,FALSE),"N/A")</f>
        <v>N/A</v>
      </c>
      <c r="ER98" s="100" t="str">
        <f>IFERROR(VLOOKUP($B98,'LOD 300 - COLO3'!$B:AS,44,FALSE),"N/A")</f>
        <v>N/A</v>
      </c>
      <c r="ES98" s="100" t="str">
        <f>IFERROR(VLOOKUP($B98,'LOD 300 - COLO3'!$B:AV,47,FALSE),"N/A")</f>
        <v>N/A</v>
      </c>
      <c r="ET98" s="100" t="str">
        <f>IFERROR(VLOOKUP($B98,'LOD 300 - COLO3'!$B:AY,50,FALSE),"N/A")</f>
        <v>N/A</v>
      </c>
      <c r="EU98" s="100" t="str">
        <f>IFERROR(VLOOKUP($B98,'LOD 300 - COLO3'!$B:BB,53,FALSE),"N/A")</f>
        <v>N/A</v>
      </c>
      <c r="EV98" s="100" t="str">
        <f>IFERROR(VLOOKUP($B98,'LOD 300 - COLO3'!$B:BE,56,FALSE),"N/A")</f>
        <v>N/A</v>
      </c>
      <c r="EW98" s="100" t="str">
        <f>IFERROR(VLOOKUP($B98,'LOD 300 - COLO3'!$B:BL,59,FALSE),"N/A")</f>
        <v>N/A</v>
      </c>
      <c r="EX98" s="136"/>
      <c r="EY98" s="103" t="str">
        <f>IFERROR(__xludf.DUMMYFUNCTION("IFERROR(
  MAX(FILTER(EI98:EW98, ISNUMBER(EI98:EW98))),
  EW98
)"),"N/A")</f>
        <v>N/A</v>
      </c>
      <c r="EZ98" s="104" t="str">
        <f>IFERROR(VLOOKUP($B98,'LOD 300 - COLO4'!$B:BT,17,FALSE),"N/A")</f>
        <v>N/A</v>
      </c>
      <c r="FA98" s="103" t="str">
        <f>IFERROR(__xludf.DUMMYFUNCTION("IFERROR(
  MAX(FILTER(EZ98, ISNUMBER(EZ98))),
  EZ98
)"),"N/A")</f>
        <v>N/A</v>
      </c>
      <c r="FB98" s="121" t="str">
        <f>IFERROR(VLOOKUP($B98,'LOD 300 - SITE'!$B:S,18,FALSE),"N/A")</f>
        <v>NOT PUBLISHED</v>
      </c>
      <c r="FC98" s="122" t="str">
        <f>IFERROR(VLOOKUP($B98,'LOD 300 - SITE'!$B:V,21,FALSE),"N/A")</f>
        <v>NOT PUBLISHED</v>
      </c>
      <c r="FD98" s="122" t="str">
        <f>IFERROR(VLOOKUP($B98,'LOD 300 - SITE'!$B:Y,24,FALSE),"N/A")</f>
        <v>NOT PUBLISHED</v>
      </c>
      <c r="FE98" s="122" t="str">
        <f>IFERROR(VLOOKUP($B98,'LOD 300 - SITE'!$B:AB,27,FALSE),"N/A")</f>
        <v>NOT PUBLISHED</v>
      </c>
      <c r="FF98" s="122" t="str">
        <f>IFERROR(VLOOKUP($B98,'LOD 300 - SITE'!$B:AE,30,FALSE),"N/A")</f>
        <v>NOT PUBLISHED</v>
      </c>
      <c r="FG98" s="122" t="str">
        <f>IFERROR(VLOOKUP($B98,'LOD 300 - SITE'!$B:AH,33,FALSE),"N/A")</f>
        <v>NOT PUBLISHED</v>
      </c>
      <c r="FH98" s="122" t="str">
        <f>IFERROR(VLOOKUP($B98,'LOD 300 - SITE'!$B:AK,36,FALSE),"N/A")</f>
        <v>NOT PUBLISHED</v>
      </c>
      <c r="FI98" s="122" t="str">
        <f>IFERROR(VLOOKUP($B98,'LOD 300 - SITE'!$B:AN,39,FALSE),"N/A")</f>
        <v>NOT PUBLISHED</v>
      </c>
      <c r="FJ98" s="122" t="str">
        <f>IFERROR(VLOOKUP($B98,'LOD 300 - SITE'!$B:AQ,42,FALSE),"N/A")</f>
        <v>NOT PUBLISHED</v>
      </c>
      <c r="FK98" s="122" t="str">
        <f>IFERROR(VLOOKUP($B98,'LOD 300 - SITE'!$B:AT,45,FALSE),"N/A")</f>
        <v>NOT PUBLISHED</v>
      </c>
      <c r="FL98" s="123" t="str">
        <f>IFERROR(VLOOKUP($B98,'LOD 300 - SITE'!$B:AW,48,FALSE),"N/A")</f>
        <v>NOT PUBLISHED</v>
      </c>
      <c r="FM98" s="87" t="str">
        <f>IFERROR(VLOOKUP($B98,'LOD 300 - SITE'!$B:AZ,51,FALSE),"N/A")</f>
        <v>NOT PUBLISHED</v>
      </c>
      <c r="FN98" s="94" t="str">
        <f>IFERROR(VLOOKUP($B98,'LOD 300 - SITE'!$B:BC,54,FALSE),"N/A")</f>
        <v>NOT PUBLISHED</v>
      </c>
      <c r="FO98" s="95" t="str">
        <f>IFERROR(VLOOKUP($B98,'LOD 300 - SITE'!$B:BF,57,FALSE),"N/A")</f>
        <v>NOT PUBLISHED</v>
      </c>
      <c r="FP98" s="86" t="str">
        <f>IFERROR(VLOOKUP($B98,'LOD 300 - SITE'!$B:BI,60,FALSE),"N/A")</f>
        <v>NOT PUBLISHED</v>
      </c>
      <c r="FQ98" s="86" t="str">
        <f>IFERROR(VLOOKUP($B98,'LOD 300 - SITE'!$B:BL,63,FALSE),"N/A")</f>
        <v>NOT PUBLISHED</v>
      </c>
      <c r="FR98" s="86" t="str">
        <f>IFERROR(VLOOKUP($B98,'LOD 300 - SITE'!$B:BO,66,FALSE),"N/A")</f>
        <v>NOT PUBLISHED</v>
      </c>
      <c r="FS98" s="86" t="str">
        <f>IFERROR(VLOOKUP($B98,'LOD 300 - SITE'!$B:BR,69,FALSE),"N/A")</f>
        <v>NOT PUBLISHED</v>
      </c>
      <c r="FT98" s="86" t="str">
        <f>IFERROR(VLOOKUP($B98,'LOD 300 - SITE'!$B:BU,72,FALSE),"N/A")</f>
        <v>NOT PUBLISHED</v>
      </c>
      <c r="FU98" s="86" t="str">
        <f>IFERROR(VLOOKUP($B98,'LOD 300 - SITE'!$B:BX,75,FALSE),"N/A")</f>
        <v>NOT PUBLISHED</v>
      </c>
      <c r="FV98" s="86" t="str">
        <f>IFERROR(VLOOKUP($B98,'LOD 300 - SITE'!$B:CA,78,FALSE),"N/A")</f>
        <v>NOT PUBLISHED</v>
      </c>
      <c r="FW98" s="87" t="str">
        <f>IFERROR(VLOOKUP($B98,'LOD 300 - SITE'!$B:CD,81,FALSE),"N/A")</f>
        <v>NOT PUBLISHED</v>
      </c>
      <c r="FX98" s="108" t="str">
        <f>IFERROR(VLOOKUP($B98,'LOD 300 - SITE'!$B:CG,84,FALSE),"N/A")</f>
        <v>NOT PUBLISHED</v>
      </c>
      <c r="FY98" s="108" t="str">
        <f>IFERROR(VLOOKUP($B98,'LOD 300 - SITE'!$B:CJ,87,FALSE),"N/A")</f>
        <v>NOT PUBLISHED</v>
      </c>
      <c r="FZ98" s="108" t="str">
        <f>IFERROR(VLOOKUP($B98,'LOD 300 - SITE'!$B:CM,90,FALSE),"N/A")</f>
        <v>NOT PUBLISHED</v>
      </c>
      <c r="GA98" s="108" t="str">
        <f>IFERROR(VLOOKUP($B98,'LOD 300 - SITE'!$B:CP,93,FALSE),"N/A")</f>
        <v>NOT PUBLISHED</v>
      </c>
      <c r="GB98" s="108" t="str">
        <f>IFERROR(VLOOKUP($B98,'LOD 300 - SITE'!$B:CS,96,FALSE),"N/A")</f>
        <v>NOT PUBLISHED</v>
      </c>
      <c r="GC98" s="109" t="str">
        <f>IFERROR(VLOOKUP($B98,'LOD 300 - SITE'!$B:CV,99,FALSE),"N/A")</f>
        <v>NOT PUBLISHED</v>
      </c>
      <c r="GD98" s="87" t="str">
        <f>IFERROR(VLOOKUP($B98,'LOD 300 - SITE'!$B:CY,102,FALSE),"N/A")</f>
        <v>NOT PUBLISHED</v>
      </c>
      <c r="GE98" s="87" t="str">
        <f>IFERROR(VLOOKUP($B98,'LOD 300 - SITE'!$B:DB,105,FALSE),"N/A")</f>
        <v>NOT PUBLISHED</v>
      </c>
      <c r="GF98" s="87" t="str">
        <f>IFERROR(VLOOKUP($B98,'LOD 300 - SITE'!$B:DE,108,FALSE),"N/A")</f>
        <v>NOT PUBLISHED</v>
      </c>
      <c r="GG98" s="87" t="str">
        <f>IFERROR(VLOOKUP($B98,'LOD 300 - SITE'!$B:DH,111,FALSE),"N/A")</f>
        <v>NOT PUBLISHED</v>
      </c>
      <c r="GH98" s="87" t="str">
        <f>IFERROR(VLOOKUP($B98,'LOD 300 - SITE'!$B:DK,114,FALSE),"N/A")</f>
        <v>NOT PUBLISHED</v>
      </c>
      <c r="GI98" s="87" t="str">
        <f>IFERROR(VLOOKUP($B98,'LOD 300 - SITE'!$B:DN,117,FALSE),"N/A")</f>
        <v>NOT PUBLISHED</v>
      </c>
      <c r="GJ98" s="87" t="str">
        <f>IFERROR(VLOOKUP($B98,'LOD 300 - SITE'!$B:DQ,120,FALSE),"N/A")</f>
        <v>NOT PUBLISHED</v>
      </c>
      <c r="GK98" s="87" t="str">
        <f>IFERROR(VLOOKUP($B98,'LOD 300 - SITE'!$B:DT,123,FALSE),"N/A")</f>
        <v>NOT PUBLISHED</v>
      </c>
      <c r="GL98" s="135"/>
      <c r="GM98" s="110" t="str">
        <f>IFERROR(__xludf.DUMMYFUNCTION("IFERROR(
  MAX(FILTER(FB98:GK98, ISNUMBER(FB98:GK98))),
  GK98
)"),"NOT PUBLISHED")</f>
        <v>NOT PUBLISHED</v>
      </c>
      <c r="GN98" s="68"/>
      <c r="GO98" s="68"/>
      <c r="GP98" s="68"/>
    </row>
    <row r="99" ht="15.0" customHeight="1" outlineLevel="1">
      <c r="A99" s="60">
        <v>102.0</v>
      </c>
      <c r="B99" s="140" t="s">
        <v>304</v>
      </c>
      <c r="C99" s="70" t="s">
        <v>305</v>
      </c>
      <c r="D99" s="71" t="s">
        <v>85</v>
      </c>
      <c r="E99" s="146" t="s">
        <v>303</v>
      </c>
      <c r="F99" s="13">
        <v>1122.0</v>
      </c>
      <c r="G99" s="147" t="s">
        <v>288</v>
      </c>
      <c r="H99" s="150">
        <v>0.0</v>
      </c>
      <c r="I99" s="74" t="str">
        <f>IFERROR(VLOOKUP(C96:C238,'R22 RELATÓRIO ACC'!B:F,5,FALSE),"NOT PUBLISHED")</f>
        <v>NOT PUBLISHED</v>
      </c>
      <c r="J99" s="74" t="str">
        <f>IFERROR(VLOOKUP(C96:C238,'R22 RELATÓRIO ACC'!B:P,15,FALSE),"NOT PUBLISHED")</f>
        <v>NOT PUBLISHED</v>
      </c>
      <c r="K99" s="141" t="str">
        <f>IFERROR(VLOOKUP(B96:B286,'RELATÓRIO ACC'!B:F,5,FALSE),"NOT PUBLISHED")</f>
        <v>NOT PUBLISHED</v>
      </c>
      <c r="L99" s="142" t="str">
        <f>IFERROR(VLOOKUP(B96:B286,'RELATÓRIO ACC'!B:P,15,FALSE),"NOT PUBLISHED")</f>
        <v>NOT PUBLISHED</v>
      </c>
      <c r="M99" s="76" t="str">
        <f>IF(OR($D99="UTLS",$D99="GUAR",$D99="STIR",$D99="PUMP",$D99="SITE"),
   VLOOKUP($B99,'LOD 300 - SITE'!B:M,12,FALSE),
   VLOOKUP($B99,'LOD 300 - ADMN'!B:M,12,FALSE)
)</f>
        <v>NOT PUBLISHED</v>
      </c>
      <c r="N99" s="76" t="str">
        <f>IF(OR($D99="UTLS",$D99="GUAR",$D99="STIR",$D99="PUMP",$D99="SITE"),
   VLOOKUP($B99,'LOD 300 - SITE'!B:N,13,FALSE),
   VLOOKUP($B99,'LOD 300 - ADMN'!B:N,13,FALSE)
)</f>
        <v>NOT PUBLISHED</v>
      </c>
      <c r="O99" s="78" t="str">
        <f>IF(OR($D99="UTLS",$D99="GUAR",$D99="STIR",$D99="PUMP",$D99="SITE"),
   VLOOKUP($B99,'LOD 300 - SITE'!B:O,14,FALSE),
   VLOOKUP($B99,'LOD 300 - ADMN'!B:O,14,FALSE)
)</f>
        <v>NOT PUBLISHED</v>
      </c>
      <c r="P99" s="79" t="str">
        <f>IF(OR($D99="C345",$D99="C12A",$D99="DATA"),
   VLOOKUP($B99,'LOD 300 - COLO3'!B:M,12,FALSE),"N/A")</f>
        <v>NOT PUBLISHED</v>
      </c>
      <c r="Q99" s="76" t="str">
        <f>IF(OR($D99="C345",$D99="C12A",$D99="DATA"),
   VLOOKUP($B99,'LOD 300 - COLO3'!B:N,13,FALSE),"N/A")</f>
        <v>NOT PUBLISHED</v>
      </c>
      <c r="R99" s="76" t="str">
        <f>IF(OR($D99="C345",$D99="C12A",$D99="DATA"),
   VLOOKUP($B99,'LOD 300 - COLO3'!B:O,14,FALSE),"N/A")</f>
        <v>NOT PUBLISHED</v>
      </c>
      <c r="S99" s="79" t="str">
        <f>IF(OR($D99="C345",$D99="C12A",$D99="DATA"),
   VLOOKUP($B99,'LOD 300 - COLO4'!B:M,12,FALSE),"N/A")</f>
        <v>N/A</v>
      </c>
      <c r="T99" s="76" t="str">
        <f>IF(OR($D99="C345",$D99="C12A",$D99="DATA"),
   VLOOKUP($B99,'LOD 300 - COLO4'!B:T,13,FALSE),"N/A")</f>
        <v>N/A</v>
      </c>
      <c r="U99" s="76" t="str">
        <f>IF(OR($D99="C345",$D99="C12A",$D99="DATA"),
   VLOOKUP($B99,'LOD 300 - COLO4'!B:U,17,FALSE),"N/A")</f>
        <v>NOT PUBLISHED</v>
      </c>
      <c r="V99" s="126"/>
      <c r="W99" s="144" t="str">
        <f>IFERROR(VLOOKUP($B99,'LOD 300 - ADMN'!$B:S,18,FALSE),"N/A")</f>
        <v>NOT PUBLISHED</v>
      </c>
      <c r="X99" s="122" t="str">
        <f>IFERROR(VLOOKUP($B99,'LOD 300 - ADMN'!$B:V,21,FALSE),"N/A")</f>
        <v>NOT PUBLISHED</v>
      </c>
      <c r="Y99" s="122" t="str">
        <f>IFERROR(VLOOKUP($B99,'LOD 300 - ADMN'!$B:Y,24,FALSE),"N/A")</f>
        <v>NOT PUBLISHED</v>
      </c>
      <c r="Z99" s="122" t="str">
        <f>IFERROR(VLOOKUP($B99,'LOD 300 - ADMN'!$B:AB,27,FALSE),"N/A")</f>
        <v>NOT PUBLISHED</v>
      </c>
      <c r="AA99" s="122" t="str">
        <f>IFERROR(VLOOKUP($B99,'LOD 300 - ADMN'!$B:AE,30,FALSE),"N/A")</f>
        <v>NOT PUBLISHED</v>
      </c>
      <c r="AB99" s="145" t="str">
        <f>IFERROR(VLOOKUP($B99,'LOD 300 - ADMN'!$B:AH,33,FALSE),"N/A")</f>
        <v>NOT PUBLISHED</v>
      </c>
      <c r="AC99" s="145" t="str">
        <f>IFERROR(VLOOKUP($B99,'LOD 300 - ADMN'!$B:AK,36,FALSE),"N/A")</f>
        <v>NOT PUBLISHED</v>
      </c>
      <c r="AD99" s="122" t="str">
        <f>IFERROR(VLOOKUP($B99,'LOD 300 - ADMN'!$B:AN,39,FALSE),"N/A")</f>
        <v>NOT PUBLISHED</v>
      </c>
      <c r="AE99" s="122" t="str">
        <f>IFERROR(VLOOKUP($B99,'LOD 300 - ADMN'!$B:AQ,42,FALSE),"N/A")</f>
        <v>NOT PUBLISHED</v>
      </c>
      <c r="AF99" s="122" t="str">
        <f>IFERROR(VLOOKUP($B99,'LOD 300 - ADMN'!$B:AT,45,FALSE),"N/A")</f>
        <v>NOT PUBLISHED</v>
      </c>
      <c r="AG99" s="122" t="str">
        <f>IFERROR(VLOOKUP($B99,'LOD 300 - ADMN'!$B:AW,48,FALSE),"N/A")</f>
        <v>NOT PUBLISHED</v>
      </c>
      <c r="AH99" s="122" t="str">
        <f>IFERROR(VLOOKUP($B99,'LOD 300 - ADMN'!$B:AZ,51,FALSE),"N/A")</f>
        <v>NOT PUBLISHED</v>
      </c>
      <c r="AI99" s="122" t="str">
        <f>IFERROR(VLOOKUP($B99,'LOD 300 - ADMN'!$B:BC,54,FALSE),"N/A")</f>
        <v>NOT PUBLISHED</v>
      </c>
      <c r="AJ99" s="87" t="str">
        <f>IFERROR(VLOOKUP($B99,'LOD 300 - ADMN'!$B:BF,57,FALSE),"N/A")</f>
        <v>NOT PUBLISHED</v>
      </c>
      <c r="AK99" s="87" t="str">
        <f>IFERROR(VLOOKUP($B99,'LOD 300 - ADMN'!$B:EP,60,FALSE),"N/A")</f>
        <v>NOT PUBLISHED</v>
      </c>
      <c r="AL99" s="87" t="str">
        <f>IFERROR(VLOOKUP($B99,'LOD 300 - ADMN'!$B:EQ,63,FALSE),"N/A")</f>
        <v>NOT PUBLISHED</v>
      </c>
      <c r="AM99" s="87" t="str">
        <f>IFERROR(VLOOKUP($B99,'LOD 300 - ADMN'!$B:BO,66,FALSE),"N/A")</f>
        <v>NOT PUBLISHED</v>
      </c>
      <c r="AN99" s="87" t="str">
        <f>IFERROR(VLOOKUP($B99,'LOD 300 - ADMN'!$B:BR,69,FALSE),"N/A")</f>
        <v>NOT PUBLISHED</v>
      </c>
      <c r="AO99" s="87" t="str">
        <f>IFERROR(VLOOKUP($B99,'LOD 300 - ADMN'!$B:BU,72,FALSE),"N/A")</f>
        <v>NOT PUBLISHED</v>
      </c>
      <c r="AP99" s="87" t="str">
        <f>IFERROR(VLOOKUP($B99,'LOD 300 - ADMN'!$B:BX,75,FALSE),"N/A")</f>
        <v>NOT PUBLISHED</v>
      </c>
      <c r="AQ99" s="87" t="str">
        <f>IFERROR(VLOOKUP($B99,'LOD 300 - ADMN'!$B:CA,78,FALSE),"N/A")</f>
        <v>NOT PUBLISHED</v>
      </c>
      <c r="AR99" s="87" t="str">
        <f>IFERROR(VLOOKUP($B99,'LOD 300 - ADMN'!$B:CD,81,FALSE),"N/A")</f>
        <v>NOT PUBLISHED</v>
      </c>
      <c r="AS99" s="87" t="str">
        <f>IFERROR(VLOOKUP($B99,'LOD 300 - ADMN'!$B:CG,84,FALSE),"N/A")</f>
        <v>NOT PUBLISHED</v>
      </c>
      <c r="AT99" s="87" t="str">
        <f>IFERROR(VLOOKUP($B99,'LOD 300 - ADMN'!$B:CJ,87,FALSE),"N/A")</f>
        <v>NOT PUBLISHED</v>
      </c>
      <c r="AU99" s="88" t="str">
        <f>IFERROR(VLOOKUP($B99,'LOD 300 - ADMN'!$B:CM,90,FALSE),"N/A")</f>
        <v>NOT PUBLISHED</v>
      </c>
      <c r="AV99" s="88" t="str">
        <f>IFERROR(VLOOKUP($B99,'LOD 300 - ADMN'!$B:CP,93,FALSE),"N/A")</f>
        <v>NOT PUBLISHED</v>
      </c>
      <c r="AW99" s="88" t="str">
        <f>IFERROR(VLOOKUP($B99,'LOD 300 - ADMN'!$B:CS,96,FALSE),"N/A")</f>
        <v>NOT PUBLISHED</v>
      </c>
      <c r="AX99" s="88" t="str">
        <f>IFERROR(VLOOKUP($B99,'LOD 300 - ADMN'!$B:CV,99,FALSE),"N/A")</f>
        <v>NOT PUBLISHED</v>
      </c>
      <c r="AY99" s="88" t="str">
        <f>IFERROR(VLOOKUP($B99,'LOD 300 - ADMN'!$B:CY,102,FALSE),"N/A")</f>
        <v>NOT PUBLISHED</v>
      </c>
      <c r="AZ99" s="88" t="str">
        <f>IFERROR(VLOOKUP($B99,'LOD 300 - ADMN'!$B:DB,105,FALSE),"N/A")</f>
        <v>NOT PUBLISHED</v>
      </c>
      <c r="BA99" s="87" t="str">
        <f>IFERROR(VLOOKUP($B99,'LOD 300 - ADMN'!$B:DE,108,FALSE),"N/A")</f>
        <v>NOT PUBLISHED</v>
      </c>
      <c r="BB99" s="87" t="str">
        <f>IFERROR(VLOOKUP($B99,'LOD 300 - ADMN'!$B:DH,111,FALSE),"N/A")</f>
        <v>NOT PUBLISHED</v>
      </c>
      <c r="BC99" s="87" t="str">
        <f>IFERROR(VLOOKUP($B99,'LOD 300 - ADMN'!$B:DK,114,FALSE),"N/A")</f>
        <v>NOT PUBLISHED</v>
      </c>
      <c r="BD99" s="87" t="str">
        <f>IFERROR(VLOOKUP($B99,'LOD 300 - ADMN'!$B:DN,117,FALSE),"N/A")</f>
        <v>NOT PUBLISHED</v>
      </c>
      <c r="BE99" s="87" t="str">
        <f>IFERROR(VLOOKUP($B99,'LOD 300 - ADMN'!$B:DQ,120,FALSE),"N/A")</f>
        <v>NOT PUBLISHED</v>
      </c>
      <c r="BF99" s="87" t="str">
        <f>IFERROR(VLOOKUP($B99,'LOD 300 - ADMN'!$B:DT,123,FALSE),"N/A")</f>
        <v>NOT PUBLISHED</v>
      </c>
      <c r="BG99" s="87" t="str">
        <f>IFERROR(VLOOKUP($B99,'LOD 300 - ADMN'!$B:DW,126,FALSE),"N/A")</f>
        <v>NOT PUBLISHED</v>
      </c>
      <c r="BH99" s="87" t="str">
        <f>IFERROR(VLOOKUP($B99,'LOD 300 - ADMN'!$B:DZ,129,FALSE),"N/A")</f>
        <v>NOT PUBLISHED</v>
      </c>
      <c r="BI99" s="134"/>
      <c r="BJ99" s="90" t="str">
        <f>IFERROR(__xludf.DUMMYFUNCTION("IFERROR(
  MAX(FILTER(X99:BH99, ISNUMBER(X99:BH99))),
  BH99
)"),"NOT PUBLISHED")</f>
        <v>NOT PUBLISHED</v>
      </c>
      <c r="BK99" s="91" t="str">
        <f>IFERROR(VLOOKUP($B99,'LOD 300 - COLO1'!$B:S,18,FALSE),"N/A")</f>
        <v>NOT PUBLISHED</v>
      </c>
      <c r="BL99" s="92" t="str">
        <f>IFERROR(VLOOKUP($B99,'LOD 300 - COLO1'!$B:V,21,FALSE),"N/A")</f>
        <v>NOT PUBLISHED</v>
      </c>
      <c r="BM99" s="92" t="str">
        <f>IFERROR(VLOOKUP($B99,'LOD 300 - COLO1'!$B:Y,24,FALSE),"N/A")</f>
        <v>NOT PUBLISHED</v>
      </c>
      <c r="BN99" s="92" t="str">
        <f>IFERROR(VLOOKUP($B99,'LOD 300 - COLO1'!$B:AB,27,FALSE),"N/A")</f>
        <v>NOT PUBLISHED</v>
      </c>
      <c r="BO99" s="92" t="str">
        <f>IFERROR(VLOOKUP($B99,'LOD 300 - COLO1'!$B:AE,30,FALSE),"N/A")</f>
        <v>NOT PUBLISHED</v>
      </c>
      <c r="BP99" s="92" t="str">
        <f>IFERROR(VLOOKUP($B99,'LOD 300 - COLO1'!$B:AH,33,FALSE),"N/A")</f>
        <v>NOT PUBLISHED</v>
      </c>
      <c r="BQ99" s="92" t="str">
        <f>IFERROR(VLOOKUP($B99,'LOD 300 - COLO1'!$B:AK,36,FALSE),"N/A")</f>
        <v>NOT PUBLISHED</v>
      </c>
      <c r="BR99" s="92" t="str">
        <f>IFERROR(VLOOKUP($B99,'LOD 300 - COLO1'!$B:AN,39,FALSE),"N/A")</f>
        <v>NOT PUBLISHED</v>
      </c>
      <c r="BS99" s="92" t="str">
        <f>IFERROR(VLOOKUP($B99,'LOD 300 - COLO1'!$B:AQ,42,FALSE),"N/A")</f>
        <v>NOT PUBLISHED</v>
      </c>
      <c r="BT99" s="92" t="str">
        <f>IFERROR(VLOOKUP($B99,'LOD 300 - COLO1'!$B:AT,45,FALSE),"N/A")</f>
        <v>NOT PUBLISHED</v>
      </c>
      <c r="BU99" s="92" t="str">
        <f>IFERROR(VLOOKUP($B99,'LOD 300 - COLO1'!$B:AW,48,FALSE),"N/A")</f>
        <v>NOT PUBLISHED</v>
      </c>
      <c r="BV99" s="92" t="str">
        <f>IFERROR(VLOOKUP($B99,'LOD 300 - COLO1'!$B:AZ,51,FALSE),"N/A")</f>
        <v>NOT PUBLISHED</v>
      </c>
      <c r="BW99" s="92" t="str">
        <f>IFERROR(VLOOKUP($B99,'LOD 300 - COLO1'!$B:BC,54,FALSE),"N/A")</f>
        <v>NOT PUBLISHED</v>
      </c>
      <c r="BX99" s="94" t="str">
        <f>IFERROR(VLOOKUP($B99,'LOD 300 - COLO1'!$B:BF,57,FALSE),"N/A")</f>
        <v>NOT PUBLISHED</v>
      </c>
      <c r="BY99" s="94" t="str">
        <f>IFERROR(VLOOKUP($B99,'LOD 300 - COLO1'!$B:BI,60,FALSE),"N/A")</f>
        <v>NOT PUBLISHED</v>
      </c>
      <c r="BZ99" s="95" t="str">
        <f>IFERROR(VLOOKUP($B99,'LOD 300 - COLO1'!$B:BL,63,FALSE),"N/A")</f>
        <v>NOT PUBLISHED</v>
      </c>
      <c r="CA99" s="86" t="str">
        <f>IFERROR(VLOOKUP($B99,'LOD 300 - COLO1'!$B:BO,66,FALSE),"N/A")</f>
        <v>NOT PUBLISHED</v>
      </c>
      <c r="CB99" s="86" t="str">
        <f>IFERROR(VLOOKUP($B99,'LOD 300 - COLO1'!$B:BR,69,FALSE),"N/A")</f>
        <v>NOT PUBLISHED</v>
      </c>
      <c r="CC99" s="86" t="str">
        <f>IFERROR(VLOOKUP($B99,'LOD 300 - COLO1'!$B:BU,72,FALSE),"N/A")</f>
        <v>NOT PUBLISHED</v>
      </c>
      <c r="CD99" s="86" t="str">
        <f>IFERROR(VLOOKUP($B99,'LOD 300 - COLO1'!$B:BX,75,FALSE),"N/A")</f>
        <v>NOT PUBLISHED</v>
      </c>
      <c r="CE99" s="86" t="str">
        <f>IFERROR(VLOOKUP($B99,'LOD 300 - COLO1'!$B:CA,78,FALSE),"N/A")</f>
        <v>NOT PUBLISHED</v>
      </c>
      <c r="CF99" s="87" t="str">
        <f>IFERROR(VLOOKUP($B99,'LOD 300 - COLO1'!$B:CD,81,FALSE),"N/A")</f>
        <v>NOT PUBLISHED</v>
      </c>
      <c r="CG99" s="86" t="str">
        <f>IFERROR(VLOOKUP($B99,'LOD 300 - COLO1'!$B:CG,84,FALSE),"N/A")</f>
        <v>NOT PUBLISHED</v>
      </c>
      <c r="CH99" s="87" t="str">
        <f>IFERROR(VLOOKUP($B99,'LOD 300 - COLO1'!$B:CJ,87,FALSE),"N/A")</f>
        <v>NOT PUBLISHED</v>
      </c>
      <c r="CI99" s="88" t="str">
        <f>IFERROR(VLOOKUP($B99,'LOD 300 - COLO1'!$B:CM,90,FALSE),"N/A")</f>
        <v>NOT PUBLISHED</v>
      </c>
      <c r="CJ99" s="88" t="str">
        <f>IFERROR(VLOOKUP($B99,'LOD 300 - COLO1'!$B:CP,93,FALSE),"N/A")</f>
        <v>NOT PUBLISHED</v>
      </c>
      <c r="CK99" s="88" t="str">
        <f>IFERROR(VLOOKUP($B99,'LOD 300 - COLO1'!$B:CS,96,FALSE),"N/A")</f>
        <v>NOT PUBLISHED</v>
      </c>
      <c r="CL99" s="88" t="str">
        <f>IFERROR(VLOOKUP($B99,'LOD 300 - COLO1'!$B:CV,99,FALSE),"N/A")</f>
        <v>NOT PUBLISHED</v>
      </c>
      <c r="CM99" s="88" t="str">
        <f>IFERROR(VLOOKUP($B99,'LOD 300 - COLO1'!$B:CY,102,FALSE),"N/A")</f>
        <v>NOT PUBLISHED</v>
      </c>
      <c r="CN99" s="89" t="str">
        <f>IFERROR(VLOOKUP($B99,'LOD 300 - COLO1'!$B:DB,105,FALSE),"N/A")</f>
        <v>NOT PUBLISHED</v>
      </c>
      <c r="CO99" s="87" t="str">
        <f>IFERROR(VLOOKUP($B99,'LOD 300 - COLO1'!$B:EE,108,FALSE),"N/A")</f>
        <v>NOT PUBLISHED</v>
      </c>
      <c r="CP99" s="87" t="str">
        <f>IFERROR(VLOOKUP($B99,'LOD 300 - COLO1'!$B:EH,111,FALSE),"N/A")</f>
        <v>NOT PUBLISHED</v>
      </c>
      <c r="CQ99" s="87" t="str">
        <f>IFERROR(VLOOKUP($B99,'LOD 300 - COLO1'!$B:EK,114,FALSE),"N/A")</f>
        <v>NOT PUBLISHED</v>
      </c>
      <c r="CR99" s="87" t="str">
        <f>IFERROR(VLOOKUP($B99,'LOD 300 - COLO1'!$B:EN,117,FALSE),"N/A")</f>
        <v>NOT PUBLISHED</v>
      </c>
      <c r="CS99" s="87" t="str">
        <f>IFERROR(VLOOKUP($B99,'LOD 300 - COLO1'!$B:EQ,120,FALSE),"N/A")</f>
        <v>NOT PUBLISHED</v>
      </c>
      <c r="CT99" s="87" t="str">
        <f>IFERROR(VLOOKUP($B99,'LOD 300 - COLO1'!$B:ET,123,FALSE),"N/A")</f>
        <v>NOT PUBLISHED</v>
      </c>
      <c r="CU99" s="87" t="str">
        <f>IFERROR(VLOOKUP($B99,'LOD 300 - COLO1'!$B:EW,126,FALSE),"N/A")</f>
        <v>NOT PUBLISHED</v>
      </c>
      <c r="CV99" s="87" t="str">
        <f>IFERROR(VLOOKUP($B99,'LOD 300 - COLO1'!$B:EZ,129,FALSE),"N/A")</f>
        <v>NOT PUBLISHED</v>
      </c>
      <c r="CW99" s="135"/>
      <c r="CX99" s="96" t="str">
        <f>IFERROR(__xludf.DUMMYFUNCTION("IFERROR(
  MAX(FILTER(BK99:CV99, ISNUMBER(BK99:CV99))),
  CV99
)"),"NOT PUBLISHED")</f>
        <v>NOT PUBLISHED</v>
      </c>
      <c r="CY99" s="104" t="str">
        <f>IFERROR(VLOOKUP($B99,'LOD 300 - COLO2'!$B:S,18,FALSE),"N/A")</f>
        <v>NOT PUBLISHED</v>
      </c>
      <c r="CZ99" s="117" t="str">
        <f>IFERROR(VLOOKUP($B99,'LOD 300 - COLO2'!$B:V,21,FALSE),"N/A")</f>
        <v>NOT PUBLISHED</v>
      </c>
      <c r="DA99" s="117" t="str">
        <f>IFERROR(VLOOKUP($B99,'LOD 300 - COLO2'!$B:Y,24,FALSE),"N/A")</f>
        <v>NOT PUBLISHED</v>
      </c>
      <c r="DB99" s="117" t="str">
        <f>IFERROR(VLOOKUP($B99,'LOD 300 - COLO2'!$B:AB,27,FALSE),"N/A")</f>
        <v>NOT PUBLISHED</v>
      </c>
      <c r="DC99" s="92" t="str">
        <f>IFERROR(VLOOKUP($B99,'LOD 300 - COLO2'!$B:AE,30,FALSE),"N/A")</f>
        <v>NOT PUBLISHED</v>
      </c>
      <c r="DD99" s="120" t="str">
        <f>IFERROR(VLOOKUP($B99,'LOD 300 - COLO2'!$B:AH,33,FALSE),"N/A")</f>
        <v>NOT PUBLISHED</v>
      </c>
      <c r="DE99" s="117" t="str">
        <f>IFERROR(VLOOKUP($B99,'LOD 300 - COLO2'!$B:AK,36,FALSE),"N/A")</f>
        <v>NOT PUBLISHED</v>
      </c>
      <c r="DF99" s="117" t="str">
        <f>IFERROR(VLOOKUP($B99,'LOD 300 - COLO2'!$B:AN,39,FALSE),"N/A")</f>
        <v>NOT PUBLISHED</v>
      </c>
      <c r="DG99" s="119" t="str">
        <f>IFERROR(VLOOKUP($B99,'LOD 300 - COLO2'!$B:AQ,42,FALSE),"N/A")</f>
        <v>NOT PUBLISHED</v>
      </c>
      <c r="DH99" s="87" t="str">
        <f>IFERROR(VLOOKUP($B99,'LOD 300 - COLO2'!$B:AT,45,FALSE),"N/A")</f>
        <v>NOT PUBLISHED</v>
      </c>
      <c r="DI99" s="94" t="str">
        <f>IFERROR(VLOOKUP($B99,'LOD 300 - COLO2'!$B:AW,48,FALSE),"N/A")</f>
        <v>NOT PUBLISHED</v>
      </c>
      <c r="DJ99" s="95" t="str">
        <f>IFERROR(VLOOKUP($B99,'LOD 300 - COLO2'!$B:AZ,51,FALSE),"N/A")</f>
        <v>NOT PUBLISHED</v>
      </c>
      <c r="DK99" s="86" t="str">
        <f>IFERROR(VLOOKUP($B99,'LOD 300 - COLO2'!$B:BC,54,FALSE),"N/A")</f>
        <v>NOT PUBLISHED</v>
      </c>
      <c r="DL99" s="86" t="str">
        <f>IFERROR(VLOOKUP($B99,'LOD 300 - COLO2'!$B:BF,57,FALSE),"N/A")</f>
        <v>NOT PUBLISHED</v>
      </c>
      <c r="DM99" s="86" t="str">
        <f>IFERROR(VLOOKUP($B99,'LOD 300 - COLO2'!$B:BI,60,FALSE),"N/A")</f>
        <v>NOT PUBLISHED</v>
      </c>
      <c r="DN99" s="86" t="str">
        <f>IFERROR(VLOOKUP($B99,'LOD 300 - COLO2'!$B:BL,63,FALSE),"N/A")</f>
        <v>NOT PUBLISHED</v>
      </c>
      <c r="DO99" s="86" t="str">
        <f>IFERROR(VLOOKUP($B99,'LOD 300 - COLO2'!$B:BO,66,FALSE),"N/A")</f>
        <v>NOT PUBLISHED</v>
      </c>
      <c r="DP99" s="87" t="str">
        <f>IFERROR(VLOOKUP($B99,'LOD 300 - COLO2'!$B:BR,69,FALSE),"N/A")</f>
        <v>NOT PUBLISHED</v>
      </c>
      <c r="DQ99" s="87" t="str">
        <f>IFERROR(VLOOKUP($B99,'LOD 300 - COLO2'!$B:BU,72,FALSE),"N/A")</f>
        <v>NOT PUBLISHED</v>
      </c>
      <c r="DR99" s="87" t="str">
        <f>IFERROR(VLOOKUP($B99,'LOD 300 - COLO2'!$B:BX,75,FALSE),"N/A")</f>
        <v>NOT PUBLISHED</v>
      </c>
      <c r="DS99" s="98" t="str">
        <f>IFERROR(VLOOKUP($B99,'LOD 300 - COLO2'!$B:CA,78,FALSE),"N/A")</f>
        <v>NOT PUBLISHED</v>
      </c>
      <c r="DT99" s="98" t="str">
        <f>IFERROR(VLOOKUP($B99,'LOD 300 - COLO2'!$B:CD,81,FALSE),"N/A")</f>
        <v>NOT PUBLISHED</v>
      </c>
      <c r="DU99" s="98" t="str">
        <f>IFERROR(VLOOKUP($B99,'LOD 300 - COLO2'!$B:CG,84,FALSE),"N/A")</f>
        <v>NOT PUBLISHED</v>
      </c>
      <c r="DV99" s="98" t="str">
        <f>IFERROR(VLOOKUP($B99,'LOD 300 - COLO2'!$B:CJ,87,FALSE),"N/A")</f>
        <v>NOT PUBLISHED</v>
      </c>
      <c r="DW99" s="98" t="str">
        <f>IFERROR(VLOOKUP($B99,'LOD 300 - COLO2'!$B:CM,90,FALSE),"N/A")</f>
        <v>NOT PUBLISHED</v>
      </c>
      <c r="DX99" s="98" t="str">
        <f>IFERROR(VLOOKUP($B99,'LOD 300 - COLO2'!$B:CP,93,FALSE),"N/A")</f>
        <v>NOT PUBLISHED</v>
      </c>
      <c r="DY99" s="87" t="str">
        <f>IFERROR(VLOOKUP($B99,'LOD 300 - COLO2'!$B:CS,96,FALSE),"N/A")</f>
        <v>NOT PUBLISHED</v>
      </c>
      <c r="DZ99" s="87" t="str">
        <f>IFERROR(VLOOKUP($B99,'LOD 300 - COLO2'!$B:CV,99,FALSE),"N/A")</f>
        <v>NOT PUBLISHED</v>
      </c>
      <c r="EA99" s="87" t="str">
        <f>IFERROR(VLOOKUP($B99,'LOD 300 - COLO2'!$B:DB,105,FALSE),"N/A")</f>
        <v>NOT PUBLISHED</v>
      </c>
      <c r="EB99" s="87" t="str">
        <f>IFERROR(VLOOKUP($B99,'LOD 300 - COLO2'!$B:DB,105,FALSE),"N/A")</f>
        <v>NOT PUBLISHED</v>
      </c>
      <c r="EC99" s="87" t="str">
        <f>IFERROR(VLOOKUP($B99,'LOD 300 - COLO2'!$B:DE,108,FALSE),"N/A")</f>
        <v>NOT PUBLISHED</v>
      </c>
      <c r="ED99" s="87" t="str">
        <f>IFERROR(VLOOKUP($B99,'LOD 300 - COLO2'!$B:DH,111,FALSE),"N/A")</f>
        <v>NOT PUBLISHED</v>
      </c>
      <c r="EE99" s="87" t="str">
        <f>IFERROR(VLOOKUP($B99,'LOD 300 - COLO2'!$B:DK,114,FALSE),"N/A")</f>
        <v>NOT PUBLISHED</v>
      </c>
      <c r="EF99" s="87" t="str">
        <f>IFERROR(VLOOKUP($B99,'LOD 300 - COLO2'!$B:DN,117,FALSE),"N/A")</f>
        <v>NOT PUBLISHED</v>
      </c>
      <c r="EG99" s="135"/>
      <c r="EH99" s="99" t="str">
        <f>IFERROR(__xludf.DUMMYFUNCTION("IFERROR(
  MAX(FILTER(CZ99:EF99, ISNUMBER(CZ99:EF99))),
  EF99
)"),"NOT PUBLISHED")</f>
        <v>NOT PUBLISHED</v>
      </c>
      <c r="EI99" s="100" t="str">
        <f>IFERROR(VLOOKUP($B99,'LOD 300 - COLO3'!$B:R,17,FALSE),"N/A")</f>
        <v>NOT PUBLISHED</v>
      </c>
      <c r="EJ99" s="127" t="str">
        <f>IFERROR(VLOOKUP($B99,'LOD 300 - COLO3'!$B:U,20,FALSE),"N/A")</f>
        <v>NOT PUBLISHED</v>
      </c>
      <c r="EK99" s="127" t="str">
        <f>IFERROR(VLOOKUP($B99,'LOD 300 - COLO3'!$B:X,23,FALSE),"N/A")</f>
        <v>NOT PUBLISHED</v>
      </c>
      <c r="EL99" s="127" t="str">
        <f>IFERROR(VLOOKUP($B99,'LOD 300 - COLO3'!$B:AA,26,FALSE),"N/A")</f>
        <v>NOT PUBLISHED</v>
      </c>
      <c r="EM99" s="127" t="str">
        <f>IFERROR(VLOOKUP($B99,'LOD 300 - COLO3'!$B:AD,29,FALSE),"N/A")</f>
        <v>NOT PUBLISHED</v>
      </c>
      <c r="EN99" s="127" t="str">
        <f>IFERROR(VLOOKUP($B99,'LOD 300 - COLO3'!$B:AG,32,FALSE),"N/A")</f>
        <v>NOT PUBLISHED</v>
      </c>
      <c r="EO99" s="127" t="str">
        <f>IFERROR(VLOOKUP($B99,'LOD 300 - COLO3'!$B:AJ,35,FALSE),"N/A")</f>
        <v>NOT PUBLISHED</v>
      </c>
      <c r="EP99" s="100" t="str">
        <f>IFERROR(VLOOKUP($B99,'LOD 300 - COLO3'!$B:AM,38,FALSE),"N/A")</f>
        <v>NOT PUBLISHED</v>
      </c>
      <c r="EQ99" s="100" t="str">
        <f>IFERROR(VLOOKUP($B99,'LOD 300 - COLO3'!$B:AP,41,FALSE),"N/A")</f>
        <v>NOT PUBLISHED</v>
      </c>
      <c r="ER99" s="100" t="str">
        <f>IFERROR(VLOOKUP($B99,'LOD 300 - COLO3'!$B:AS,44,FALSE),"N/A")</f>
        <v>NOT PUBLISHED</v>
      </c>
      <c r="ES99" s="100" t="str">
        <f>IFERROR(VLOOKUP($B99,'LOD 300 - COLO3'!$B:AV,47,FALSE),"N/A")</f>
        <v>NOT PUBLISHED</v>
      </c>
      <c r="ET99" s="100" t="str">
        <f>IFERROR(VLOOKUP($B99,'LOD 300 - COLO3'!$B:AY,50,FALSE),"N/A")</f>
        <v>NOT PUBLISHED</v>
      </c>
      <c r="EU99" s="100" t="str">
        <f>IFERROR(VLOOKUP($B99,'LOD 300 - COLO3'!$B:BB,53,FALSE),"N/A")</f>
        <v>NOT PUBLISHED</v>
      </c>
      <c r="EV99" s="100" t="str">
        <f>IFERROR(VLOOKUP($B99,'LOD 300 - COLO3'!$B:BE,56,FALSE),"N/A")</f>
        <v>NOT PUBLISHED</v>
      </c>
      <c r="EW99" s="100" t="str">
        <f>IFERROR(VLOOKUP($B99,'LOD 300 - COLO3'!$B:BL,59,FALSE),"N/A")</f>
        <v>NOT PUBLISHED</v>
      </c>
      <c r="EX99" s="136"/>
      <c r="EY99" s="103" t="str">
        <f>IFERROR(__xludf.DUMMYFUNCTION("IFERROR(
  MAX(FILTER(EI99:EW99, ISNUMBER(EI99:EW99))),
  EW99
)"),"NOT PUBLISHED")</f>
        <v>NOT PUBLISHED</v>
      </c>
      <c r="EZ99" s="104" t="str">
        <f>IFERROR(VLOOKUP($B99,'LOD 300 - COLO4'!$B:BT,17,FALSE),"N/A")</f>
        <v>NOT PUBLISHED</v>
      </c>
      <c r="FA99" s="103" t="str">
        <f>IFERROR(__xludf.DUMMYFUNCTION("IFERROR(
  MAX(FILTER(EZ99, ISNUMBER(EZ99))),
  EZ99
)"),"NOT PUBLISHED")</f>
        <v>NOT PUBLISHED</v>
      </c>
      <c r="FB99" s="121" t="str">
        <f>IFERROR(VLOOKUP($B99,'LOD 300 - SITE'!$B:S,18,FALSE),"N/A")</f>
        <v>N/A</v>
      </c>
      <c r="FC99" s="122" t="str">
        <f>IFERROR(VLOOKUP($B99,'LOD 300 - SITE'!$B:V,21,FALSE),"N/A")</f>
        <v>N/A</v>
      </c>
      <c r="FD99" s="122" t="str">
        <f>IFERROR(VLOOKUP($B99,'LOD 300 - SITE'!$B:Y,24,FALSE),"N/A")</f>
        <v>N/A</v>
      </c>
      <c r="FE99" s="122" t="str">
        <f>IFERROR(VLOOKUP($B99,'LOD 300 - SITE'!$B:AB,27,FALSE),"N/A")</f>
        <v>N/A</v>
      </c>
      <c r="FF99" s="122" t="str">
        <f>IFERROR(VLOOKUP($B99,'LOD 300 - SITE'!$B:AE,30,FALSE),"N/A")</f>
        <v>N/A</v>
      </c>
      <c r="FG99" s="122" t="str">
        <f>IFERROR(VLOOKUP($B99,'LOD 300 - SITE'!$B:AH,33,FALSE),"N/A")</f>
        <v>N/A</v>
      </c>
      <c r="FH99" s="122" t="str">
        <f>IFERROR(VLOOKUP($B99,'LOD 300 - SITE'!$B:AK,36,FALSE),"N/A")</f>
        <v>N/A</v>
      </c>
      <c r="FI99" s="122" t="str">
        <f>IFERROR(VLOOKUP($B99,'LOD 300 - SITE'!$B:AN,39,FALSE),"N/A")</f>
        <v>N/A</v>
      </c>
      <c r="FJ99" s="122" t="str">
        <f>IFERROR(VLOOKUP($B99,'LOD 300 - SITE'!$B:AQ,42,FALSE),"N/A")</f>
        <v>N/A</v>
      </c>
      <c r="FK99" s="122" t="str">
        <f>IFERROR(VLOOKUP($B99,'LOD 300 - SITE'!$B:AT,45,FALSE),"N/A")</f>
        <v>N/A</v>
      </c>
      <c r="FL99" s="123" t="str">
        <f>IFERROR(VLOOKUP($B99,'LOD 300 - SITE'!$B:AW,48,FALSE),"N/A")</f>
        <v>N/A</v>
      </c>
      <c r="FM99" s="87" t="str">
        <f>IFERROR(VLOOKUP($B99,'LOD 300 - SITE'!$B:AZ,51,FALSE),"N/A")</f>
        <v>N/A</v>
      </c>
      <c r="FN99" s="94" t="str">
        <f>IFERROR(VLOOKUP($B99,'LOD 300 - SITE'!$B:BC,54,FALSE),"N/A")</f>
        <v>N/A</v>
      </c>
      <c r="FO99" s="95" t="str">
        <f>IFERROR(VLOOKUP($B99,'LOD 300 - SITE'!$B:BF,57,FALSE),"N/A")</f>
        <v>N/A</v>
      </c>
      <c r="FP99" s="86" t="str">
        <f>IFERROR(VLOOKUP($B99,'LOD 300 - SITE'!$B:BI,60,FALSE),"N/A")</f>
        <v>N/A</v>
      </c>
      <c r="FQ99" s="86" t="str">
        <f>IFERROR(VLOOKUP($B99,'LOD 300 - SITE'!$B:BL,63,FALSE),"N/A")</f>
        <v>N/A</v>
      </c>
      <c r="FR99" s="86" t="str">
        <f>IFERROR(VLOOKUP($B99,'LOD 300 - SITE'!$B:BO,66,FALSE),"N/A")</f>
        <v>N/A</v>
      </c>
      <c r="FS99" s="86" t="str">
        <f>IFERROR(VLOOKUP($B99,'LOD 300 - SITE'!$B:BR,69,FALSE),"N/A")</f>
        <v>N/A</v>
      </c>
      <c r="FT99" s="86" t="str">
        <f>IFERROR(VLOOKUP($B99,'LOD 300 - SITE'!$B:BU,72,FALSE),"N/A")</f>
        <v>N/A</v>
      </c>
      <c r="FU99" s="86" t="str">
        <f>IFERROR(VLOOKUP($B99,'LOD 300 - SITE'!$B:BX,75,FALSE),"N/A")</f>
        <v>N/A</v>
      </c>
      <c r="FV99" s="86" t="str">
        <f>IFERROR(VLOOKUP($B99,'LOD 300 - SITE'!$B:CA,78,FALSE),"N/A")</f>
        <v>N/A</v>
      </c>
      <c r="FW99" s="87" t="str">
        <f>IFERROR(VLOOKUP($B99,'LOD 300 - SITE'!$B:CD,81,FALSE),"N/A")</f>
        <v>N/A</v>
      </c>
      <c r="FX99" s="108" t="str">
        <f>IFERROR(VLOOKUP($B99,'LOD 300 - SITE'!$B:CG,84,FALSE),"N/A")</f>
        <v>N/A</v>
      </c>
      <c r="FY99" s="108" t="str">
        <f>IFERROR(VLOOKUP($B99,'LOD 300 - SITE'!$B:CJ,87,FALSE),"N/A")</f>
        <v>N/A</v>
      </c>
      <c r="FZ99" s="108" t="str">
        <f>IFERROR(VLOOKUP($B99,'LOD 300 - SITE'!$B:CM,90,FALSE),"N/A")</f>
        <v>N/A</v>
      </c>
      <c r="GA99" s="108" t="str">
        <f>IFERROR(VLOOKUP($B99,'LOD 300 - SITE'!$B:CP,93,FALSE),"N/A")</f>
        <v>N/A</v>
      </c>
      <c r="GB99" s="108" t="str">
        <f>IFERROR(VLOOKUP($B99,'LOD 300 - SITE'!$B:CS,96,FALSE),"N/A")</f>
        <v>N/A</v>
      </c>
      <c r="GC99" s="109" t="str">
        <f>IFERROR(VLOOKUP($B99,'LOD 300 - SITE'!$B:CV,99,FALSE),"N/A")</f>
        <v>N/A</v>
      </c>
      <c r="GD99" s="87" t="str">
        <f>IFERROR(VLOOKUP($B99,'LOD 300 - SITE'!$B:CY,102,FALSE),"N/A")</f>
        <v>N/A</v>
      </c>
      <c r="GE99" s="87" t="str">
        <f>IFERROR(VLOOKUP($B99,'LOD 300 - SITE'!$B:DB,105,FALSE),"N/A")</f>
        <v>N/A</v>
      </c>
      <c r="GF99" s="87" t="str">
        <f>IFERROR(VLOOKUP($B99,'LOD 300 - SITE'!$B:DE,108,FALSE),"N/A")</f>
        <v>N/A</v>
      </c>
      <c r="GG99" s="87" t="str">
        <f>IFERROR(VLOOKUP($B99,'LOD 300 - SITE'!$B:DH,111,FALSE),"N/A")</f>
        <v>N/A</v>
      </c>
      <c r="GH99" s="87" t="str">
        <f>IFERROR(VLOOKUP($B99,'LOD 300 - SITE'!$B:DK,114,FALSE),"N/A")</f>
        <v>N/A</v>
      </c>
      <c r="GI99" s="87" t="str">
        <f>IFERROR(VLOOKUP($B99,'LOD 300 - SITE'!$B:DN,117,FALSE),"N/A")</f>
        <v>N/A</v>
      </c>
      <c r="GJ99" s="87" t="str">
        <f>IFERROR(VLOOKUP($B99,'LOD 300 - SITE'!$B:DQ,120,FALSE),"N/A")</f>
        <v>N/A</v>
      </c>
      <c r="GK99" s="87" t="str">
        <f>IFERROR(VLOOKUP($B99,'LOD 300 - SITE'!$B:DT,123,FALSE),"N/A")</f>
        <v>N/A</v>
      </c>
      <c r="GL99" s="135"/>
      <c r="GM99" s="110" t="str">
        <f>IFERROR(__xludf.DUMMYFUNCTION("IFERROR(
  MAX(FILTER(FB99:GK99, ISNUMBER(FB99:GK99))),
  GK99
)"),"N/A")</f>
        <v>N/A</v>
      </c>
      <c r="GN99" s="68"/>
      <c r="GO99" s="68"/>
      <c r="GP99" s="68"/>
    </row>
    <row r="100" ht="15.0" customHeight="1" outlineLevel="1">
      <c r="A100" s="60">
        <v>103.0</v>
      </c>
      <c r="B100" s="140" t="s">
        <v>306</v>
      </c>
      <c r="C100" s="70" t="s">
        <v>307</v>
      </c>
      <c r="D100" s="71" t="s">
        <v>90</v>
      </c>
      <c r="E100" s="146" t="s">
        <v>308</v>
      </c>
      <c r="F100" s="13">
        <v>1123.0</v>
      </c>
      <c r="G100" s="147" t="s">
        <v>288</v>
      </c>
      <c r="H100" s="150">
        <v>0.0</v>
      </c>
      <c r="I100" s="74" t="str">
        <f>IFERROR(VLOOKUP(C97:C239,'R22 RELATÓRIO ACC'!B:F,5,FALSE),"NOT PUBLISHED")</f>
        <v>NOT PUBLISHED</v>
      </c>
      <c r="J100" s="74" t="str">
        <f>IFERROR(VLOOKUP(C97:C239,'R22 RELATÓRIO ACC'!B:P,15,FALSE),"NOT PUBLISHED")</f>
        <v>NOT PUBLISHED</v>
      </c>
      <c r="K100" s="141" t="str">
        <f>IFERROR(VLOOKUP(B97:B287,'RELATÓRIO ACC'!B:F,5,FALSE),"NOT PUBLISHED")</f>
        <v>NOT PUBLISHED</v>
      </c>
      <c r="L100" s="142" t="str">
        <f>IFERROR(VLOOKUP(B97:B287,'RELATÓRIO ACC'!B:P,15,FALSE),"NOT PUBLISHED")</f>
        <v>NOT PUBLISHED</v>
      </c>
      <c r="M100" s="76" t="str">
        <f>IF(OR($D100="UTLS",$D100="GUAR",$D100="STIR",$D100="PUMP",$D100="SITE"),
   VLOOKUP($B100,'LOD 300 - SITE'!B:M,12,FALSE),
   VLOOKUP($B100,'LOD 300 - ADMN'!B:M,12,FALSE)
)</f>
        <v>NOT PUBLISHED</v>
      </c>
      <c r="N100" s="76" t="str">
        <f>IF(OR($D100="UTLS",$D100="GUAR",$D100="STIR",$D100="PUMP",$D100="SITE"),
   VLOOKUP($B100,'LOD 300 - SITE'!B:N,13,FALSE),
   VLOOKUP($B100,'LOD 300 - ADMN'!B:N,13,FALSE)
)</f>
        <v>NOT PUBLISHED</v>
      </c>
      <c r="O100" s="78" t="str">
        <f>IF(OR($D100="UTLS",$D100="GUAR",$D100="STIR",$D100="PUMP",$D100="SITE"),
   VLOOKUP($B100,'LOD 300 - SITE'!B:O,14,FALSE),
   VLOOKUP($B100,'LOD 300 - ADMN'!B:O,14,FALSE)
)</f>
        <v/>
      </c>
      <c r="P100" s="79" t="str">
        <f>IF(OR($D100="C345",$D100="C12A",$D100="DATA"),
   VLOOKUP($B100,'LOD 300 - COLO3'!B:M,12,FALSE),"N/A")</f>
        <v>N/A</v>
      </c>
      <c r="Q100" s="76" t="str">
        <f>IF(OR($D100="C345",$D100="C12A",$D100="DATA"),
   VLOOKUP($B100,'LOD 300 - COLO3'!B:N,13,FALSE),"N/A")</f>
        <v>N/A</v>
      </c>
      <c r="R100" s="76" t="str">
        <f>IF(OR($D100="C345",$D100="C12A",$D100="DATA"),
   VLOOKUP($B100,'LOD 300 - COLO3'!B:O,14,FALSE),"N/A")</f>
        <v>N/A</v>
      </c>
      <c r="S100" s="79" t="str">
        <f>IF(OR($D100="C345",$D100="C12A",$D100="DATA"),
   VLOOKUP($B100,'LOD 300 - COLO4'!B:M,12,FALSE),"N/A")</f>
        <v>N/A</v>
      </c>
      <c r="T100" s="76" t="str">
        <f>IF(OR($D100="C345",$D100="C12A",$D100="DATA"),
   VLOOKUP($B100,'LOD 300 - COLO4'!B:T,13,FALSE),"N/A")</f>
        <v>N/A</v>
      </c>
      <c r="U100" s="76" t="str">
        <f>IF(OR($D100="C345",$D100="C12A",$D100="DATA"),
   VLOOKUP($B100,'LOD 300 - COLO4'!B:U,17,FALSE),"N/A")</f>
        <v>N/A</v>
      </c>
      <c r="V100" s="126"/>
      <c r="W100" s="144" t="str">
        <f>IFERROR(VLOOKUP($B100,'LOD 300 - ADMN'!$B:S,18,FALSE),"N/A")</f>
        <v>N/A</v>
      </c>
      <c r="X100" s="122" t="str">
        <f>IFERROR(VLOOKUP($B100,'LOD 300 - ADMN'!$B:V,21,FALSE),"N/A")</f>
        <v>N/A</v>
      </c>
      <c r="Y100" s="122" t="str">
        <f>IFERROR(VLOOKUP($B100,'LOD 300 - ADMN'!$B:Y,24,FALSE),"N/A")</f>
        <v>N/A</v>
      </c>
      <c r="Z100" s="122" t="str">
        <f>IFERROR(VLOOKUP($B100,'LOD 300 - ADMN'!$B:AB,27,FALSE),"N/A")</f>
        <v>N/A</v>
      </c>
      <c r="AA100" s="122" t="str">
        <f>IFERROR(VLOOKUP($B100,'LOD 300 - ADMN'!$B:AE,30,FALSE),"N/A")</f>
        <v>N/A</v>
      </c>
      <c r="AB100" s="145" t="str">
        <f>IFERROR(VLOOKUP($B100,'LOD 300 - ADMN'!$B:AH,33,FALSE),"N/A")</f>
        <v>N/A</v>
      </c>
      <c r="AC100" s="145" t="str">
        <f>IFERROR(VLOOKUP($B100,'LOD 300 - ADMN'!$B:AK,36,FALSE),"N/A")</f>
        <v>N/A</v>
      </c>
      <c r="AD100" s="122" t="str">
        <f>IFERROR(VLOOKUP($B100,'LOD 300 - ADMN'!$B:AN,39,FALSE),"N/A")</f>
        <v>N/A</v>
      </c>
      <c r="AE100" s="122" t="str">
        <f>IFERROR(VLOOKUP($B100,'LOD 300 - ADMN'!$B:AQ,42,FALSE),"N/A")</f>
        <v>N/A</v>
      </c>
      <c r="AF100" s="122" t="str">
        <f>IFERROR(VLOOKUP($B100,'LOD 300 - ADMN'!$B:AT,45,FALSE),"N/A")</f>
        <v>N/A</v>
      </c>
      <c r="AG100" s="122" t="str">
        <f>IFERROR(VLOOKUP($B100,'LOD 300 - ADMN'!$B:AW,48,FALSE),"N/A")</f>
        <v>N/A</v>
      </c>
      <c r="AH100" s="122" t="str">
        <f>IFERROR(VLOOKUP($B100,'LOD 300 - ADMN'!$B:AZ,51,FALSE),"N/A")</f>
        <v>N/A</v>
      </c>
      <c r="AI100" s="122" t="str">
        <f>IFERROR(VLOOKUP($B100,'LOD 300 - ADMN'!$B:BC,54,FALSE),"N/A")</f>
        <v>N/A</v>
      </c>
      <c r="AJ100" s="87" t="str">
        <f>IFERROR(VLOOKUP($B100,'LOD 300 - ADMN'!$B:BF,57,FALSE),"N/A")</f>
        <v>N/A</v>
      </c>
      <c r="AK100" s="87" t="str">
        <f>IFERROR(VLOOKUP($B100,'LOD 300 - ADMN'!$B:EP,60,FALSE),"N/A")</f>
        <v>N/A</v>
      </c>
      <c r="AL100" s="87" t="str">
        <f>IFERROR(VLOOKUP($B100,'LOD 300 - ADMN'!$B:EQ,63,FALSE),"N/A")</f>
        <v>N/A</v>
      </c>
      <c r="AM100" s="87" t="str">
        <f>IFERROR(VLOOKUP($B100,'LOD 300 - ADMN'!$B:BO,66,FALSE),"N/A")</f>
        <v>N/A</v>
      </c>
      <c r="AN100" s="87" t="str">
        <f>IFERROR(VLOOKUP($B100,'LOD 300 - ADMN'!$B:BR,69,FALSE),"N/A")</f>
        <v>N/A</v>
      </c>
      <c r="AO100" s="87" t="str">
        <f>IFERROR(VLOOKUP($B100,'LOD 300 - ADMN'!$B:BU,72,FALSE),"N/A")</f>
        <v>N/A</v>
      </c>
      <c r="AP100" s="87" t="str">
        <f>IFERROR(VLOOKUP($B100,'LOD 300 - ADMN'!$B:BX,75,FALSE),"N/A")</f>
        <v>N/A</v>
      </c>
      <c r="AQ100" s="87" t="str">
        <f>IFERROR(VLOOKUP($B100,'LOD 300 - ADMN'!$B:CA,78,FALSE),"N/A")</f>
        <v>N/A</v>
      </c>
      <c r="AR100" s="87" t="str">
        <f>IFERROR(VLOOKUP($B100,'LOD 300 - ADMN'!$B:CD,81,FALSE),"N/A")</f>
        <v>N/A</v>
      </c>
      <c r="AS100" s="87" t="str">
        <f>IFERROR(VLOOKUP($B100,'LOD 300 - ADMN'!$B:CG,84,FALSE),"N/A")</f>
        <v>N/A</v>
      </c>
      <c r="AT100" s="87" t="str">
        <f>IFERROR(VLOOKUP($B100,'LOD 300 - ADMN'!$B:CJ,87,FALSE),"N/A")</f>
        <v>N/A</v>
      </c>
      <c r="AU100" s="88" t="str">
        <f>IFERROR(VLOOKUP($B100,'LOD 300 - ADMN'!$B:CM,90,FALSE),"N/A")</f>
        <v>N/A</v>
      </c>
      <c r="AV100" s="88" t="str">
        <f>IFERROR(VLOOKUP($B100,'LOD 300 - ADMN'!$B:CP,93,FALSE),"N/A")</f>
        <v>N/A</v>
      </c>
      <c r="AW100" s="88" t="str">
        <f>IFERROR(VLOOKUP($B100,'LOD 300 - ADMN'!$B:CS,96,FALSE),"N/A")</f>
        <v>N/A</v>
      </c>
      <c r="AX100" s="88" t="str">
        <f>IFERROR(VLOOKUP($B100,'LOD 300 - ADMN'!$B:CV,99,FALSE),"N/A")</f>
        <v>N/A</v>
      </c>
      <c r="AY100" s="88" t="str">
        <f>IFERROR(VLOOKUP($B100,'LOD 300 - ADMN'!$B:CY,102,FALSE),"N/A")</f>
        <v>N/A</v>
      </c>
      <c r="AZ100" s="88" t="str">
        <f>IFERROR(VLOOKUP($B100,'LOD 300 - ADMN'!$B:DB,105,FALSE),"N/A")</f>
        <v>N/A</v>
      </c>
      <c r="BA100" s="87" t="str">
        <f>IFERROR(VLOOKUP($B100,'LOD 300 - ADMN'!$B:DE,108,FALSE),"N/A")</f>
        <v>N/A</v>
      </c>
      <c r="BB100" s="87" t="str">
        <f>IFERROR(VLOOKUP($B100,'LOD 300 - ADMN'!$B:DH,111,FALSE),"N/A")</f>
        <v>N/A</v>
      </c>
      <c r="BC100" s="87" t="str">
        <f>IFERROR(VLOOKUP($B100,'LOD 300 - ADMN'!$B:DK,114,FALSE),"N/A")</f>
        <v>N/A</v>
      </c>
      <c r="BD100" s="87" t="str">
        <f>IFERROR(VLOOKUP($B100,'LOD 300 - ADMN'!$B:DN,117,FALSE),"N/A")</f>
        <v>N/A</v>
      </c>
      <c r="BE100" s="87" t="str">
        <f>IFERROR(VLOOKUP($B100,'LOD 300 - ADMN'!$B:DQ,120,FALSE),"N/A")</f>
        <v>N/A</v>
      </c>
      <c r="BF100" s="87" t="str">
        <f>IFERROR(VLOOKUP($B100,'LOD 300 - ADMN'!$B:DT,123,FALSE),"N/A")</f>
        <v>N/A</v>
      </c>
      <c r="BG100" s="87" t="str">
        <f>IFERROR(VLOOKUP($B100,'LOD 300 - ADMN'!$B:DW,126,FALSE),"N/A")</f>
        <v>N/A</v>
      </c>
      <c r="BH100" s="87" t="str">
        <f>IFERROR(VLOOKUP($B100,'LOD 300 - ADMN'!$B:DZ,129,FALSE),"N/A")</f>
        <v>N/A</v>
      </c>
      <c r="BI100" s="134"/>
      <c r="BJ100" s="90" t="str">
        <f>IFERROR(__xludf.DUMMYFUNCTION("IFERROR(
  MAX(FILTER(X100:BH100, ISNUMBER(X100:BH100))),
  BH100
)"),"N/A")</f>
        <v>N/A</v>
      </c>
      <c r="BK100" s="91" t="str">
        <f>IFERROR(VLOOKUP($B100,'LOD 300 - COLO1'!$B:S,18,FALSE),"N/A")</f>
        <v>N/A</v>
      </c>
      <c r="BL100" s="92" t="str">
        <f>IFERROR(VLOOKUP($B100,'LOD 300 - COLO1'!$B:V,21,FALSE),"N/A")</f>
        <v>N/A</v>
      </c>
      <c r="BM100" s="92" t="str">
        <f>IFERROR(VLOOKUP($B100,'LOD 300 - COLO1'!$B:Y,24,FALSE),"N/A")</f>
        <v>N/A</v>
      </c>
      <c r="BN100" s="92" t="str">
        <f>IFERROR(VLOOKUP($B100,'LOD 300 - COLO1'!$B:AB,27,FALSE),"N/A")</f>
        <v>N/A</v>
      </c>
      <c r="BO100" s="92" t="str">
        <f>IFERROR(VLOOKUP($B100,'LOD 300 - COLO1'!$B:AE,30,FALSE),"N/A")</f>
        <v>N/A</v>
      </c>
      <c r="BP100" s="92" t="str">
        <f>IFERROR(VLOOKUP($B100,'LOD 300 - COLO1'!$B:AH,33,FALSE),"N/A")</f>
        <v>N/A</v>
      </c>
      <c r="BQ100" s="92" t="str">
        <f>IFERROR(VLOOKUP($B100,'LOD 300 - COLO1'!$B:AK,36,FALSE),"N/A")</f>
        <v>N/A</v>
      </c>
      <c r="BR100" s="92" t="str">
        <f>IFERROR(VLOOKUP($B100,'LOD 300 - COLO1'!$B:AN,39,FALSE),"N/A")</f>
        <v>N/A</v>
      </c>
      <c r="BS100" s="92" t="str">
        <f>IFERROR(VLOOKUP($B100,'LOD 300 - COLO1'!$B:AQ,42,FALSE),"N/A")</f>
        <v>N/A</v>
      </c>
      <c r="BT100" s="92" t="str">
        <f>IFERROR(VLOOKUP($B100,'LOD 300 - COLO1'!$B:AT,45,FALSE),"N/A")</f>
        <v>N/A</v>
      </c>
      <c r="BU100" s="92" t="str">
        <f>IFERROR(VLOOKUP($B100,'LOD 300 - COLO1'!$B:AW,48,FALSE),"N/A")</f>
        <v>N/A</v>
      </c>
      <c r="BV100" s="92" t="str">
        <f>IFERROR(VLOOKUP($B100,'LOD 300 - COLO1'!$B:AZ,51,FALSE),"N/A")</f>
        <v>N/A</v>
      </c>
      <c r="BW100" s="92" t="str">
        <f>IFERROR(VLOOKUP($B100,'LOD 300 - COLO1'!$B:BC,54,FALSE),"N/A")</f>
        <v>N/A</v>
      </c>
      <c r="BX100" s="94" t="str">
        <f>IFERROR(VLOOKUP($B100,'LOD 300 - COLO1'!$B:BF,57,FALSE),"N/A")</f>
        <v>N/A</v>
      </c>
      <c r="BY100" s="94" t="str">
        <f>IFERROR(VLOOKUP($B100,'LOD 300 - COLO1'!$B:BI,60,FALSE),"N/A")</f>
        <v>N/A</v>
      </c>
      <c r="BZ100" s="95" t="str">
        <f>IFERROR(VLOOKUP($B100,'LOD 300 - COLO1'!$B:BL,63,FALSE),"N/A")</f>
        <v>N/A</v>
      </c>
      <c r="CA100" s="86" t="str">
        <f>IFERROR(VLOOKUP($B100,'LOD 300 - COLO1'!$B:BO,66,FALSE),"N/A")</f>
        <v>N/A</v>
      </c>
      <c r="CB100" s="86" t="str">
        <f>IFERROR(VLOOKUP($B100,'LOD 300 - COLO1'!$B:BR,69,FALSE),"N/A")</f>
        <v>N/A</v>
      </c>
      <c r="CC100" s="86" t="str">
        <f>IFERROR(VLOOKUP($B100,'LOD 300 - COLO1'!$B:BU,72,FALSE),"N/A")</f>
        <v>N/A</v>
      </c>
      <c r="CD100" s="86" t="str">
        <f>IFERROR(VLOOKUP($B100,'LOD 300 - COLO1'!$B:BX,75,FALSE),"N/A")</f>
        <v>N/A</v>
      </c>
      <c r="CE100" s="86" t="str">
        <f>IFERROR(VLOOKUP($B100,'LOD 300 - COLO1'!$B:CA,78,FALSE),"N/A")</f>
        <v>N/A</v>
      </c>
      <c r="CF100" s="87" t="str">
        <f>IFERROR(VLOOKUP($B100,'LOD 300 - COLO1'!$B:CD,81,FALSE),"N/A")</f>
        <v>N/A</v>
      </c>
      <c r="CG100" s="86" t="str">
        <f>IFERROR(VLOOKUP($B100,'LOD 300 - COLO1'!$B:CG,84,FALSE),"N/A")</f>
        <v>N/A</v>
      </c>
      <c r="CH100" s="87" t="str">
        <f>IFERROR(VLOOKUP($B100,'LOD 300 - COLO1'!$B:CJ,87,FALSE),"N/A")</f>
        <v>N/A</v>
      </c>
      <c r="CI100" s="88" t="str">
        <f>IFERROR(VLOOKUP($B100,'LOD 300 - COLO1'!$B:CM,90,FALSE),"N/A")</f>
        <v>N/A</v>
      </c>
      <c r="CJ100" s="88" t="str">
        <f>IFERROR(VLOOKUP($B100,'LOD 300 - COLO1'!$B:CP,93,FALSE),"N/A")</f>
        <v>N/A</v>
      </c>
      <c r="CK100" s="88" t="str">
        <f>IFERROR(VLOOKUP($B100,'LOD 300 - COLO1'!$B:CS,96,FALSE),"N/A")</f>
        <v>N/A</v>
      </c>
      <c r="CL100" s="88" t="str">
        <f>IFERROR(VLOOKUP($B100,'LOD 300 - COLO1'!$B:CV,99,FALSE),"N/A")</f>
        <v>N/A</v>
      </c>
      <c r="CM100" s="88" t="str">
        <f>IFERROR(VLOOKUP($B100,'LOD 300 - COLO1'!$B:CY,102,FALSE),"N/A")</f>
        <v>N/A</v>
      </c>
      <c r="CN100" s="89" t="str">
        <f>IFERROR(VLOOKUP($B100,'LOD 300 - COLO1'!$B:DB,105,FALSE),"N/A")</f>
        <v>N/A</v>
      </c>
      <c r="CO100" s="87" t="str">
        <f>IFERROR(VLOOKUP($B100,'LOD 300 - COLO1'!$B:EE,108,FALSE),"N/A")</f>
        <v>N/A</v>
      </c>
      <c r="CP100" s="87" t="str">
        <f>IFERROR(VLOOKUP($B100,'LOD 300 - COLO1'!$B:EH,111,FALSE),"N/A")</f>
        <v>N/A</v>
      </c>
      <c r="CQ100" s="87" t="str">
        <f>IFERROR(VLOOKUP($B100,'LOD 300 - COLO1'!$B:EK,114,FALSE),"N/A")</f>
        <v>N/A</v>
      </c>
      <c r="CR100" s="87" t="str">
        <f>IFERROR(VLOOKUP($B100,'LOD 300 - COLO1'!$B:EN,117,FALSE),"N/A")</f>
        <v>N/A</v>
      </c>
      <c r="CS100" s="87" t="str">
        <f>IFERROR(VLOOKUP($B100,'LOD 300 - COLO1'!$B:EQ,120,FALSE),"N/A")</f>
        <v>N/A</v>
      </c>
      <c r="CT100" s="87" t="str">
        <f>IFERROR(VLOOKUP($B100,'LOD 300 - COLO1'!$B:ET,123,FALSE),"N/A")</f>
        <v>N/A</v>
      </c>
      <c r="CU100" s="87" t="str">
        <f>IFERROR(VLOOKUP($B100,'LOD 300 - COLO1'!$B:EW,126,FALSE),"N/A")</f>
        <v>N/A</v>
      </c>
      <c r="CV100" s="87" t="str">
        <f>IFERROR(VLOOKUP($B100,'LOD 300 - COLO1'!$B:EZ,129,FALSE),"N/A")</f>
        <v>N/A</v>
      </c>
      <c r="CW100" s="135"/>
      <c r="CX100" s="96" t="str">
        <f>IFERROR(__xludf.DUMMYFUNCTION("IFERROR(
  MAX(FILTER(BK100:CV100, ISNUMBER(BK100:CV100))),
  CV100
)"),"N/A")</f>
        <v>N/A</v>
      </c>
      <c r="CY100" s="104" t="str">
        <f>IFERROR(VLOOKUP($B100,'LOD 300 - COLO2'!$B:S,18,FALSE),"N/A")</f>
        <v>N/A</v>
      </c>
      <c r="CZ100" s="117" t="str">
        <f>IFERROR(VLOOKUP($B100,'LOD 300 - COLO2'!$B:V,21,FALSE),"N/A")</f>
        <v>N/A</v>
      </c>
      <c r="DA100" s="117" t="str">
        <f>IFERROR(VLOOKUP($B100,'LOD 300 - COLO2'!$B:Y,24,FALSE),"N/A")</f>
        <v>N/A</v>
      </c>
      <c r="DB100" s="117" t="str">
        <f>IFERROR(VLOOKUP($B100,'LOD 300 - COLO2'!$B:AB,27,FALSE),"N/A")</f>
        <v>N/A</v>
      </c>
      <c r="DC100" s="92" t="str">
        <f>IFERROR(VLOOKUP($B100,'LOD 300 - COLO2'!$B:AE,30,FALSE),"N/A")</f>
        <v>N/A</v>
      </c>
      <c r="DD100" s="120" t="str">
        <f>IFERROR(VLOOKUP($B100,'LOD 300 - COLO2'!$B:AH,33,FALSE),"N/A")</f>
        <v>N/A</v>
      </c>
      <c r="DE100" s="117" t="str">
        <f>IFERROR(VLOOKUP($B100,'LOD 300 - COLO2'!$B:AK,36,FALSE),"N/A")</f>
        <v>N/A</v>
      </c>
      <c r="DF100" s="117" t="str">
        <f>IFERROR(VLOOKUP($B100,'LOD 300 - COLO2'!$B:AN,39,FALSE),"N/A")</f>
        <v>N/A</v>
      </c>
      <c r="DG100" s="119" t="str">
        <f>IFERROR(VLOOKUP($B100,'LOD 300 - COLO2'!$B:AQ,42,FALSE),"N/A")</f>
        <v>N/A</v>
      </c>
      <c r="DH100" s="87" t="str">
        <f>IFERROR(VLOOKUP($B100,'LOD 300 - COLO2'!$B:AT,45,FALSE),"N/A")</f>
        <v>N/A</v>
      </c>
      <c r="DI100" s="94" t="str">
        <f>IFERROR(VLOOKUP($B100,'LOD 300 - COLO2'!$B:AW,48,FALSE),"N/A")</f>
        <v>N/A</v>
      </c>
      <c r="DJ100" s="95" t="str">
        <f>IFERROR(VLOOKUP($B100,'LOD 300 - COLO2'!$B:AZ,51,FALSE),"N/A")</f>
        <v>N/A</v>
      </c>
      <c r="DK100" s="86" t="str">
        <f>IFERROR(VLOOKUP($B100,'LOD 300 - COLO2'!$B:BC,54,FALSE),"N/A")</f>
        <v>N/A</v>
      </c>
      <c r="DL100" s="86" t="str">
        <f>IFERROR(VLOOKUP($B100,'LOD 300 - COLO2'!$B:BF,57,FALSE),"N/A")</f>
        <v>N/A</v>
      </c>
      <c r="DM100" s="86" t="str">
        <f>IFERROR(VLOOKUP($B100,'LOD 300 - COLO2'!$B:BI,60,FALSE),"N/A")</f>
        <v>N/A</v>
      </c>
      <c r="DN100" s="86" t="str">
        <f>IFERROR(VLOOKUP($B100,'LOD 300 - COLO2'!$B:BL,63,FALSE),"N/A")</f>
        <v>N/A</v>
      </c>
      <c r="DO100" s="86" t="str">
        <f>IFERROR(VLOOKUP($B100,'LOD 300 - COLO2'!$B:BO,66,FALSE),"N/A")</f>
        <v>N/A</v>
      </c>
      <c r="DP100" s="87" t="str">
        <f>IFERROR(VLOOKUP($B100,'LOD 300 - COLO2'!$B:BR,69,FALSE),"N/A")</f>
        <v>N/A</v>
      </c>
      <c r="DQ100" s="87" t="str">
        <f>IFERROR(VLOOKUP($B100,'LOD 300 - COLO2'!$B:BU,72,FALSE),"N/A")</f>
        <v>N/A</v>
      </c>
      <c r="DR100" s="87" t="str">
        <f>IFERROR(VLOOKUP($B100,'LOD 300 - COLO2'!$B:BX,75,FALSE),"N/A")</f>
        <v>N/A</v>
      </c>
      <c r="DS100" s="98" t="str">
        <f>IFERROR(VLOOKUP($B100,'LOD 300 - COLO2'!$B:CA,78,FALSE),"N/A")</f>
        <v>N/A</v>
      </c>
      <c r="DT100" s="98" t="str">
        <f>IFERROR(VLOOKUP($B100,'LOD 300 - COLO2'!$B:CD,81,FALSE),"N/A")</f>
        <v>N/A</v>
      </c>
      <c r="DU100" s="98" t="str">
        <f>IFERROR(VLOOKUP($B100,'LOD 300 - COLO2'!$B:CG,84,FALSE),"N/A")</f>
        <v>N/A</v>
      </c>
      <c r="DV100" s="98" t="str">
        <f>IFERROR(VLOOKUP($B100,'LOD 300 - COLO2'!$B:CJ,87,FALSE),"N/A")</f>
        <v>N/A</v>
      </c>
      <c r="DW100" s="98" t="str">
        <f>IFERROR(VLOOKUP($B100,'LOD 300 - COLO2'!$B:CM,90,FALSE),"N/A")</f>
        <v>N/A</v>
      </c>
      <c r="DX100" s="98" t="str">
        <f>IFERROR(VLOOKUP($B100,'LOD 300 - COLO2'!$B:CP,93,FALSE),"N/A")</f>
        <v>N/A</v>
      </c>
      <c r="DY100" s="87" t="str">
        <f>IFERROR(VLOOKUP($B100,'LOD 300 - COLO2'!$B:CS,96,FALSE),"N/A")</f>
        <v>N/A</v>
      </c>
      <c r="DZ100" s="87" t="str">
        <f>IFERROR(VLOOKUP($B100,'LOD 300 - COLO2'!$B:CV,99,FALSE),"N/A")</f>
        <v>N/A</v>
      </c>
      <c r="EA100" s="87" t="str">
        <f>IFERROR(VLOOKUP($B100,'LOD 300 - COLO2'!$B:DB,105,FALSE),"N/A")</f>
        <v>N/A</v>
      </c>
      <c r="EB100" s="87" t="str">
        <f>IFERROR(VLOOKUP($B100,'LOD 300 - COLO2'!$B:DB,105,FALSE),"N/A")</f>
        <v>N/A</v>
      </c>
      <c r="EC100" s="87" t="str">
        <f>IFERROR(VLOOKUP($B100,'LOD 300 - COLO2'!$B:DE,108,FALSE),"N/A")</f>
        <v>N/A</v>
      </c>
      <c r="ED100" s="87" t="str">
        <f>IFERROR(VLOOKUP($B100,'LOD 300 - COLO2'!$B:DH,111,FALSE),"N/A")</f>
        <v>N/A</v>
      </c>
      <c r="EE100" s="87" t="str">
        <f>IFERROR(VLOOKUP($B100,'LOD 300 - COLO2'!$B:DK,114,FALSE),"N/A")</f>
        <v>N/A</v>
      </c>
      <c r="EF100" s="87" t="str">
        <f>IFERROR(VLOOKUP($B100,'LOD 300 - COLO2'!$B:DN,117,FALSE),"N/A")</f>
        <v>N/A</v>
      </c>
      <c r="EG100" s="135"/>
      <c r="EH100" s="99" t="str">
        <f>IFERROR(__xludf.DUMMYFUNCTION("IFERROR(
  MAX(FILTER(CZ100:EF100, ISNUMBER(CZ100:EF100))),
  EF100
)"),"N/A")</f>
        <v>N/A</v>
      </c>
      <c r="EI100" s="100" t="str">
        <f>IFERROR(VLOOKUP($B100,'LOD 300 - COLO3'!$B:R,17,FALSE),"N/A")</f>
        <v>N/A</v>
      </c>
      <c r="EJ100" s="127" t="str">
        <f>IFERROR(VLOOKUP($B100,'LOD 300 - COLO3'!$B:U,20,FALSE),"N/A")</f>
        <v>N/A</v>
      </c>
      <c r="EK100" s="127" t="str">
        <f>IFERROR(VLOOKUP($B100,'LOD 300 - COLO3'!$B:X,23,FALSE),"N/A")</f>
        <v>N/A</v>
      </c>
      <c r="EL100" s="127" t="str">
        <f>IFERROR(VLOOKUP($B100,'LOD 300 - COLO3'!$B:AA,26,FALSE),"N/A")</f>
        <v>N/A</v>
      </c>
      <c r="EM100" s="127" t="str">
        <f>IFERROR(VLOOKUP($B100,'LOD 300 - COLO3'!$B:AD,29,FALSE),"N/A")</f>
        <v>N/A</v>
      </c>
      <c r="EN100" s="127" t="str">
        <f>IFERROR(VLOOKUP($B100,'LOD 300 - COLO3'!$B:AG,32,FALSE),"N/A")</f>
        <v>N/A</v>
      </c>
      <c r="EO100" s="127" t="str">
        <f>IFERROR(VLOOKUP($B100,'LOD 300 - COLO3'!$B:AJ,35,FALSE),"N/A")</f>
        <v>N/A</v>
      </c>
      <c r="EP100" s="100" t="str">
        <f>IFERROR(VLOOKUP($B100,'LOD 300 - COLO3'!$B:AM,38,FALSE),"N/A")</f>
        <v>N/A</v>
      </c>
      <c r="EQ100" s="100" t="str">
        <f>IFERROR(VLOOKUP($B100,'LOD 300 - COLO3'!$B:AP,41,FALSE),"N/A")</f>
        <v>N/A</v>
      </c>
      <c r="ER100" s="100" t="str">
        <f>IFERROR(VLOOKUP($B100,'LOD 300 - COLO3'!$B:AS,44,FALSE),"N/A")</f>
        <v>N/A</v>
      </c>
      <c r="ES100" s="100" t="str">
        <f>IFERROR(VLOOKUP($B100,'LOD 300 - COLO3'!$B:AV,47,FALSE),"N/A")</f>
        <v>N/A</v>
      </c>
      <c r="ET100" s="100" t="str">
        <f>IFERROR(VLOOKUP($B100,'LOD 300 - COLO3'!$B:AY,50,FALSE),"N/A")</f>
        <v>N/A</v>
      </c>
      <c r="EU100" s="100" t="str">
        <f>IFERROR(VLOOKUP($B100,'LOD 300 - COLO3'!$B:BB,53,FALSE),"N/A")</f>
        <v>N/A</v>
      </c>
      <c r="EV100" s="100" t="str">
        <f>IFERROR(VLOOKUP($B100,'LOD 300 - COLO3'!$B:BE,56,FALSE),"N/A")</f>
        <v>N/A</v>
      </c>
      <c r="EW100" s="100" t="str">
        <f>IFERROR(VLOOKUP($B100,'LOD 300 - COLO3'!$B:BL,59,FALSE),"N/A")</f>
        <v>N/A</v>
      </c>
      <c r="EX100" s="136"/>
      <c r="EY100" s="103" t="str">
        <f>IFERROR(__xludf.DUMMYFUNCTION("IFERROR(
  MAX(FILTER(EI100:EW100, ISNUMBER(EI100:EW100))),
  EW100
)"),"N/A")</f>
        <v>N/A</v>
      </c>
      <c r="EZ100" s="104" t="str">
        <f>IFERROR(VLOOKUP($B100,'LOD 300 - COLO4'!$B:BT,17,FALSE),"N/A")</f>
        <v>N/A</v>
      </c>
      <c r="FA100" s="103" t="str">
        <f>IFERROR(__xludf.DUMMYFUNCTION("IFERROR(
  MAX(FILTER(EZ100, ISNUMBER(EZ100))),
  EZ100
)"),"N/A")</f>
        <v>N/A</v>
      </c>
      <c r="FB100" s="121" t="str">
        <f>IFERROR(VLOOKUP($B100,'LOD 300 - SITE'!$B:S,18,FALSE),"N/A")</f>
        <v>NOT PUBLISHED</v>
      </c>
      <c r="FC100" s="122" t="str">
        <f>IFERROR(VLOOKUP($B100,'LOD 300 - SITE'!$B:V,21,FALSE),"N/A")</f>
        <v>NOT PUBLISHED</v>
      </c>
      <c r="FD100" s="122" t="str">
        <f>IFERROR(VLOOKUP($B100,'LOD 300 - SITE'!$B:Y,24,FALSE),"N/A")</f>
        <v>NOT PUBLISHED</v>
      </c>
      <c r="FE100" s="122" t="str">
        <f>IFERROR(VLOOKUP($B100,'LOD 300 - SITE'!$B:AB,27,FALSE),"N/A")</f>
        <v>NOT PUBLISHED</v>
      </c>
      <c r="FF100" s="122" t="str">
        <f>IFERROR(VLOOKUP($B100,'LOD 300 - SITE'!$B:AE,30,FALSE),"N/A")</f>
        <v>NOT PUBLISHED</v>
      </c>
      <c r="FG100" s="122" t="str">
        <f>IFERROR(VLOOKUP($B100,'LOD 300 - SITE'!$B:AH,33,FALSE),"N/A")</f>
        <v>NOT PUBLISHED</v>
      </c>
      <c r="FH100" s="122" t="str">
        <f>IFERROR(VLOOKUP($B100,'LOD 300 - SITE'!$B:AK,36,FALSE),"N/A")</f>
        <v>NOT PUBLISHED</v>
      </c>
      <c r="FI100" s="122" t="str">
        <f>IFERROR(VLOOKUP($B100,'LOD 300 - SITE'!$B:AN,39,FALSE),"N/A")</f>
        <v>NOT PUBLISHED</v>
      </c>
      <c r="FJ100" s="122" t="str">
        <f>IFERROR(VLOOKUP($B100,'LOD 300 - SITE'!$B:AQ,42,FALSE),"N/A")</f>
        <v>NOT PUBLISHED</v>
      </c>
      <c r="FK100" s="122" t="str">
        <f>IFERROR(VLOOKUP($B100,'LOD 300 - SITE'!$B:AT,45,FALSE),"N/A")</f>
        <v>NOT PUBLISHED</v>
      </c>
      <c r="FL100" s="123" t="str">
        <f>IFERROR(VLOOKUP($B100,'LOD 300 - SITE'!$B:AW,48,FALSE),"N/A")</f>
        <v>NOT PUBLISHED</v>
      </c>
      <c r="FM100" s="87" t="str">
        <f>IFERROR(VLOOKUP($B100,'LOD 300 - SITE'!$B:AZ,51,FALSE),"N/A")</f>
        <v>NOT PUBLISHED</v>
      </c>
      <c r="FN100" s="94" t="str">
        <f>IFERROR(VLOOKUP($B100,'LOD 300 - SITE'!$B:BC,54,FALSE),"N/A")</f>
        <v>NOT PUBLISHED</v>
      </c>
      <c r="FO100" s="95" t="str">
        <f>IFERROR(VLOOKUP($B100,'LOD 300 - SITE'!$B:BF,57,FALSE),"N/A")</f>
        <v>NOT PUBLISHED</v>
      </c>
      <c r="FP100" s="86" t="str">
        <f>IFERROR(VLOOKUP($B100,'LOD 300 - SITE'!$B:BI,60,FALSE),"N/A")</f>
        <v>NOT PUBLISHED</v>
      </c>
      <c r="FQ100" s="86" t="str">
        <f>IFERROR(VLOOKUP($B100,'LOD 300 - SITE'!$B:BL,63,FALSE),"N/A")</f>
        <v>NOT PUBLISHED</v>
      </c>
      <c r="FR100" s="86" t="str">
        <f>IFERROR(VLOOKUP($B100,'LOD 300 - SITE'!$B:BO,66,FALSE),"N/A")</f>
        <v>NOT PUBLISHED</v>
      </c>
      <c r="FS100" s="86" t="str">
        <f>IFERROR(VLOOKUP($B100,'LOD 300 - SITE'!$B:BR,69,FALSE),"N/A")</f>
        <v>NOT PUBLISHED</v>
      </c>
      <c r="FT100" s="86" t="str">
        <f>IFERROR(VLOOKUP($B100,'LOD 300 - SITE'!$B:BU,72,FALSE),"N/A")</f>
        <v>NOT PUBLISHED</v>
      </c>
      <c r="FU100" s="86" t="str">
        <f>IFERROR(VLOOKUP($B100,'LOD 300 - SITE'!$B:BX,75,FALSE),"N/A")</f>
        <v>NOT PUBLISHED</v>
      </c>
      <c r="FV100" s="86" t="str">
        <f>IFERROR(VLOOKUP($B100,'LOD 300 - SITE'!$B:CA,78,FALSE),"N/A")</f>
        <v>NOT PUBLISHED</v>
      </c>
      <c r="FW100" s="87" t="str">
        <f>IFERROR(VLOOKUP($B100,'LOD 300 - SITE'!$B:CD,81,FALSE),"N/A")</f>
        <v>NOT PUBLISHED</v>
      </c>
      <c r="FX100" s="108" t="str">
        <f>IFERROR(VLOOKUP($B100,'LOD 300 - SITE'!$B:CG,84,FALSE),"N/A")</f>
        <v>NOT PUBLISHED</v>
      </c>
      <c r="FY100" s="108" t="str">
        <f>IFERROR(VLOOKUP($B100,'LOD 300 - SITE'!$B:CJ,87,FALSE),"N/A")</f>
        <v>NOT PUBLISHED</v>
      </c>
      <c r="FZ100" s="108" t="str">
        <f>IFERROR(VLOOKUP($B100,'LOD 300 - SITE'!$B:CM,90,FALSE),"N/A")</f>
        <v>NOT PUBLISHED</v>
      </c>
      <c r="GA100" s="108" t="str">
        <f>IFERROR(VLOOKUP($B100,'LOD 300 - SITE'!$B:CP,93,FALSE),"N/A")</f>
        <v>NOT PUBLISHED</v>
      </c>
      <c r="GB100" s="108" t="str">
        <f>IFERROR(VLOOKUP($B100,'LOD 300 - SITE'!$B:CS,96,FALSE),"N/A")</f>
        <v>NOT PUBLISHED</v>
      </c>
      <c r="GC100" s="109" t="str">
        <f>IFERROR(VLOOKUP($B100,'LOD 300 - SITE'!$B:CV,99,FALSE),"N/A")</f>
        <v>NOT PUBLISHED</v>
      </c>
      <c r="GD100" s="87" t="str">
        <f>IFERROR(VLOOKUP($B100,'LOD 300 - SITE'!$B:CY,102,FALSE),"N/A")</f>
        <v>NOT PUBLISHED</v>
      </c>
      <c r="GE100" s="87" t="str">
        <f>IFERROR(VLOOKUP($B100,'LOD 300 - SITE'!$B:DB,105,FALSE),"N/A")</f>
        <v>NOT PUBLISHED</v>
      </c>
      <c r="GF100" s="87" t="str">
        <f>IFERROR(VLOOKUP($B100,'LOD 300 - SITE'!$B:DE,108,FALSE),"N/A")</f>
        <v>NOT PUBLISHED</v>
      </c>
      <c r="GG100" s="87" t="str">
        <f>IFERROR(VLOOKUP($B100,'LOD 300 - SITE'!$B:DH,111,FALSE),"N/A")</f>
        <v>NOT PUBLISHED</v>
      </c>
      <c r="GH100" s="87" t="str">
        <f>IFERROR(VLOOKUP($B100,'LOD 300 - SITE'!$B:DK,114,FALSE),"N/A")</f>
        <v>NOT PUBLISHED</v>
      </c>
      <c r="GI100" s="87" t="str">
        <f>IFERROR(VLOOKUP($B100,'LOD 300 - SITE'!$B:DN,117,FALSE),"N/A")</f>
        <v>NOT PUBLISHED</v>
      </c>
      <c r="GJ100" s="87" t="str">
        <f>IFERROR(VLOOKUP($B100,'LOD 300 - SITE'!$B:DQ,120,FALSE),"N/A")</f>
        <v>NOT PUBLISHED</v>
      </c>
      <c r="GK100" s="87" t="str">
        <f>IFERROR(VLOOKUP($B100,'LOD 300 - SITE'!$B:DT,123,FALSE),"N/A")</f>
        <v>NOT PUBLISHED</v>
      </c>
      <c r="GL100" s="135"/>
      <c r="GM100" s="110" t="str">
        <f>IFERROR(__xludf.DUMMYFUNCTION("IFERROR(
  MAX(FILTER(FB100:GK100, ISNUMBER(FB100:GK100))),
  GK100
)"),"NOT PUBLISHED")</f>
        <v>NOT PUBLISHED</v>
      </c>
      <c r="GN100" s="68"/>
      <c r="GO100" s="68"/>
      <c r="GP100" s="68"/>
    </row>
    <row r="101" ht="15.0" customHeight="1" outlineLevel="1">
      <c r="A101" s="60">
        <v>104.0</v>
      </c>
      <c r="B101" s="140" t="s">
        <v>309</v>
      </c>
      <c r="C101" s="70" t="s">
        <v>310</v>
      </c>
      <c r="D101" s="71" t="s">
        <v>85</v>
      </c>
      <c r="E101" s="146" t="s">
        <v>308</v>
      </c>
      <c r="F101" s="13">
        <v>1123.0</v>
      </c>
      <c r="G101" s="147" t="s">
        <v>288</v>
      </c>
      <c r="H101" s="150">
        <v>0.0</v>
      </c>
      <c r="I101" s="74" t="str">
        <f>IFERROR(VLOOKUP(C98:C240,'R22 RELATÓRIO ACC'!B:F,5,FALSE),"NOT PUBLISHED")</f>
        <v>NOT PUBLISHED</v>
      </c>
      <c r="J101" s="74" t="str">
        <f>IFERROR(VLOOKUP(C98:C240,'R22 RELATÓRIO ACC'!B:P,15,FALSE),"NOT PUBLISHED")</f>
        <v>NOT PUBLISHED</v>
      </c>
      <c r="K101" s="141" t="str">
        <f>IFERROR(VLOOKUP(B98:B288,'RELATÓRIO ACC'!B:F,5,FALSE),"NOT PUBLISHED")</f>
        <v>NOT PUBLISHED</v>
      </c>
      <c r="L101" s="142" t="str">
        <f>IFERROR(VLOOKUP(B98:B288,'RELATÓRIO ACC'!B:P,15,FALSE),"NOT PUBLISHED")</f>
        <v>NOT PUBLISHED</v>
      </c>
      <c r="M101" s="76" t="str">
        <f>IF(OR($D101="UTLS",$D101="GUAR",$D101="STIR",$D101="PUMP",$D101="SITE"),
   VLOOKUP($B101,'LOD 300 - SITE'!B:M,12,FALSE),
   VLOOKUP($B101,'LOD 300 - ADMN'!B:M,12,FALSE)
)</f>
        <v>NOT PUBLISHED</v>
      </c>
      <c r="N101" s="76" t="str">
        <f>IF(OR($D101="UTLS",$D101="GUAR",$D101="STIR",$D101="PUMP",$D101="SITE"),
   VLOOKUP($B101,'LOD 300 - SITE'!B:N,13,FALSE),
   VLOOKUP($B101,'LOD 300 - ADMN'!B:N,13,FALSE)
)</f>
        <v>NOT PUBLISHED</v>
      </c>
      <c r="O101" s="78" t="str">
        <f>IF(OR($D101="UTLS",$D101="GUAR",$D101="STIR",$D101="PUMP",$D101="SITE"),
   VLOOKUP($B101,'LOD 300 - SITE'!B:O,14,FALSE),
   VLOOKUP($B101,'LOD 300 - ADMN'!B:O,14,FALSE)
)</f>
        <v>NOT PUBLISHED</v>
      </c>
      <c r="P101" s="79" t="str">
        <f>IF(OR($D101="C345",$D101="C12A",$D101="DATA"),
   VLOOKUP($B101,'LOD 300 - COLO3'!B:M,12,FALSE),"N/A")</f>
        <v>NOT PUBLISHED</v>
      </c>
      <c r="Q101" s="76" t="str">
        <f>IF(OR($D101="C345",$D101="C12A",$D101="DATA"),
   VLOOKUP($B101,'LOD 300 - COLO3'!B:N,13,FALSE),"N/A")</f>
        <v>NOT PUBLISHED</v>
      </c>
      <c r="R101" s="76" t="str">
        <f>IF(OR($D101="C345",$D101="C12A",$D101="DATA"),
   VLOOKUP($B101,'LOD 300 - COLO3'!B:O,14,FALSE),"N/A")</f>
        <v>NOT PUBLISHED</v>
      </c>
      <c r="S101" s="79" t="str">
        <f>IF(OR($D101="C345",$D101="C12A",$D101="DATA"),
   VLOOKUP($B101,'LOD 300 - COLO4'!B:M,12,FALSE),"N/A")</f>
        <v>N/A</v>
      </c>
      <c r="T101" s="76" t="str">
        <f>IF(OR($D101="C345",$D101="C12A",$D101="DATA"),
   VLOOKUP($B101,'LOD 300 - COLO4'!B:T,13,FALSE),"N/A")</f>
        <v>N/A</v>
      </c>
      <c r="U101" s="76" t="str">
        <f>IF(OR($D101="C345",$D101="C12A",$D101="DATA"),
   VLOOKUP($B101,'LOD 300 - COLO4'!B:U,17,FALSE),"N/A")</f>
        <v>NOT PUBLISHED</v>
      </c>
      <c r="V101" s="126"/>
      <c r="W101" s="116" t="str">
        <f>IFERROR(VLOOKUP($B101,'LOD 300 - ADMN'!$B:S,18,FALSE),"N/A")</f>
        <v>NOT PUBLISHED</v>
      </c>
      <c r="X101" s="117" t="str">
        <f>IFERROR(VLOOKUP($B101,'LOD 300 - ADMN'!$B:V,21,FALSE),"N/A")</f>
        <v>NOT PUBLISHED</v>
      </c>
      <c r="Y101" s="117" t="str">
        <f>IFERROR(VLOOKUP($B101,'LOD 300 - ADMN'!$B:Y,24,FALSE),"N/A")</f>
        <v>NOT PUBLISHED</v>
      </c>
      <c r="Z101" s="117" t="str">
        <f>IFERROR(VLOOKUP($B101,'LOD 300 - ADMN'!$B:AB,27,FALSE),"N/A")</f>
        <v>NOT PUBLISHED</v>
      </c>
      <c r="AA101" s="117" t="str">
        <f>IFERROR(VLOOKUP($B101,'LOD 300 - ADMN'!$B:AE,30,FALSE),"N/A")</f>
        <v>NOT PUBLISHED</v>
      </c>
      <c r="AB101" s="118" t="str">
        <f>IFERROR(VLOOKUP($B101,'LOD 300 - ADMN'!$B:AH,33,FALSE),"N/A")</f>
        <v>NOT PUBLISHED</v>
      </c>
      <c r="AC101" s="118" t="str">
        <f>IFERROR(VLOOKUP($B101,'LOD 300 - ADMN'!$B:AK,36,FALSE),"N/A")</f>
        <v>NOT PUBLISHED</v>
      </c>
      <c r="AD101" s="117" t="str">
        <f>IFERROR(VLOOKUP($B101,'LOD 300 - ADMN'!$B:AN,39,FALSE),"N/A")</f>
        <v>NOT PUBLISHED</v>
      </c>
      <c r="AE101" s="117" t="str">
        <f>IFERROR(VLOOKUP($B101,'LOD 300 - ADMN'!$B:AQ,42,FALSE),"N/A")</f>
        <v>NOT PUBLISHED</v>
      </c>
      <c r="AF101" s="117" t="str">
        <f>IFERROR(VLOOKUP($B101,'LOD 300 - ADMN'!$B:AT,45,FALSE),"N/A")</f>
        <v>NOT PUBLISHED</v>
      </c>
      <c r="AG101" s="117" t="str">
        <f>IFERROR(VLOOKUP($B101,'LOD 300 - ADMN'!$B:AW,48,FALSE),"N/A")</f>
        <v>NOT PUBLISHED</v>
      </c>
      <c r="AH101" s="117" t="str">
        <f>IFERROR(VLOOKUP($B101,'LOD 300 - ADMN'!$B:AZ,51,FALSE),"N/A")</f>
        <v>NOT PUBLISHED</v>
      </c>
      <c r="AI101" s="119" t="str">
        <f>IFERROR(VLOOKUP($B101,'LOD 300 - ADMN'!$B:BC,54,FALSE),"N/A")</f>
        <v>NOT PUBLISHED</v>
      </c>
      <c r="AJ101" s="86" t="str">
        <f>IFERROR(VLOOKUP($B101,'LOD 300 - ADMN'!$B:BF,57,FALSE),"N/A")</f>
        <v>NOT PUBLISHED</v>
      </c>
      <c r="AK101" s="87" t="str">
        <f>IFERROR(VLOOKUP($B101,'LOD 300 - ADMN'!$B:EP,60,FALSE),"N/A")</f>
        <v>NOT PUBLISHED</v>
      </c>
      <c r="AL101" s="86" t="str">
        <f>IFERROR(VLOOKUP($B101,'LOD 300 - ADMN'!$B:EQ,63,FALSE),"N/A")</f>
        <v>NOT PUBLISHED</v>
      </c>
      <c r="AM101" s="86" t="str">
        <f>IFERROR(VLOOKUP($B101,'LOD 300 - ADMN'!$B:BO,66,FALSE),"N/A")</f>
        <v>NOT PUBLISHED</v>
      </c>
      <c r="AN101" s="86" t="str">
        <f>IFERROR(VLOOKUP($B101,'LOD 300 - ADMN'!$B:BR,69,FALSE),"N/A")</f>
        <v>NOT PUBLISHED</v>
      </c>
      <c r="AO101" s="86" t="str">
        <f>IFERROR(VLOOKUP($B101,'LOD 300 - ADMN'!$B:BU,72,FALSE),"N/A")</f>
        <v>NOT PUBLISHED</v>
      </c>
      <c r="AP101" s="86" t="str">
        <f>IFERROR(VLOOKUP($B101,'LOD 300 - ADMN'!$B:BX,75,FALSE),"N/A")</f>
        <v>NOT PUBLISHED</v>
      </c>
      <c r="AQ101" s="86" t="str">
        <f>IFERROR(VLOOKUP($B101,'LOD 300 - ADMN'!$B:CA,78,FALSE),"N/A")</f>
        <v>NOT PUBLISHED</v>
      </c>
      <c r="AR101" s="86" t="str">
        <f>IFERROR(VLOOKUP($B101,'LOD 300 - ADMN'!$B:CD,81,FALSE),"N/A")</f>
        <v>NOT PUBLISHED</v>
      </c>
      <c r="AS101" s="86" t="str">
        <f>IFERROR(VLOOKUP($B101,'LOD 300 - ADMN'!$B:CG,84,FALSE),"N/A")</f>
        <v>NOT PUBLISHED</v>
      </c>
      <c r="AT101" s="86" t="str">
        <f>IFERROR(VLOOKUP($B101,'LOD 300 - ADMN'!$B:CJ,87,FALSE),"N/A")</f>
        <v>NOT PUBLISHED</v>
      </c>
      <c r="AU101" s="88" t="str">
        <f>IFERROR(VLOOKUP($B101,'LOD 300 - ADMN'!$B:CM,90,FALSE),"N/A")</f>
        <v>NOT PUBLISHED</v>
      </c>
      <c r="AV101" s="88" t="str">
        <f>IFERROR(VLOOKUP($B101,'LOD 300 - ADMN'!$B:CP,93,FALSE),"N/A")</f>
        <v>NOT PUBLISHED</v>
      </c>
      <c r="AW101" s="88" t="str">
        <f>IFERROR(VLOOKUP($B101,'LOD 300 - ADMN'!$B:CS,96,FALSE),"N/A")</f>
        <v>NOT PUBLISHED</v>
      </c>
      <c r="AX101" s="88" t="str">
        <f>IFERROR(VLOOKUP($B101,'LOD 300 - ADMN'!$B:CV,99,FALSE),"N/A")</f>
        <v>NOT PUBLISHED</v>
      </c>
      <c r="AY101" s="88" t="str">
        <f>IFERROR(VLOOKUP($B101,'LOD 300 - ADMN'!$B:CY,102,FALSE),"N/A")</f>
        <v>NOT PUBLISHED</v>
      </c>
      <c r="AZ101" s="89" t="str">
        <f>IFERROR(VLOOKUP($B101,'LOD 300 - ADMN'!$B:DB,105,FALSE),"N/A")</f>
        <v>NOT PUBLISHED</v>
      </c>
      <c r="BA101" s="87" t="str">
        <f>IFERROR(VLOOKUP($B101,'LOD 300 - ADMN'!$B:DE,108,FALSE),"N/A")</f>
        <v>NOT PUBLISHED</v>
      </c>
      <c r="BB101" s="87" t="str">
        <f>IFERROR(VLOOKUP($B101,'LOD 300 - ADMN'!$B:DH,111,FALSE),"N/A")</f>
        <v>NOT PUBLISHED</v>
      </c>
      <c r="BC101" s="87" t="str">
        <f>IFERROR(VLOOKUP($B101,'LOD 300 - ADMN'!$B:DK,114,FALSE),"N/A")</f>
        <v>NOT PUBLISHED</v>
      </c>
      <c r="BD101" s="87" t="str">
        <f>IFERROR(VLOOKUP($B101,'LOD 300 - ADMN'!$B:DN,117,FALSE),"N/A")</f>
        <v>NOT PUBLISHED</v>
      </c>
      <c r="BE101" s="87" t="str">
        <f>IFERROR(VLOOKUP($B101,'LOD 300 - ADMN'!$B:DQ,120,FALSE),"N/A")</f>
        <v>NOT PUBLISHED</v>
      </c>
      <c r="BF101" s="87" t="str">
        <f>IFERROR(VLOOKUP($B101,'LOD 300 - ADMN'!$B:DT,123,FALSE),"N/A")</f>
        <v>NOT PUBLISHED</v>
      </c>
      <c r="BG101" s="87" t="str">
        <f>IFERROR(VLOOKUP($B101,'LOD 300 - ADMN'!$B:DW,126,FALSE),"N/A")</f>
        <v>NOT PUBLISHED</v>
      </c>
      <c r="BH101" s="87" t="str">
        <f>IFERROR(VLOOKUP($B101,'LOD 300 - ADMN'!$B:DZ,129,FALSE),"N/A")</f>
        <v>NOT PUBLISHED</v>
      </c>
      <c r="BI101" s="134"/>
      <c r="BJ101" s="90" t="str">
        <f>IFERROR(__xludf.DUMMYFUNCTION("IFERROR(
  MAX(FILTER(X101:BH101, ISNUMBER(X101:BH101))),
  BH101
)"),"NOT PUBLISHED")</f>
        <v>NOT PUBLISHED</v>
      </c>
      <c r="BK101" s="91" t="str">
        <f>IFERROR(VLOOKUP($B101,'LOD 300 - COLO1'!$B:S,18,FALSE),"N/A")</f>
        <v>NOT PUBLISHED</v>
      </c>
      <c r="BL101" s="92" t="str">
        <f>IFERROR(VLOOKUP($B101,'LOD 300 - COLO1'!$B:V,21,FALSE),"N/A")</f>
        <v>NOT PUBLISHED</v>
      </c>
      <c r="BM101" s="92" t="str">
        <f>IFERROR(VLOOKUP($B101,'LOD 300 - COLO1'!$B:Y,24,FALSE),"N/A")</f>
        <v>NOT PUBLISHED</v>
      </c>
      <c r="BN101" s="92" t="str">
        <f>IFERROR(VLOOKUP($B101,'LOD 300 - COLO1'!$B:AB,27,FALSE),"N/A")</f>
        <v>NOT PUBLISHED</v>
      </c>
      <c r="BO101" s="92" t="str">
        <f>IFERROR(VLOOKUP($B101,'LOD 300 - COLO1'!$B:AE,30,FALSE),"N/A")</f>
        <v>NOT PUBLISHED</v>
      </c>
      <c r="BP101" s="92" t="str">
        <f>IFERROR(VLOOKUP($B101,'LOD 300 - COLO1'!$B:AH,33,FALSE),"N/A")</f>
        <v>NOT PUBLISHED</v>
      </c>
      <c r="BQ101" s="92" t="str">
        <f>IFERROR(VLOOKUP($B101,'LOD 300 - COLO1'!$B:AK,36,FALSE),"N/A")</f>
        <v>NOT PUBLISHED</v>
      </c>
      <c r="BR101" s="92" t="str">
        <f>IFERROR(VLOOKUP($B101,'LOD 300 - COLO1'!$B:AN,39,FALSE),"N/A")</f>
        <v>NOT PUBLISHED</v>
      </c>
      <c r="BS101" s="92" t="str">
        <f>IFERROR(VLOOKUP($B101,'LOD 300 - COLO1'!$B:AQ,42,FALSE),"N/A")</f>
        <v>NOT PUBLISHED</v>
      </c>
      <c r="BT101" s="92" t="str">
        <f>IFERROR(VLOOKUP($B101,'LOD 300 - COLO1'!$B:AT,45,FALSE),"N/A")</f>
        <v>NOT PUBLISHED</v>
      </c>
      <c r="BU101" s="92" t="str">
        <f>IFERROR(VLOOKUP($B101,'LOD 300 - COLO1'!$B:AW,48,FALSE),"N/A")</f>
        <v>NOT PUBLISHED</v>
      </c>
      <c r="BV101" s="92" t="str">
        <f>IFERROR(VLOOKUP($B101,'LOD 300 - COLO1'!$B:AZ,51,FALSE),"N/A")</f>
        <v>NOT PUBLISHED</v>
      </c>
      <c r="BW101" s="92" t="str">
        <f>IFERROR(VLOOKUP($B101,'LOD 300 - COLO1'!$B:BC,54,FALSE),"N/A")</f>
        <v>NOT PUBLISHED</v>
      </c>
      <c r="BX101" s="94" t="str">
        <f>IFERROR(VLOOKUP($B101,'LOD 300 - COLO1'!$B:BF,57,FALSE),"N/A")</f>
        <v>NOT PUBLISHED</v>
      </c>
      <c r="BY101" s="94" t="str">
        <f>IFERROR(VLOOKUP($B101,'LOD 300 - COLO1'!$B:BI,60,FALSE),"N/A")</f>
        <v>NOT PUBLISHED</v>
      </c>
      <c r="BZ101" s="95" t="str">
        <f>IFERROR(VLOOKUP($B101,'LOD 300 - COLO1'!$B:BL,63,FALSE),"N/A")</f>
        <v>NOT PUBLISHED</v>
      </c>
      <c r="CA101" s="86" t="str">
        <f>IFERROR(VLOOKUP($B101,'LOD 300 - COLO1'!$B:BO,66,FALSE),"N/A")</f>
        <v>NOT PUBLISHED</v>
      </c>
      <c r="CB101" s="86" t="str">
        <f>IFERROR(VLOOKUP($B101,'LOD 300 - COLO1'!$B:BR,69,FALSE),"N/A")</f>
        <v>NOT PUBLISHED</v>
      </c>
      <c r="CC101" s="86" t="str">
        <f>IFERROR(VLOOKUP($B101,'LOD 300 - COLO1'!$B:BU,72,FALSE),"N/A")</f>
        <v>NOT PUBLISHED</v>
      </c>
      <c r="CD101" s="86" t="str">
        <f>IFERROR(VLOOKUP($B101,'LOD 300 - COLO1'!$B:BX,75,FALSE),"N/A")</f>
        <v>NOT PUBLISHED</v>
      </c>
      <c r="CE101" s="86" t="str">
        <f>IFERROR(VLOOKUP($B101,'LOD 300 - COLO1'!$B:CA,78,FALSE),"N/A")</f>
        <v>NOT PUBLISHED</v>
      </c>
      <c r="CF101" s="87" t="str">
        <f>IFERROR(VLOOKUP($B101,'LOD 300 - COLO1'!$B:CD,81,FALSE),"N/A")</f>
        <v>NOT PUBLISHED</v>
      </c>
      <c r="CG101" s="86" t="str">
        <f>IFERROR(VLOOKUP($B101,'LOD 300 - COLO1'!$B:CG,84,FALSE),"N/A")</f>
        <v>NOT PUBLISHED</v>
      </c>
      <c r="CH101" s="87" t="str">
        <f>IFERROR(VLOOKUP($B101,'LOD 300 - COLO1'!$B:CJ,87,FALSE),"N/A")</f>
        <v>NOT PUBLISHED</v>
      </c>
      <c r="CI101" s="88" t="str">
        <f>IFERROR(VLOOKUP($B101,'LOD 300 - COLO1'!$B:CM,90,FALSE),"N/A")</f>
        <v>NOT PUBLISHED</v>
      </c>
      <c r="CJ101" s="88" t="str">
        <f>IFERROR(VLOOKUP($B101,'LOD 300 - COLO1'!$B:CP,93,FALSE),"N/A")</f>
        <v>NOT PUBLISHED</v>
      </c>
      <c r="CK101" s="88" t="str">
        <f>IFERROR(VLOOKUP($B101,'LOD 300 - COLO1'!$B:CS,96,FALSE),"N/A")</f>
        <v>NOT PUBLISHED</v>
      </c>
      <c r="CL101" s="88" t="str">
        <f>IFERROR(VLOOKUP($B101,'LOD 300 - COLO1'!$B:CV,99,FALSE),"N/A")</f>
        <v>NOT PUBLISHED</v>
      </c>
      <c r="CM101" s="88" t="str">
        <f>IFERROR(VLOOKUP($B101,'LOD 300 - COLO1'!$B:CY,102,FALSE),"N/A")</f>
        <v>NOT PUBLISHED</v>
      </c>
      <c r="CN101" s="89" t="str">
        <f>IFERROR(VLOOKUP($B101,'LOD 300 - COLO1'!$B:DB,105,FALSE),"N/A")</f>
        <v>NOT PUBLISHED</v>
      </c>
      <c r="CO101" s="87" t="str">
        <f>IFERROR(VLOOKUP($B101,'LOD 300 - COLO1'!$B:EE,108,FALSE),"N/A")</f>
        <v>NOT PUBLISHED</v>
      </c>
      <c r="CP101" s="87" t="str">
        <f>IFERROR(VLOOKUP($B101,'LOD 300 - COLO1'!$B:EH,111,FALSE),"N/A")</f>
        <v>NOT PUBLISHED</v>
      </c>
      <c r="CQ101" s="87" t="str">
        <f>IFERROR(VLOOKUP($B101,'LOD 300 - COLO1'!$B:EK,114,FALSE),"N/A")</f>
        <v>NOT PUBLISHED</v>
      </c>
      <c r="CR101" s="87" t="str">
        <f>IFERROR(VLOOKUP($B101,'LOD 300 - COLO1'!$B:EN,117,FALSE),"N/A")</f>
        <v>NOT PUBLISHED</v>
      </c>
      <c r="CS101" s="87" t="str">
        <f>IFERROR(VLOOKUP($B101,'LOD 300 - COLO1'!$B:EQ,120,FALSE),"N/A")</f>
        <v>NOT PUBLISHED</v>
      </c>
      <c r="CT101" s="87" t="str">
        <f>IFERROR(VLOOKUP($B101,'LOD 300 - COLO1'!$B:ET,123,FALSE),"N/A")</f>
        <v>NOT PUBLISHED</v>
      </c>
      <c r="CU101" s="87" t="str">
        <f>IFERROR(VLOOKUP($B101,'LOD 300 - COLO1'!$B:EW,126,FALSE),"N/A")</f>
        <v>NOT PUBLISHED</v>
      </c>
      <c r="CV101" s="87" t="str">
        <f>IFERROR(VLOOKUP($B101,'LOD 300 - COLO1'!$B:EZ,129,FALSE),"N/A")</f>
        <v>NOT PUBLISHED</v>
      </c>
      <c r="CW101" s="135"/>
      <c r="CX101" s="96" t="str">
        <f>IFERROR(__xludf.DUMMYFUNCTION("IFERROR(
  MAX(FILTER(BK101:CV101, ISNUMBER(BK101:CV101))),
  CV101
)"),"NOT PUBLISHED")</f>
        <v>NOT PUBLISHED</v>
      </c>
      <c r="CY101" s="104" t="str">
        <f>IFERROR(VLOOKUP($B101,'LOD 300 - COLO2'!$B:S,18,FALSE),"N/A")</f>
        <v>NOT PUBLISHED</v>
      </c>
      <c r="CZ101" s="117" t="str">
        <f>IFERROR(VLOOKUP($B101,'LOD 300 - COLO2'!$B:V,21,FALSE),"N/A")</f>
        <v>NOT PUBLISHED</v>
      </c>
      <c r="DA101" s="117" t="str">
        <f>IFERROR(VLOOKUP($B101,'LOD 300 - COLO2'!$B:Y,24,FALSE),"N/A")</f>
        <v>NOT PUBLISHED</v>
      </c>
      <c r="DB101" s="117" t="str">
        <f>IFERROR(VLOOKUP($B101,'LOD 300 - COLO2'!$B:AB,27,FALSE),"N/A")</f>
        <v>NOT PUBLISHED</v>
      </c>
      <c r="DC101" s="92" t="str">
        <f>IFERROR(VLOOKUP($B101,'LOD 300 - COLO2'!$B:AE,30,FALSE),"N/A")</f>
        <v>NOT PUBLISHED</v>
      </c>
      <c r="DD101" s="120" t="str">
        <f>IFERROR(VLOOKUP($B101,'LOD 300 - COLO2'!$B:AH,33,FALSE),"N/A")</f>
        <v>NOT PUBLISHED</v>
      </c>
      <c r="DE101" s="117" t="str">
        <f>IFERROR(VLOOKUP($B101,'LOD 300 - COLO2'!$B:AK,36,FALSE),"N/A")</f>
        <v>NOT PUBLISHED</v>
      </c>
      <c r="DF101" s="117" t="str">
        <f>IFERROR(VLOOKUP($B101,'LOD 300 - COLO2'!$B:AN,39,FALSE),"N/A")</f>
        <v>NOT PUBLISHED</v>
      </c>
      <c r="DG101" s="119" t="str">
        <f>IFERROR(VLOOKUP($B101,'LOD 300 - COLO2'!$B:AQ,42,FALSE),"N/A")</f>
        <v>NOT PUBLISHED</v>
      </c>
      <c r="DH101" s="87" t="str">
        <f>IFERROR(VLOOKUP($B101,'LOD 300 - COLO2'!$B:AT,45,FALSE),"N/A")</f>
        <v>NOT PUBLISHED</v>
      </c>
      <c r="DI101" s="94" t="str">
        <f>IFERROR(VLOOKUP($B101,'LOD 300 - COLO2'!$B:AW,48,FALSE),"N/A")</f>
        <v>NOT PUBLISHED</v>
      </c>
      <c r="DJ101" s="95" t="str">
        <f>IFERROR(VLOOKUP($B101,'LOD 300 - COLO2'!$B:AZ,51,FALSE),"N/A")</f>
        <v>NOT PUBLISHED</v>
      </c>
      <c r="DK101" s="86" t="str">
        <f>IFERROR(VLOOKUP($B101,'LOD 300 - COLO2'!$B:BC,54,FALSE),"N/A")</f>
        <v>NOT PUBLISHED</v>
      </c>
      <c r="DL101" s="86" t="str">
        <f>IFERROR(VLOOKUP($B101,'LOD 300 - COLO2'!$B:BF,57,FALSE),"N/A")</f>
        <v>NOT PUBLISHED</v>
      </c>
      <c r="DM101" s="86" t="str">
        <f>IFERROR(VLOOKUP($B101,'LOD 300 - COLO2'!$B:BI,60,FALSE),"N/A")</f>
        <v>NOT PUBLISHED</v>
      </c>
      <c r="DN101" s="86" t="str">
        <f>IFERROR(VLOOKUP($B101,'LOD 300 - COLO2'!$B:BL,63,FALSE),"N/A")</f>
        <v>NOT PUBLISHED</v>
      </c>
      <c r="DO101" s="86" t="str">
        <f>IFERROR(VLOOKUP($B101,'LOD 300 - COLO2'!$B:BO,66,FALSE),"N/A")</f>
        <v>NOT PUBLISHED</v>
      </c>
      <c r="DP101" s="87" t="str">
        <f>IFERROR(VLOOKUP($B101,'LOD 300 - COLO2'!$B:BR,69,FALSE),"N/A")</f>
        <v>NOT PUBLISHED</v>
      </c>
      <c r="DQ101" s="87" t="str">
        <f>IFERROR(VLOOKUP($B101,'LOD 300 - COLO2'!$B:BU,72,FALSE),"N/A")</f>
        <v>NOT PUBLISHED</v>
      </c>
      <c r="DR101" s="87" t="str">
        <f>IFERROR(VLOOKUP($B101,'LOD 300 - COLO2'!$B:BX,75,FALSE),"N/A")</f>
        <v>NOT PUBLISHED</v>
      </c>
      <c r="DS101" s="98" t="str">
        <f>IFERROR(VLOOKUP($B101,'LOD 300 - COLO2'!$B:CA,78,FALSE),"N/A")</f>
        <v>NOT PUBLISHED</v>
      </c>
      <c r="DT101" s="98" t="str">
        <f>IFERROR(VLOOKUP($B101,'LOD 300 - COLO2'!$B:CD,81,FALSE),"N/A")</f>
        <v>NOT PUBLISHED</v>
      </c>
      <c r="DU101" s="98" t="str">
        <f>IFERROR(VLOOKUP($B101,'LOD 300 - COLO2'!$B:CG,84,FALSE),"N/A")</f>
        <v>NOT PUBLISHED</v>
      </c>
      <c r="DV101" s="98" t="str">
        <f>IFERROR(VLOOKUP($B101,'LOD 300 - COLO2'!$B:CJ,87,FALSE),"N/A")</f>
        <v>NOT PUBLISHED</v>
      </c>
      <c r="DW101" s="98" t="str">
        <f>IFERROR(VLOOKUP($B101,'LOD 300 - COLO2'!$B:CM,90,FALSE),"N/A")</f>
        <v>NOT PUBLISHED</v>
      </c>
      <c r="DX101" s="98" t="str">
        <f>IFERROR(VLOOKUP($B101,'LOD 300 - COLO2'!$B:CP,93,FALSE),"N/A")</f>
        <v>NOT PUBLISHED</v>
      </c>
      <c r="DY101" s="87" t="str">
        <f>IFERROR(VLOOKUP($B101,'LOD 300 - COLO2'!$B:CS,96,FALSE),"N/A")</f>
        <v>NOT PUBLISHED</v>
      </c>
      <c r="DZ101" s="87" t="str">
        <f>IFERROR(VLOOKUP($B101,'LOD 300 - COLO2'!$B:CV,99,FALSE),"N/A")</f>
        <v>NOT PUBLISHED</v>
      </c>
      <c r="EA101" s="87" t="str">
        <f>IFERROR(VLOOKUP($B101,'LOD 300 - COLO2'!$B:DB,105,FALSE),"N/A")</f>
        <v>NOT PUBLISHED</v>
      </c>
      <c r="EB101" s="87" t="str">
        <f>IFERROR(VLOOKUP($B101,'LOD 300 - COLO2'!$B:DB,105,FALSE),"N/A")</f>
        <v>NOT PUBLISHED</v>
      </c>
      <c r="EC101" s="87" t="str">
        <f>IFERROR(VLOOKUP($B101,'LOD 300 - COLO2'!$B:DE,108,FALSE),"N/A")</f>
        <v>NOT PUBLISHED</v>
      </c>
      <c r="ED101" s="87" t="str">
        <f>IFERROR(VLOOKUP($B101,'LOD 300 - COLO2'!$B:DH,111,FALSE),"N/A")</f>
        <v>NOT PUBLISHED</v>
      </c>
      <c r="EE101" s="87" t="str">
        <f>IFERROR(VLOOKUP($B101,'LOD 300 - COLO2'!$B:DK,114,FALSE),"N/A")</f>
        <v>NOT PUBLISHED</v>
      </c>
      <c r="EF101" s="87" t="str">
        <f>IFERROR(VLOOKUP($B101,'LOD 300 - COLO2'!$B:DN,117,FALSE),"N/A")</f>
        <v>NOT PUBLISHED</v>
      </c>
      <c r="EG101" s="135"/>
      <c r="EH101" s="99" t="str">
        <f>IFERROR(__xludf.DUMMYFUNCTION("IFERROR(
  MAX(FILTER(CZ101:EF101, ISNUMBER(CZ101:EF101))),
  EF101
)"),"NOT PUBLISHED")</f>
        <v>NOT PUBLISHED</v>
      </c>
      <c r="EI101" s="100" t="str">
        <f>IFERROR(VLOOKUP($B101,'LOD 300 - COLO3'!$B:R,17,FALSE),"N/A")</f>
        <v>NOT PUBLISHED</v>
      </c>
      <c r="EJ101" s="127" t="str">
        <f>IFERROR(VLOOKUP($B101,'LOD 300 - COLO3'!$B:U,20,FALSE),"N/A")</f>
        <v>NOT PUBLISHED</v>
      </c>
      <c r="EK101" s="127" t="str">
        <f>IFERROR(VLOOKUP($B101,'LOD 300 - COLO3'!$B:X,23,FALSE),"N/A")</f>
        <v>NOT PUBLISHED</v>
      </c>
      <c r="EL101" s="127" t="str">
        <f>IFERROR(VLOOKUP($B101,'LOD 300 - COLO3'!$B:AA,26,FALSE),"N/A")</f>
        <v>NOT PUBLISHED</v>
      </c>
      <c r="EM101" s="127" t="str">
        <f>IFERROR(VLOOKUP($B101,'LOD 300 - COLO3'!$B:AD,29,FALSE),"N/A")</f>
        <v>NOT PUBLISHED</v>
      </c>
      <c r="EN101" s="127" t="str">
        <f>IFERROR(VLOOKUP($B101,'LOD 300 - COLO3'!$B:AG,32,FALSE),"N/A")</f>
        <v>NOT PUBLISHED</v>
      </c>
      <c r="EO101" s="127" t="str">
        <f>IFERROR(VLOOKUP($B101,'LOD 300 - COLO3'!$B:AJ,35,FALSE),"N/A")</f>
        <v>NOT PUBLISHED</v>
      </c>
      <c r="EP101" s="100" t="str">
        <f>IFERROR(VLOOKUP($B101,'LOD 300 - COLO3'!$B:AM,38,FALSE),"N/A")</f>
        <v>NOT PUBLISHED</v>
      </c>
      <c r="EQ101" s="100" t="str">
        <f>IFERROR(VLOOKUP($B101,'LOD 300 - COLO3'!$B:AP,41,FALSE),"N/A")</f>
        <v>NOT PUBLISHED</v>
      </c>
      <c r="ER101" s="100" t="str">
        <f>IFERROR(VLOOKUP($B101,'LOD 300 - COLO3'!$B:AS,44,FALSE),"N/A")</f>
        <v>NOT PUBLISHED</v>
      </c>
      <c r="ES101" s="100" t="str">
        <f>IFERROR(VLOOKUP($B101,'LOD 300 - COLO3'!$B:AV,47,FALSE),"N/A")</f>
        <v>NOT PUBLISHED</v>
      </c>
      <c r="ET101" s="100" t="str">
        <f>IFERROR(VLOOKUP($B101,'LOD 300 - COLO3'!$B:AY,50,FALSE),"N/A")</f>
        <v>NOT PUBLISHED</v>
      </c>
      <c r="EU101" s="100" t="str">
        <f>IFERROR(VLOOKUP($B101,'LOD 300 - COLO3'!$B:BB,53,FALSE),"N/A")</f>
        <v>NOT PUBLISHED</v>
      </c>
      <c r="EV101" s="100" t="str">
        <f>IFERROR(VLOOKUP($B101,'LOD 300 - COLO3'!$B:BE,56,FALSE),"N/A")</f>
        <v>NOT PUBLISHED</v>
      </c>
      <c r="EW101" s="100" t="str">
        <f>IFERROR(VLOOKUP($B101,'LOD 300 - COLO3'!$B:BL,59,FALSE),"N/A")</f>
        <v>NOT PUBLISHED</v>
      </c>
      <c r="EX101" s="136"/>
      <c r="EY101" s="103" t="str">
        <f>IFERROR(__xludf.DUMMYFUNCTION("IFERROR(
  MAX(FILTER(EI101:EW101, ISNUMBER(EI101:EW101))),
  EW101
)"),"NOT PUBLISHED")</f>
        <v>NOT PUBLISHED</v>
      </c>
      <c r="EZ101" s="104" t="str">
        <f>IFERROR(VLOOKUP($B101,'LOD 300 - COLO4'!$B:BT,17,FALSE),"N/A")</f>
        <v>NOT PUBLISHED</v>
      </c>
      <c r="FA101" s="103" t="str">
        <f>IFERROR(__xludf.DUMMYFUNCTION("IFERROR(
  MAX(FILTER(EZ101, ISNUMBER(EZ101))),
  EZ101
)"),"NOT PUBLISHED")</f>
        <v>NOT PUBLISHED</v>
      </c>
      <c r="FB101" s="121" t="str">
        <f>IFERROR(VLOOKUP($B101,'LOD 300 - SITE'!$B:S,18,FALSE),"N/A")</f>
        <v>N/A</v>
      </c>
      <c r="FC101" s="122" t="str">
        <f>IFERROR(VLOOKUP($B101,'LOD 300 - SITE'!$B:V,21,FALSE),"N/A")</f>
        <v>N/A</v>
      </c>
      <c r="FD101" s="122" t="str">
        <f>IFERROR(VLOOKUP($B101,'LOD 300 - SITE'!$B:Y,24,FALSE),"N/A")</f>
        <v>N/A</v>
      </c>
      <c r="FE101" s="122" t="str">
        <f>IFERROR(VLOOKUP($B101,'LOD 300 - SITE'!$B:AB,27,FALSE),"N/A")</f>
        <v>N/A</v>
      </c>
      <c r="FF101" s="122" t="str">
        <f>IFERROR(VLOOKUP($B101,'LOD 300 - SITE'!$B:AE,30,FALSE),"N/A")</f>
        <v>N/A</v>
      </c>
      <c r="FG101" s="122" t="str">
        <f>IFERROR(VLOOKUP($B101,'LOD 300 - SITE'!$B:AH,33,FALSE),"N/A")</f>
        <v>N/A</v>
      </c>
      <c r="FH101" s="122" t="str">
        <f>IFERROR(VLOOKUP($B101,'LOD 300 - SITE'!$B:AK,36,FALSE),"N/A")</f>
        <v>N/A</v>
      </c>
      <c r="FI101" s="122" t="str">
        <f>IFERROR(VLOOKUP($B101,'LOD 300 - SITE'!$B:AN,39,FALSE),"N/A")</f>
        <v>N/A</v>
      </c>
      <c r="FJ101" s="122" t="str">
        <f>IFERROR(VLOOKUP($B101,'LOD 300 - SITE'!$B:AQ,42,FALSE),"N/A")</f>
        <v>N/A</v>
      </c>
      <c r="FK101" s="122" t="str">
        <f>IFERROR(VLOOKUP($B101,'LOD 300 - SITE'!$B:AT,45,FALSE),"N/A")</f>
        <v>N/A</v>
      </c>
      <c r="FL101" s="123" t="str">
        <f>IFERROR(VLOOKUP($B101,'LOD 300 - SITE'!$B:AW,48,FALSE),"N/A")</f>
        <v>N/A</v>
      </c>
      <c r="FM101" s="87" t="str">
        <f>IFERROR(VLOOKUP($B101,'LOD 300 - SITE'!$B:AZ,51,FALSE),"N/A")</f>
        <v>N/A</v>
      </c>
      <c r="FN101" s="94" t="str">
        <f>IFERROR(VLOOKUP($B101,'LOD 300 - SITE'!$B:BC,54,FALSE),"N/A")</f>
        <v>N/A</v>
      </c>
      <c r="FO101" s="95" t="str">
        <f>IFERROR(VLOOKUP($B101,'LOD 300 - SITE'!$B:BF,57,FALSE),"N/A")</f>
        <v>N/A</v>
      </c>
      <c r="FP101" s="86" t="str">
        <f>IFERROR(VLOOKUP($B101,'LOD 300 - SITE'!$B:BI,60,FALSE),"N/A")</f>
        <v>N/A</v>
      </c>
      <c r="FQ101" s="86" t="str">
        <f>IFERROR(VLOOKUP($B101,'LOD 300 - SITE'!$B:BL,63,FALSE),"N/A")</f>
        <v>N/A</v>
      </c>
      <c r="FR101" s="86" t="str">
        <f>IFERROR(VLOOKUP($B101,'LOD 300 - SITE'!$B:BO,66,FALSE),"N/A")</f>
        <v>N/A</v>
      </c>
      <c r="FS101" s="86" t="str">
        <f>IFERROR(VLOOKUP($B101,'LOD 300 - SITE'!$B:BR,69,FALSE),"N/A")</f>
        <v>N/A</v>
      </c>
      <c r="FT101" s="86" t="str">
        <f>IFERROR(VLOOKUP($B101,'LOD 300 - SITE'!$B:BU,72,FALSE),"N/A")</f>
        <v>N/A</v>
      </c>
      <c r="FU101" s="86" t="str">
        <f>IFERROR(VLOOKUP($B101,'LOD 300 - SITE'!$B:BX,75,FALSE),"N/A")</f>
        <v>N/A</v>
      </c>
      <c r="FV101" s="86" t="str">
        <f>IFERROR(VLOOKUP($B101,'LOD 300 - SITE'!$B:CA,78,FALSE),"N/A")</f>
        <v>N/A</v>
      </c>
      <c r="FW101" s="87" t="str">
        <f>IFERROR(VLOOKUP($B101,'LOD 300 - SITE'!$B:CD,81,FALSE),"N/A")</f>
        <v>N/A</v>
      </c>
      <c r="FX101" s="108" t="str">
        <f>IFERROR(VLOOKUP($B101,'LOD 300 - SITE'!$B:CG,84,FALSE),"N/A")</f>
        <v>N/A</v>
      </c>
      <c r="FY101" s="108" t="str">
        <f>IFERROR(VLOOKUP($B101,'LOD 300 - SITE'!$B:CJ,87,FALSE),"N/A")</f>
        <v>N/A</v>
      </c>
      <c r="FZ101" s="108" t="str">
        <f>IFERROR(VLOOKUP($B101,'LOD 300 - SITE'!$B:CM,90,FALSE),"N/A")</f>
        <v>N/A</v>
      </c>
      <c r="GA101" s="108" t="str">
        <f>IFERROR(VLOOKUP($B101,'LOD 300 - SITE'!$B:CP,93,FALSE),"N/A")</f>
        <v>N/A</v>
      </c>
      <c r="GB101" s="108" t="str">
        <f>IFERROR(VLOOKUP($B101,'LOD 300 - SITE'!$B:CS,96,FALSE),"N/A")</f>
        <v>N/A</v>
      </c>
      <c r="GC101" s="109" t="str">
        <f>IFERROR(VLOOKUP($B101,'LOD 300 - SITE'!$B:CV,99,FALSE),"N/A")</f>
        <v>N/A</v>
      </c>
      <c r="GD101" s="87" t="str">
        <f>IFERROR(VLOOKUP($B101,'LOD 300 - SITE'!$B:CY,102,FALSE),"N/A")</f>
        <v>N/A</v>
      </c>
      <c r="GE101" s="87" t="str">
        <f>IFERROR(VLOOKUP($B101,'LOD 300 - SITE'!$B:DB,105,FALSE),"N/A")</f>
        <v>N/A</v>
      </c>
      <c r="GF101" s="87" t="str">
        <f>IFERROR(VLOOKUP($B101,'LOD 300 - SITE'!$B:DE,108,FALSE),"N/A")</f>
        <v>N/A</v>
      </c>
      <c r="GG101" s="87" t="str">
        <f>IFERROR(VLOOKUP($B101,'LOD 300 - SITE'!$B:DH,111,FALSE),"N/A")</f>
        <v>N/A</v>
      </c>
      <c r="GH101" s="87" t="str">
        <f>IFERROR(VLOOKUP($B101,'LOD 300 - SITE'!$B:DK,114,FALSE),"N/A")</f>
        <v>N/A</v>
      </c>
      <c r="GI101" s="87" t="str">
        <f>IFERROR(VLOOKUP($B101,'LOD 300 - SITE'!$B:DN,117,FALSE),"N/A")</f>
        <v>N/A</v>
      </c>
      <c r="GJ101" s="87" t="str">
        <f>IFERROR(VLOOKUP($B101,'LOD 300 - SITE'!$B:DQ,120,FALSE),"N/A")</f>
        <v>N/A</v>
      </c>
      <c r="GK101" s="87" t="str">
        <f>IFERROR(VLOOKUP($B101,'LOD 300 - SITE'!$B:DT,123,FALSE),"N/A")</f>
        <v>N/A</v>
      </c>
      <c r="GL101" s="135"/>
      <c r="GM101" s="110" t="str">
        <f>IFERROR(__xludf.DUMMYFUNCTION("IFERROR(
  MAX(FILTER(FB101:GK101, ISNUMBER(FB101:GK101))),
  GK101
)"),"N/A")</f>
        <v>N/A</v>
      </c>
      <c r="GN101" s="68"/>
      <c r="GO101" s="68"/>
      <c r="GP101" s="68"/>
    </row>
    <row r="102" ht="15.0" customHeight="1" outlineLevel="1">
      <c r="A102" s="60">
        <v>105.0</v>
      </c>
      <c r="B102" s="140" t="s">
        <v>311</v>
      </c>
      <c r="C102" s="70" t="s">
        <v>312</v>
      </c>
      <c r="D102" s="71" t="s">
        <v>90</v>
      </c>
      <c r="E102" s="138" t="s">
        <v>100</v>
      </c>
      <c r="F102" s="13">
        <v>1104.0</v>
      </c>
      <c r="G102" s="139" t="s">
        <v>101</v>
      </c>
      <c r="H102" s="139">
        <v>1127.0</v>
      </c>
      <c r="I102" s="74" t="str">
        <f>IFERROR(VLOOKUP(C99:C241,'R22 RELATÓRIO ACC'!B:F,5,FALSE),"NOT PUBLISHED")</f>
        <v>NOT PUBLISHED</v>
      </c>
      <c r="J102" s="74" t="str">
        <f>IFERROR(VLOOKUP(C99:C241,'R22 RELATÓRIO ACC'!B:P,15,FALSE),"NOT PUBLISHED")</f>
        <v>NOT PUBLISHED</v>
      </c>
      <c r="K102" s="141" t="str">
        <f>IFERROR(VLOOKUP(B99:B289,'RELATÓRIO ACC'!B:F,5,FALSE),"NOT PUBLISHED")</f>
        <v>NOT PUBLISHED</v>
      </c>
      <c r="L102" s="142" t="str">
        <f>IFERROR(VLOOKUP(B99:B289,'RELATÓRIO ACC'!B:P,15,FALSE),"NOT PUBLISHED")</f>
        <v>NOT PUBLISHED</v>
      </c>
      <c r="M102" s="76" t="str">
        <f>IF(OR($D102="UTLS",$D102="GUAR",$D102="STIR",$D102="PUMP",$D102="SITE"),
   VLOOKUP($B102,'LOD 300 - SITE'!B:M,12,FALSE),
   VLOOKUP($B102,'LOD 300 - ADMN'!B:M,12,FALSE)
)</f>
        <v>NOT PUBLISHED</v>
      </c>
      <c r="N102" s="76" t="str">
        <f>IF(OR($D102="UTLS",$D102="GUAR",$D102="STIR",$D102="PUMP",$D102="SITE"),
   VLOOKUP($B102,'LOD 300 - SITE'!B:N,13,FALSE),
   VLOOKUP($B102,'LOD 300 - ADMN'!B:N,13,FALSE)
)</f>
        <v>NOT PUBLISHED</v>
      </c>
      <c r="O102" s="78" t="str">
        <f>IF(OR($D102="UTLS",$D102="GUAR",$D102="STIR",$D102="PUMP",$D102="SITE"),
   VLOOKUP($B102,'LOD 300 - SITE'!B:O,14,FALSE),
   VLOOKUP($B102,'LOD 300 - ADMN'!B:O,14,FALSE)
)</f>
        <v/>
      </c>
      <c r="P102" s="79" t="str">
        <f>IF(OR($D102="C345",$D102="C12A",$D102="DATA"),
   VLOOKUP($B102,'LOD 300 - COLO3'!B:M,12,FALSE),"N/A")</f>
        <v>N/A</v>
      </c>
      <c r="Q102" s="76" t="str">
        <f>IF(OR($D102="C345",$D102="C12A",$D102="DATA"),
   VLOOKUP($B102,'LOD 300 - COLO3'!B:N,13,FALSE),"N/A")</f>
        <v>N/A</v>
      </c>
      <c r="R102" s="76" t="str">
        <f>IF(OR($D102="C345",$D102="C12A",$D102="DATA"),
   VLOOKUP($B102,'LOD 300 - COLO3'!B:O,14,FALSE),"N/A")</f>
        <v>N/A</v>
      </c>
      <c r="S102" s="79" t="str">
        <f>IF(OR($D102="C345",$D102="C12A",$D102="DATA"),
   VLOOKUP($B102,'LOD 300 - COLO4'!B:M,12,FALSE),"N/A")</f>
        <v>N/A</v>
      </c>
      <c r="T102" s="76" t="str">
        <f>IF(OR($D102="C345",$D102="C12A",$D102="DATA"),
   VLOOKUP($B102,'LOD 300 - COLO4'!B:T,13,FALSE),"N/A")</f>
        <v>N/A</v>
      </c>
      <c r="U102" s="76" t="str">
        <f>IF(OR($D102="C345",$D102="C12A",$D102="DATA"),
   VLOOKUP($B102,'LOD 300 - COLO4'!B:U,17,FALSE),"N/A")</f>
        <v>N/A</v>
      </c>
      <c r="V102" s="126"/>
      <c r="W102" s="116" t="str">
        <f>IFERROR(VLOOKUP($B102,'LOD 300 - ADMN'!$B:S,18,FALSE),"N/A")</f>
        <v>N/A</v>
      </c>
      <c r="X102" s="117" t="str">
        <f>IFERROR(VLOOKUP($B102,'LOD 300 - ADMN'!$B:V,21,FALSE),"N/A")</f>
        <v>N/A</v>
      </c>
      <c r="Y102" s="117" t="str">
        <f>IFERROR(VLOOKUP($B102,'LOD 300 - ADMN'!$B:Y,24,FALSE),"N/A")</f>
        <v>N/A</v>
      </c>
      <c r="Z102" s="117" t="str">
        <f>IFERROR(VLOOKUP($B102,'LOD 300 - ADMN'!$B:AB,27,FALSE),"N/A")</f>
        <v>N/A</v>
      </c>
      <c r="AA102" s="117" t="str">
        <f>IFERROR(VLOOKUP($B102,'LOD 300 - ADMN'!$B:AE,30,FALSE),"N/A")</f>
        <v>N/A</v>
      </c>
      <c r="AB102" s="118" t="str">
        <f>IFERROR(VLOOKUP($B102,'LOD 300 - ADMN'!$B:AH,33,FALSE),"N/A")</f>
        <v>N/A</v>
      </c>
      <c r="AC102" s="118" t="str">
        <f>IFERROR(VLOOKUP($B102,'LOD 300 - ADMN'!$B:AK,36,FALSE),"N/A")</f>
        <v>N/A</v>
      </c>
      <c r="AD102" s="117" t="str">
        <f>IFERROR(VLOOKUP($B102,'LOD 300 - ADMN'!$B:AN,39,FALSE),"N/A")</f>
        <v>N/A</v>
      </c>
      <c r="AE102" s="117" t="str">
        <f>IFERROR(VLOOKUP($B102,'LOD 300 - ADMN'!$B:AQ,42,FALSE),"N/A")</f>
        <v>N/A</v>
      </c>
      <c r="AF102" s="117" t="str">
        <f>IFERROR(VLOOKUP($B102,'LOD 300 - ADMN'!$B:AT,45,FALSE),"N/A")</f>
        <v>N/A</v>
      </c>
      <c r="AG102" s="117" t="str">
        <f>IFERROR(VLOOKUP($B102,'LOD 300 - ADMN'!$B:AW,48,FALSE),"N/A")</f>
        <v>N/A</v>
      </c>
      <c r="AH102" s="117" t="str">
        <f>IFERROR(VLOOKUP($B102,'LOD 300 - ADMN'!$B:AZ,51,FALSE),"N/A")</f>
        <v>N/A</v>
      </c>
      <c r="AI102" s="119" t="str">
        <f>IFERROR(VLOOKUP($B102,'LOD 300 - ADMN'!$B:BC,54,FALSE),"N/A")</f>
        <v>N/A</v>
      </c>
      <c r="AJ102" s="86" t="str">
        <f>IFERROR(VLOOKUP($B102,'LOD 300 - ADMN'!$B:BF,57,FALSE),"N/A")</f>
        <v>N/A</v>
      </c>
      <c r="AK102" s="87" t="str">
        <f>IFERROR(VLOOKUP($B102,'LOD 300 - ADMN'!$B:EP,60,FALSE),"N/A")</f>
        <v>N/A</v>
      </c>
      <c r="AL102" s="86" t="str">
        <f>IFERROR(VLOOKUP($B102,'LOD 300 - ADMN'!$B:EQ,63,FALSE),"N/A")</f>
        <v>N/A</v>
      </c>
      <c r="AM102" s="86" t="str">
        <f>IFERROR(VLOOKUP($B102,'LOD 300 - ADMN'!$B:BO,66,FALSE),"N/A")</f>
        <v>N/A</v>
      </c>
      <c r="AN102" s="86" t="str">
        <f>IFERROR(VLOOKUP($B102,'LOD 300 - ADMN'!$B:BR,69,FALSE),"N/A")</f>
        <v>N/A</v>
      </c>
      <c r="AO102" s="86" t="str">
        <f>IFERROR(VLOOKUP($B102,'LOD 300 - ADMN'!$B:BU,72,FALSE),"N/A")</f>
        <v>N/A</v>
      </c>
      <c r="AP102" s="86" t="str">
        <f>IFERROR(VLOOKUP($B102,'LOD 300 - ADMN'!$B:BX,75,FALSE),"N/A")</f>
        <v>N/A</v>
      </c>
      <c r="AQ102" s="86" t="str">
        <f>IFERROR(VLOOKUP($B102,'LOD 300 - ADMN'!$B:CA,78,FALSE),"N/A")</f>
        <v>N/A</v>
      </c>
      <c r="AR102" s="86" t="str">
        <f>IFERROR(VLOOKUP($B102,'LOD 300 - ADMN'!$B:CD,81,FALSE),"N/A")</f>
        <v>N/A</v>
      </c>
      <c r="AS102" s="86" t="str">
        <f>IFERROR(VLOOKUP($B102,'LOD 300 - ADMN'!$B:CG,84,FALSE),"N/A")</f>
        <v>N/A</v>
      </c>
      <c r="AT102" s="86" t="str">
        <f>IFERROR(VLOOKUP($B102,'LOD 300 - ADMN'!$B:CJ,87,FALSE),"N/A")</f>
        <v>N/A</v>
      </c>
      <c r="AU102" s="88" t="str">
        <f>IFERROR(VLOOKUP($B102,'LOD 300 - ADMN'!$B:CM,90,FALSE),"N/A")</f>
        <v>N/A</v>
      </c>
      <c r="AV102" s="88" t="str">
        <f>IFERROR(VLOOKUP($B102,'LOD 300 - ADMN'!$B:CP,93,FALSE),"N/A")</f>
        <v>N/A</v>
      </c>
      <c r="AW102" s="88" t="str">
        <f>IFERROR(VLOOKUP($B102,'LOD 300 - ADMN'!$B:CS,96,FALSE),"N/A")</f>
        <v>N/A</v>
      </c>
      <c r="AX102" s="88" t="str">
        <f>IFERROR(VLOOKUP($B102,'LOD 300 - ADMN'!$B:CV,99,FALSE),"N/A")</f>
        <v>N/A</v>
      </c>
      <c r="AY102" s="88" t="str">
        <f>IFERROR(VLOOKUP($B102,'LOD 300 - ADMN'!$B:CY,102,FALSE),"N/A")</f>
        <v>N/A</v>
      </c>
      <c r="AZ102" s="89" t="str">
        <f>IFERROR(VLOOKUP($B102,'LOD 300 - ADMN'!$B:DB,105,FALSE),"N/A")</f>
        <v>N/A</v>
      </c>
      <c r="BA102" s="87" t="str">
        <f>IFERROR(VLOOKUP($B102,'LOD 300 - ADMN'!$B:DE,108,FALSE),"N/A")</f>
        <v>N/A</v>
      </c>
      <c r="BB102" s="87" t="str">
        <f>IFERROR(VLOOKUP($B102,'LOD 300 - ADMN'!$B:DH,111,FALSE),"N/A")</f>
        <v>N/A</v>
      </c>
      <c r="BC102" s="87" t="str">
        <f>IFERROR(VLOOKUP($B102,'LOD 300 - ADMN'!$B:DK,114,FALSE),"N/A")</f>
        <v>N/A</v>
      </c>
      <c r="BD102" s="87" t="str">
        <f>IFERROR(VLOOKUP($B102,'LOD 300 - ADMN'!$B:DN,117,FALSE),"N/A")</f>
        <v>N/A</v>
      </c>
      <c r="BE102" s="87" t="str">
        <f>IFERROR(VLOOKUP($B102,'LOD 300 - ADMN'!$B:DQ,120,FALSE),"N/A")</f>
        <v>N/A</v>
      </c>
      <c r="BF102" s="87" t="str">
        <f>IFERROR(VLOOKUP($B102,'LOD 300 - ADMN'!$B:DT,123,FALSE),"N/A")</f>
        <v>N/A</v>
      </c>
      <c r="BG102" s="87" t="str">
        <f>IFERROR(VLOOKUP($B102,'LOD 300 - ADMN'!$B:DW,126,FALSE),"N/A")</f>
        <v>N/A</v>
      </c>
      <c r="BH102" s="87" t="str">
        <f>IFERROR(VLOOKUP($B102,'LOD 300 - ADMN'!$B:DZ,129,FALSE),"N/A")</f>
        <v>N/A</v>
      </c>
      <c r="BI102" s="134"/>
      <c r="BJ102" s="90" t="str">
        <f>IFERROR(__xludf.DUMMYFUNCTION("IFERROR(
  MAX(FILTER(X102:BH102, ISNUMBER(X102:BH102))),
  BH102
)"),"N/A")</f>
        <v>N/A</v>
      </c>
      <c r="BK102" s="91" t="str">
        <f>IFERROR(VLOOKUP($B102,'LOD 300 - COLO1'!$B:S,18,FALSE),"N/A")</f>
        <v>N/A</v>
      </c>
      <c r="BL102" s="92" t="str">
        <f>IFERROR(VLOOKUP($B102,'LOD 300 - COLO1'!$B:V,21,FALSE),"N/A")</f>
        <v>N/A</v>
      </c>
      <c r="BM102" s="92" t="str">
        <f>IFERROR(VLOOKUP($B102,'LOD 300 - COLO1'!$B:Y,24,FALSE),"N/A")</f>
        <v>N/A</v>
      </c>
      <c r="BN102" s="92" t="str">
        <f>IFERROR(VLOOKUP($B102,'LOD 300 - COLO1'!$B:AB,27,FALSE),"N/A")</f>
        <v>N/A</v>
      </c>
      <c r="BO102" s="92" t="str">
        <f>IFERROR(VLOOKUP($B102,'LOD 300 - COLO1'!$B:AE,30,FALSE),"N/A")</f>
        <v>N/A</v>
      </c>
      <c r="BP102" s="92" t="str">
        <f>IFERROR(VLOOKUP($B102,'LOD 300 - COLO1'!$B:AH,33,FALSE),"N/A")</f>
        <v>N/A</v>
      </c>
      <c r="BQ102" s="92" t="str">
        <f>IFERROR(VLOOKUP($B102,'LOD 300 - COLO1'!$B:AK,36,FALSE),"N/A")</f>
        <v>N/A</v>
      </c>
      <c r="BR102" s="92" t="str">
        <f>IFERROR(VLOOKUP($B102,'LOD 300 - COLO1'!$B:AN,39,FALSE),"N/A")</f>
        <v>N/A</v>
      </c>
      <c r="BS102" s="92" t="str">
        <f>IFERROR(VLOOKUP($B102,'LOD 300 - COLO1'!$B:AQ,42,FALSE),"N/A")</f>
        <v>N/A</v>
      </c>
      <c r="BT102" s="92" t="str">
        <f>IFERROR(VLOOKUP($B102,'LOD 300 - COLO1'!$B:AT,45,FALSE),"N/A")</f>
        <v>N/A</v>
      </c>
      <c r="BU102" s="92" t="str">
        <f>IFERROR(VLOOKUP($B102,'LOD 300 - COLO1'!$B:AW,48,FALSE),"N/A")</f>
        <v>N/A</v>
      </c>
      <c r="BV102" s="92" t="str">
        <f>IFERROR(VLOOKUP($B102,'LOD 300 - COLO1'!$B:AZ,51,FALSE),"N/A")</f>
        <v>N/A</v>
      </c>
      <c r="BW102" s="92" t="str">
        <f>IFERROR(VLOOKUP($B102,'LOD 300 - COLO1'!$B:BC,54,FALSE),"N/A")</f>
        <v>N/A</v>
      </c>
      <c r="BX102" s="94" t="str">
        <f>IFERROR(VLOOKUP($B102,'LOD 300 - COLO1'!$B:BF,57,FALSE),"N/A")</f>
        <v>N/A</v>
      </c>
      <c r="BY102" s="94" t="str">
        <f>IFERROR(VLOOKUP($B102,'LOD 300 - COLO1'!$B:BI,60,FALSE),"N/A")</f>
        <v>N/A</v>
      </c>
      <c r="BZ102" s="95" t="str">
        <f>IFERROR(VLOOKUP($B102,'LOD 300 - COLO1'!$B:BL,63,FALSE),"N/A")</f>
        <v>N/A</v>
      </c>
      <c r="CA102" s="86" t="str">
        <f>IFERROR(VLOOKUP($B102,'LOD 300 - COLO1'!$B:BO,66,FALSE),"N/A")</f>
        <v>N/A</v>
      </c>
      <c r="CB102" s="86" t="str">
        <f>IFERROR(VLOOKUP($B102,'LOD 300 - COLO1'!$B:BR,69,FALSE),"N/A")</f>
        <v>N/A</v>
      </c>
      <c r="CC102" s="86" t="str">
        <f>IFERROR(VLOOKUP($B102,'LOD 300 - COLO1'!$B:BU,72,FALSE),"N/A")</f>
        <v>N/A</v>
      </c>
      <c r="CD102" s="86" t="str">
        <f>IFERROR(VLOOKUP($B102,'LOD 300 - COLO1'!$B:BX,75,FALSE),"N/A")</f>
        <v>N/A</v>
      </c>
      <c r="CE102" s="86" t="str">
        <f>IFERROR(VLOOKUP($B102,'LOD 300 - COLO1'!$B:CA,78,FALSE),"N/A")</f>
        <v>N/A</v>
      </c>
      <c r="CF102" s="87" t="str">
        <f>IFERROR(VLOOKUP($B102,'LOD 300 - COLO1'!$B:CD,81,FALSE),"N/A")</f>
        <v>N/A</v>
      </c>
      <c r="CG102" s="86" t="str">
        <f>IFERROR(VLOOKUP($B102,'LOD 300 - COLO1'!$B:CG,84,FALSE),"N/A")</f>
        <v>N/A</v>
      </c>
      <c r="CH102" s="87" t="str">
        <f>IFERROR(VLOOKUP($B102,'LOD 300 - COLO1'!$B:CJ,87,FALSE),"N/A")</f>
        <v>N/A</v>
      </c>
      <c r="CI102" s="88" t="str">
        <f>IFERROR(VLOOKUP($B102,'LOD 300 - COLO1'!$B:CM,90,FALSE),"N/A")</f>
        <v>N/A</v>
      </c>
      <c r="CJ102" s="88" t="str">
        <f>IFERROR(VLOOKUP($B102,'LOD 300 - COLO1'!$B:CP,93,FALSE),"N/A")</f>
        <v>N/A</v>
      </c>
      <c r="CK102" s="88" t="str">
        <f>IFERROR(VLOOKUP($B102,'LOD 300 - COLO1'!$B:CS,96,FALSE),"N/A")</f>
        <v>N/A</v>
      </c>
      <c r="CL102" s="88" t="str">
        <f>IFERROR(VLOOKUP($B102,'LOD 300 - COLO1'!$B:CV,99,FALSE),"N/A")</f>
        <v>N/A</v>
      </c>
      <c r="CM102" s="88" t="str">
        <f>IFERROR(VLOOKUP($B102,'LOD 300 - COLO1'!$B:CY,102,FALSE),"N/A")</f>
        <v>N/A</v>
      </c>
      <c r="CN102" s="89" t="str">
        <f>IFERROR(VLOOKUP($B102,'LOD 300 - COLO1'!$B:DB,105,FALSE),"N/A")</f>
        <v>N/A</v>
      </c>
      <c r="CO102" s="87" t="str">
        <f>IFERROR(VLOOKUP($B102,'LOD 300 - COLO1'!$B:EE,108,FALSE),"N/A")</f>
        <v>N/A</v>
      </c>
      <c r="CP102" s="87" t="str">
        <f>IFERROR(VLOOKUP($B102,'LOD 300 - COLO1'!$B:EH,111,FALSE),"N/A")</f>
        <v>N/A</v>
      </c>
      <c r="CQ102" s="87" t="str">
        <f>IFERROR(VLOOKUP($B102,'LOD 300 - COLO1'!$B:EK,114,FALSE),"N/A")</f>
        <v>N/A</v>
      </c>
      <c r="CR102" s="87" t="str">
        <f>IFERROR(VLOOKUP($B102,'LOD 300 - COLO1'!$B:EN,117,FALSE),"N/A")</f>
        <v>N/A</v>
      </c>
      <c r="CS102" s="87" t="str">
        <f>IFERROR(VLOOKUP($B102,'LOD 300 - COLO1'!$B:EQ,120,FALSE),"N/A")</f>
        <v>N/A</v>
      </c>
      <c r="CT102" s="87" t="str">
        <f>IFERROR(VLOOKUP($B102,'LOD 300 - COLO1'!$B:ET,123,FALSE),"N/A")</f>
        <v>N/A</v>
      </c>
      <c r="CU102" s="87" t="str">
        <f>IFERROR(VLOOKUP($B102,'LOD 300 - COLO1'!$B:EW,126,FALSE),"N/A")</f>
        <v>N/A</v>
      </c>
      <c r="CV102" s="87" t="str">
        <f>IFERROR(VLOOKUP($B102,'LOD 300 - COLO1'!$B:EZ,129,FALSE),"N/A")</f>
        <v>N/A</v>
      </c>
      <c r="CW102" s="135"/>
      <c r="CX102" s="96" t="str">
        <f>IFERROR(__xludf.DUMMYFUNCTION("IFERROR(
  MAX(FILTER(BK102:CV102, ISNUMBER(BK102:CV102))),
  CV102
)"),"N/A")</f>
        <v>N/A</v>
      </c>
      <c r="CY102" s="104" t="str">
        <f>IFERROR(VLOOKUP($B102,'LOD 300 - COLO2'!$B:S,18,FALSE),"N/A")</f>
        <v>N/A</v>
      </c>
      <c r="CZ102" s="117" t="str">
        <f>IFERROR(VLOOKUP($B102,'LOD 300 - COLO2'!$B:V,21,FALSE),"N/A")</f>
        <v>N/A</v>
      </c>
      <c r="DA102" s="117" t="str">
        <f>IFERROR(VLOOKUP($B102,'LOD 300 - COLO2'!$B:Y,24,FALSE),"N/A")</f>
        <v>N/A</v>
      </c>
      <c r="DB102" s="117" t="str">
        <f>IFERROR(VLOOKUP($B102,'LOD 300 - COLO2'!$B:AB,27,FALSE),"N/A")</f>
        <v>N/A</v>
      </c>
      <c r="DC102" s="92" t="str">
        <f>IFERROR(VLOOKUP($B102,'LOD 300 - COLO2'!$B:AE,30,FALSE),"N/A")</f>
        <v>N/A</v>
      </c>
      <c r="DD102" s="120" t="str">
        <f>IFERROR(VLOOKUP($B102,'LOD 300 - COLO2'!$B:AH,33,FALSE),"N/A")</f>
        <v>N/A</v>
      </c>
      <c r="DE102" s="117" t="str">
        <f>IFERROR(VLOOKUP($B102,'LOD 300 - COLO2'!$B:AK,36,FALSE),"N/A")</f>
        <v>N/A</v>
      </c>
      <c r="DF102" s="117" t="str">
        <f>IFERROR(VLOOKUP($B102,'LOD 300 - COLO2'!$B:AN,39,FALSE),"N/A")</f>
        <v>N/A</v>
      </c>
      <c r="DG102" s="119" t="str">
        <f>IFERROR(VLOOKUP($B102,'LOD 300 - COLO2'!$B:AQ,42,FALSE),"N/A")</f>
        <v>N/A</v>
      </c>
      <c r="DH102" s="87" t="str">
        <f>IFERROR(VLOOKUP($B102,'LOD 300 - COLO2'!$B:AT,45,FALSE),"N/A")</f>
        <v>N/A</v>
      </c>
      <c r="DI102" s="94" t="str">
        <f>IFERROR(VLOOKUP($B102,'LOD 300 - COLO2'!$B:AW,48,FALSE),"N/A")</f>
        <v>N/A</v>
      </c>
      <c r="DJ102" s="95" t="str">
        <f>IFERROR(VLOOKUP($B102,'LOD 300 - COLO2'!$B:AZ,51,FALSE),"N/A")</f>
        <v>N/A</v>
      </c>
      <c r="DK102" s="86" t="str">
        <f>IFERROR(VLOOKUP($B102,'LOD 300 - COLO2'!$B:BC,54,FALSE),"N/A")</f>
        <v>N/A</v>
      </c>
      <c r="DL102" s="86" t="str">
        <f>IFERROR(VLOOKUP($B102,'LOD 300 - COLO2'!$B:BF,57,FALSE),"N/A")</f>
        <v>N/A</v>
      </c>
      <c r="DM102" s="86" t="str">
        <f>IFERROR(VLOOKUP($B102,'LOD 300 - COLO2'!$B:BI,60,FALSE),"N/A")</f>
        <v>N/A</v>
      </c>
      <c r="DN102" s="86" t="str">
        <f>IFERROR(VLOOKUP($B102,'LOD 300 - COLO2'!$B:BL,63,FALSE),"N/A")</f>
        <v>N/A</v>
      </c>
      <c r="DO102" s="86" t="str">
        <f>IFERROR(VLOOKUP($B102,'LOD 300 - COLO2'!$B:BO,66,FALSE),"N/A")</f>
        <v>N/A</v>
      </c>
      <c r="DP102" s="87" t="str">
        <f>IFERROR(VLOOKUP($B102,'LOD 300 - COLO2'!$B:BR,69,FALSE),"N/A")</f>
        <v>N/A</v>
      </c>
      <c r="DQ102" s="87" t="str">
        <f>IFERROR(VLOOKUP($B102,'LOD 300 - COLO2'!$B:BU,72,FALSE),"N/A")</f>
        <v>N/A</v>
      </c>
      <c r="DR102" s="87" t="str">
        <f>IFERROR(VLOOKUP($B102,'LOD 300 - COLO2'!$B:BX,75,FALSE),"N/A")</f>
        <v>N/A</v>
      </c>
      <c r="DS102" s="98" t="str">
        <f>IFERROR(VLOOKUP($B102,'LOD 300 - COLO2'!$B:CA,78,FALSE),"N/A")</f>
        <v>N/A</v>
      </c>
      <c r="DT102" s="98" t="str">
        <f>IFERROR(VLOOKUP($B102,'LOD 300 - COLO2'!$B:CD,81,FALSE),"N/A")</f>
        <v>N/A</v>
      </c>
      <c r="DU102" s="98" t="str">
        <f>IFERROR(VLOOKUP($B102,'LOD 300 - COLO2'!$B:CG,84,FALSE),"N/A")</f>
        <v>N/A</v>
      </c>
      <c r="DV102" s="98" t="str">
        <f>IFERROR(VLOOKUP($B102,'LOD 300 - COLO2'!$B:CJ,87,FALSE),"N/A")</f>
        <v>N/A</v>
      </c>
      <c r="DW102" s="98" t="str">
        <f>IFERROR(VLOOKUP($B102,'LOD 300 - COLO2'!$B:CM,90,FALSE),"N/A")</f>
        <v>N/A</v>
      </c>
      <c r="DX102" s="98" t="str">
        <f>IFERROR(VLOOKUP($B102,'LOD 300 - COLO2'!$B:CP,93,FALSE),"N/A")</f>
        <v>N/A</v>
      </c>
      <c r="DY102" s="87" t="str">
        <f>IFERROR(VLOOKUP($B102,'LOD 300 - COLO2'!$B:CS,96,FALSE),"N/A")</f>
        <v>N/A</v>
      </c>
      <c r="DZ102" s="87" t="str">
        <f>IFERROR(VLOOKUP($B102,'LOD 300 - COLO2'!$B:CV,99,FALSE),"N/A")</f>
        <v>N/A</v>
      </c>
      <c r="EA102" s="87" t="str">
        <f>IFERROR(VLOOKUP($B102,'LOD 300 - COLO2'!$B:DB,105,FALSE),"N/A")</f>
        <v>N/A</v>
      </c>
      <c r="EB102" s="87" t="str">
        <f>IFERROR(VLOOKUP($B102,'LOD 300 - COLO2'!$B:DB,105,FALSE),"N/A")</f>
        <v>N/A</v>
      </c>
      <c r="EC102" s="87" t="str">
        <f>IFERROR(VLOOKUP($B102,'LOD 300 - COLO2'!$B:DE,108,FALSE),"N/A")</f>
        <v>N/A</v>
      </c>
      <c r="ED102" s="87" t="str">
        <f>IFERROR(VLOOKUP($B102,'LOD 300 - COLO2'!$B:DH,111,FALSE),"N/A")</f>
        <v>N/A</v>
      </c>
      <c r="EE102" s="87" t="str">
        <f>IFERROR(VLOOKUP($B102,'LOD 300 - COLO2'!$B:DK,114,FALSE),"N/A")</f>
        <v>N/A</v>
      </c>
      <c r="EF102" s="87" t="str">
        <f>IFERROR(VLOOKUP($B102,'LOD 300 - COLO2'!$B:DN,117,FALSE),"N/A")</f>
        <v>N/A</v>
      </c>
      <c r="EG102" s="135"/>
      <c r="EH102" s="99" t="str">
        <f>IFERROR(__xludf.DUMMYFUNCTION("IFERROR(
  MAX(FILTER(CZ102:EF102, ISNUMBER(CZ102:EF102))),
  EF102
)"),"N/A")</f>
        <v>N/A</v>
      </c>
      <c r="EI102" s="100" t="str">
        <f>IFERROR(VLOOKUP($B102,'LOD 300 - COLO3'!$B:R,17,FALSE),"N/A")</f>
        <v>N/A</v>
      </c>
      <c r="EJ102" s="127" t="str">
        <f>IFERROR(VLOOKUP($B102,'LOD 300 - COLO3'!$B:U,20,FALSE),"N/A")</f>
        <v>N/A</v>
      </c>
      <c r="EK102" s="127" t="str">
        <f>IFERROR(VLOOKUP($B102,'LOD 300 - COLO3'!$B:X,23,FALSE),"N/A")</f>
        <v>N/A</v>
      </c>
      <c r="EL102" s="127" t="str">
        <f>IFERROR(VLOOKUP($B102,'LOD 300 - COLO3'!$B:AA,26,FALSE),"N/A")</f>
        <v>N/A</v>
      </c>
      <c r="EM102" s="127" t="str">
        <f>IFERROR(VLOOKUP($B102,'LOD 300 - COLO3'!$B:AD,29,FALSE),"N/A")</f>
        <v>N/A</v>
      </c>
      <c r="EN102" s="127" t="str">
        <f>IFERROR(VLOOKUP($B102,'LOD 300 - COLO3'!$B:AG,32,FALSE),"N/A")</f>
        <v>N/A</v>
      </c>
      <c r="EO102" s="127" t="str">
        <f>IFERROR(VLOOKUP($B102,'LOD 300 - COLO3'!$B:AJ,35,FALSE),"N/A")</f>
        <v>N/A</v>
      </c>
      <c r="EP102" s="100" t="str">
        <f>IFERROR(VLOOKUP($B102,'LOD 300 - COLO3'!$B:AM,38,FALSE),"N/A")</f>
        <v>N/A</v>
      </c>
      <c r="EQ102" s="100" t="str">
        <f>IFERROR(VLOOKUP($B102,'LOD 300 - COLO3'!$B:AP,41,FALSE),"N/A")</f>
        <v>N/A</v>
      </c>
      <c r="ER102" s="100" t="str">
        <f>IFERROR(VLOOKUP($B102,'LOD 300 - COLO3'!$B:AS,44,FALSE),"N/A")</f>
        <v>N/A</v>
      </c>
      <c r="ES102" s="100" t="str">
        <f>IFERROR(VLOOKUP($B102,'LOD 300 - COLO3'!$B:AV,47,FALSE),"N/A")</f>
        <v>N/A</v>
      </c>
      <c r="ET102" s="100" t="str">
        <f>IFERROR(VLOOKUP($B102,'LOD 300 - COLO3'!$B:AY,50,FALSE),"N/A")</f>
        <v>N/A</v>
      </c>
      <c r="EU102" s="100" t="str">
        <f>IFERROR(VLOOKUP($B102,'LOD 300 - COLO3'!$B:BB,53,FALSE),"N/A")</f>
        <v>N/A</v>
      </c>
      <c r="EV102" s="100" t="str">
        <f>IFERROR(VLOOKUP($B102,'LOD 300 - COLO3'!$B:BE,56,FALSE),"N/A")</f>
        <v>N/A</v>
      </c>
      <c r="EW102" s="100" t="str">
        <f>IFERROR(VLOOKUP($B102,'LOD 300 - COLO3'!$B:BL,59,FALSE),"N/A")</f>
        <v>N/A</v>
      </c>
      <c r="EX102" s="136"/>
      <c r="EY102" s="103" t="str">
        <f>IFERROR(__xludf.DUMMYFUNCTION("IFERROR(
  MAX(FILTER(EI102:EW102, ISNUMBER(EI102:EW102))),
  EW102
)"),"N/A")</f>
        <v>N/A</v>
      </c>
      <c r="EZ102" s="104" t="str">
        <f>IFERROR(VLOOKUP($B102,'LOD 300 - COLO4'!$B:BT,17,FALSE),"N/A")</f>
        <v>N/A</v>
      </c>
      <c r="FA102" s="103" t="str">
        <f>IFERROR(__xludf.DUMMYFUNCTION("IFERROR(
  MAX(FILTER(EZ102, ISNUMBER(EZ102))),
  EZ102
)"),"N/A")</f>
        <v>N/A</v>
      </c>
      <c r="FB102" s="121" t="str">
        <f>IFERROR(VLOOKUP($B102,'LOD 300 - SITE'!$B:S,18,FALSE),"N/A")</f>
        <v>NOT PUBLISHED</v>
      </c>
      <c r="FC102" s="122" t="str">
        <f>IFERROR(VLOOKUP($B102,'LOD 300 - SITE'!$B:V,21,FALSE),"N/A")</f>
        <v>NOT PUBLISHED</v>
      </c>
      <c r="FD102" s="122" t="str">
        <f>IFERROR(VLOOKUP($B102,'LOD 300 - SITE'!$B:Y,24,FALSE),"N/A")</f>
        <v>NOT PUBLISHED</v>
      </c>
      <c r="FE102" s="122" t="str">
        <f>IFERROR(VLOOKUP($B102,'LOD 300 - SITE'!$B:AB,27,FALSE),"N/A")</f>
        <v>NOT PUBLISHED</v>
      </c>
      <c r="FF102" s="122" t="str">
        <f>IFERROR(VLOOKUP($B102,'LOD 300 - SITE'!$B:AE,30,FALSE),"N/A")</f>
        <v>NOT PUBLISHED</v>
      </c>
      <c r="FG102" s="122" t="str">
        <f>IFERROR(VLOOKUP($B102,'LOD 300 - SITE'!$B:AH,33,FALSE),"N/A")</f>
        <v>NOT PUBLISHED</v>
      </c>
      <c r="FH102" s="122" t="str">
        <f>IFERROR(VLOOKUP($B102,'LOD 300 - SITE'!$B:AK,36,FALSE),"N/A")</f>
        <v>NOT PUBLISHED</v>
      </c>
      <c r="FI102" s="122" t="str">
        <f>IFERROR(VLOOKUP($B102,'LOD 300 - SITE'!$B:AN,39,FALSE),"N/A")</f>
        <v>NOT PUBLISHED</v>
      </c>
      <c r="FJ102" s="122" t="str">
        <f>IFERROR(VLOOKUP($B102,'LOD 300 - SITE'!$B:AQ,42,FALSE),"N/A")</f>
        <v>NOT PUBLISHED</v>
      </c>
      <c r="FK102" s="122" t="str">
        <f>IFERROR(VLOOKUP($B102,'LOD 300 - SITE'!$B:AT,45,FALSE),"N/A")</f>
        <v>NOT PUBLISHED</v>
      </c>
      <c r="FL102" s="123" t="str">
        <f>IFERROR(VLOOKUP($B102,'LOD 300 - SITE'!$B:AW,48,FALSE),"N/A")</f>
        <v>NOT PUBLISHED</v>
      </c>
      <c r="FM102" s="87" t="str">
        <f>IFERROR(VLOOKUP($B102,'LOD 300 - SITE'!$B:AZ,51,FALSE),"N/A")</f>
        <v>NOT PUBLISHED</v>
      </c>
      <c r="FN102" s="94" t="str">
        <f>IFERROR(VLOOKUP($B102,'LOD 300 - SITE'!$B:BC,54,FALSE),"N/A")</f>
        <v>NOT PUBLISHED</v>
      </c>
      <c r="FO102" s="95" t="str">
        <f>IFERROR(VLOOKUP($B102,'LOD 300 - SITE'!$B:BF,57,FALSE),"N/A")</f>
        <v>NOT PUBLISHED</v>
      </c>
      <c r="FP102" s="86" t="str">
        <f>IFERROR(VLOOKUP($B102,'LOD 300 - SITE'!$B:BI,60,FALSE),"N/A")</f>
        <v>NOT PUBLISHED</v>
      </c>
      <c r="FQ102" s="86" t="str">
        <f>IFERROR(VLOOKUP($B102,'LOD 300 - SITE'!$B:BL,63,FALSE),"N/A")</f>
        <v>NOT PUBLISHED</v>
      </c>
      <c r="FR102" s="86" t="str">
        <f>IFERROR(VLOOKUP($B102,'LOD 300 - SITE'!$B:BO,66,FALSE),"N/A")</f>
        <v>NOT PUBLISHED</v>
      </c>
      <c r="FS102" s="86" t="str">
        <f>IFERROR(VLOOKUP($B102,'LOD 300 - SITE'!$B:BR,69,FALSE),"N/A")</f>
        <v>NOT PUBLISHED</v>
      </c>
      <c r="FT102" s="86" t="str">
        <f>IFERROR(VLOOKUP($B102,'LOD 300 - SITE'!$B:BU,72,FALSE),"N/A")</f>
        <v>NOT PUBLISHED</v>
      </c>
      <c r="FU102" s="86" t="str">
        <f>IFERROR(VLOOKUP($B102,'LOD 300 - SITE'!$B:BX,75,FALSE),"N/A")</f>
        <v>NOT PUBLISHED</v>
      </c>
      <c r="FV102" s="86" t="str">
        <f>IFERROR(VLOOKUP($B102,'LOD 300 - SITE'!$B:CA,78,FALSE),"N/A")</f>
        <v>NOT PUBLISHED</v>
      </c>
      <c r="FW102" s="87" t="str">
        <f>IFERROR(VLOOKUP($B102,'LOD 300 - SITE'!$B:CD,81,FALSE),"N/A")</f>
        <v>NOT PUBLISHED</v>
      </c>
      <c r="FX102" s="108" t="str">
        <f>IFERROR(VLOOKUP($B102,'LOD 300 - SITE'!$B:CG,84,FALSE),"N/A")</f>
        <v>NOT PUBLISHED</v>
      </c>
      <c r="FY102" s="108" t="str">
        <f>IFERROR(VLOOKUP($B102,'LOD 300 - SITE'!$B:CJ,87,FALSE),"N/A")</f>
        <v>NOT PUBLISHED</v>
      </c>
      <c r="FZ102" s="108" t="str">
        <f>IFERROR(VLOOKUP($B102,'LOD 300 - SITE'!$B:CM,90,FALSE),"N/A")</f>
        <v>NOT PUBLISHED</v>
      </c>
      <c r="GA102" s="108" t="str">
        <f>IFERROR(VLOOKUP($B102,'LOD 300 - SITE'!$B:CP,93,FALSE),"N/A")</f>
        <v>NOT PUBLISHED</v>
      </c>
      <c r="GB102" s="108" t="str">
        <f>IFERROR(VLOOKUP($B102,'LOD 300 - SITE'!$B:CS,96,FALSE),"N/A")</f>
        <v>NOT PUBLISHED</v>
      </c>
      <c r="GC102" s="109" t="str">
        <f>IFERROR(VLOOKUP($B102,'LOD 300 - SITE'!$B:CV,99,FALSE),"N/A")</f>
        <v>NOT PUBLISHED</v>
      </c>
      <c r="GD102" s="87" t="str">
        <f>IFERROR(VLOOKUP($B102,'LOD 300 - SITE'!$B:CY,102,FALSE),"N/A")</f>
        <v>NOT PUBLISHED</v>
      </c>
      <c r="GE102" s="87" t="str">
        <f>IFERROR(VLOOKUP($B102,'LOD 300 - SITE'!$B:DB,105,FALSE),"N/A")</f>
        <v>NOT PUBLISHED</v>
      </c>
      <c r="GF102" s="87" t="str">
        <f>IFERROR(VLOOKUP($B102,'LOD 300 - SITE'!$B:DE,108,FALSE),"N/A")</f>
        <v>NOT PUBLISHED</v>
      </c>
      <c r="GG102" s="87" t="str">
        <f>IFERROR(VLOOKUP($B102,'LOD 300 - SITE'!$B:DH,111,FALSE),"N/A")</f>
        <v>NOT PUBLISHED</v>
      </c>
      <c r="GH102" s="87" t="str">
        <f>IFERROR(VLOOKUP($B102,'LOD 300 - SITE'!$B:DK,114,FALSE),"N/A")</f>
        <v>NOT PUBLISHED</v>
      </c>
      <c r="GI102" s="87" t="str">
        <f>IFERROR(VLOOKUP($B102,'LOD 300 - SITE'!$B:DN,117,FALSE),"N/A")</f>
        <v>NOT PUBLISHED</v>
      </c>
      <c r="GJ102" s="87" t="str">
        <f>IFERROR(VLOOKUP($B102,'LOD 300 - SITE'!$B:DQ,120,FALSE),"N/A")</f>
        <v>NOT PUBLISHED</v>
      </c>
      <c r="GK102" s="87" t="str">
        <f>IFERROR(VLOOKUP($B102,'LOD 300 - SITE'!$B:DT,123,FALSE),"N/A")</f>
        <v>NOT PUBLISHED</v>
      </c>
      <c r="GL102" s="135"/>
      <c r="GM102" s="110" t="str">
        <f>IFERROR(__xludf.DUMMYFUNCTION("IFERROR(
  MAX(FILTER(FB102:GK102, ISNUMBER(FB102:GK102))),
  GK102
)"),"NOT PUBLISHED")</f>
        <v>NOT PUBLISHED</v>
      </c>
      <c r="GN102" s="68"/>
      <c r="GO102" s="68"/>
      <c r="GP102" s="68"/>
    </row>
    <row r="103" ht="15.0" customHeight="1" outlineLevel="1">
      <c r="A103" s="60">
        <v>106.0</v>
      </c>
      <c r="B103" s="140" t="s">
        <v>313</v>
      </c>
      <c r="C103" s="70" t="s">
        <v>314</v>
      </c>
      <c r="D103" s="71" t="s">
        <v>90</v>
      </c>
      <c r="E103" s="138" t="s">
        <v>315</v>
      </c>
      <c r="F103" s="13">
        <v>1124.0</v>
      </c>
      <c r="G103" s="139" t="s">
        <v>115</v>
      </c>
      <c r="H103" s="150">
        <v>0.0</v>
      </c>
      <c r="I103" s="74" t="str">
        <f>IFERROR(VLOOKUP(C100:C242,'R22 RELATÓRIO ACC'!B:F,5,FALSE),"NOT PUBLISHED")</f>
        <v>NOT PUBLISHED</v>
      </c>
      <c r="J103" s="74" t="str">
        <f>IFERROR(VLOOKUP(C100:C242,'R22 RELATÓRIO ACC'!B:P,15,FALSE),"NOT PUBLISHED")</f>
        <v>NOT PUBLISHED</v>
      </c>
      <c r="K103" s="141" t="str">
        <f>IFERROR(VLOOKUP(B100:B290,'RELATÓRIO ACC'!B:F,5,FALSE),"NOT PUBLISHED")</f>
        <v>NOT PUBLISHED</v>
      </c>
      <c r="L103" s="142" t="str">
        <f>IFERROR(VLOOKUP(B100:B290,'RELATÓRIO ACC'!B:P,15,FALSE),"NOT PUBLISHED")</f>
        <v>NOT PUBLISHED</v>
      </c>
      <c r="M103" s="76" t="str">
        <f>IF(OR($D103="UTLS",$D103="GUAR",$D103="STIR",$D103="PUMP",$D103="SITE"),
   VLOOKUP($B103,'LOD 300 - SITE'!B:M,12,FALSE),
   VLOOKUP($B103,'LOD 300 - ADMN'!B:M,12,FALSE)
)</f>
        <v>NOT PUBLISHED</v>
      </c>
      <c r="N103" s="76" t="str">
        <f>IF(OR($D103="UTLS",$D103="GUAR",$D103="STIR",$D103="PUMP",$D103="SITE"),
   VLOOKUP($B103,'LOD 300 - SITE'!B:N,13,FALSE),
   VLOOKUP($B103,'LOD 300 - ADMN'!B:N,13,FALSE)
)</f>
        <v>NOT PUBLISHED</v>
      </c>
      <c r="O103" s="78" t="str">
        <f>IF(OR($D103="UTLS",$D103="GUAR",$D103="STIR",$D103="PUMP",$D103="SITE"),
   VLOOKUP($B103,'LOD 300 - SITE'!B:O,14,FALSE),
   VLOOKUP($B103,'LOD 300 - ADMN'!B:O,14,FALSE)
)</f>
        <v/>
      </c>
      <c r="P103" s="79" t="str">
        <f>IF(OR($D103="C345",$D103="C12A",$D103="DATA"),
   VLOOKUP($B103,'LOD 300 - COLO3'!B:M,12,FALSE),"N/A")</f>
        <v>N/A</v>
      </c>
      <c r="Q103" s="76" t="str">
        <f>IF(OR($D103="C345",$D103="C12A",$D103="DATA"),
   VLOOKUP($B103,'LOD 300 - COLO3'!B:N,13,FALSE),"N/A")</f>
        <v>N/A</v>
      </c>
      <c r="R103" s="76" t="str">
        <f>IF(OR($D103="C345",$D103="C12A",$D103="DATA"),
   VLOOKUP($B103,'LOD 300 - COLO3'!B:O,14,FALSE),"N/A")</f>
        <v>N/A</v>
      </c>
      <c r="S103" s="79" t="str">
        <f>IF(OR($D103="C345",$D103="C12A",$D103="DATA"),
   VLOOKUP($B103,'LOD 300 - COLO4'!B:M,12,FALSE),"N/A")</f>
        <v>N/A</v>
      </c>
      <c r="T103" s="76" t="str">
        <f>IF(OR($D103="C345",$D103="C12A",$D103="DATA"),
   VLOOKUP($B103,'LOD 300 - COLO4'!B:T,13,FALSE),"N/A")</f>
        <v>N/A</v>
      </c>
      <c r="U103" s="76" t="str">
        <f>IF(OR($D103="C345",$D103="C12A",$D103="DATA"),
   VLOOKUP($B103,'LOD 300 - COLO4'!B:U,17,FALSE),"N/A")</f>
        <v>N/A</v>
      </c>
      <c r="V103" s="126"/>
      <c r="W103" s="116" t="str">
        <f>IFERROR(VLOOKUP($B103,'LOD 300 - ADMN'!$B:S,18,FALSE),"N/A")</f>
        <v>N/A</v>
      </c>
      <c r="X103" s="117" t="str">
        <f>IFERROR(VLOOKUP($B103,'LOD 300 - ADMN'!$B:V,21,FALSE),"N/A")</f>
        <v>N/A</v>
      </c>
      <c r="Y103" s="117" t="str">
        <f>IFERROR(VLOOKUP($B103,'LOD 300 - ADMN'!$B:Y,24,FALSE),"N/A")</f>
        <v>N/A</v>
      </c>
      <c r="Z103" s="117" t="str">
        <f>IFERROR(VLOOKUP($B103,'LOD 300 - ADMN'!$B:AB,27,FALSE),"N/A")</f>
        <v>N/A</v>
      </c>
      <c r="AA103" s="117" t="str">
        <f>IFERROR(VLOOKUP($B103,'LOD 300 - ADMN'!$B:AE,30,FALSE),"N/A")</f>
        <v>N/A</v>
      </c>
      <c r="AB103" s="118" t="str">
        <f>IFERROR(VLOOKUP($B103,'LOD 300 - ADMN'!$B:AH,33,FALSE),"N/A")</f>
        <v>N/A</v>
      </c>
      <c r="AC103" s="118" t="str">
        <f>IFERROR(VLOOKUP($B103,'LOD 300 - ADMN'!$B:AK,36,FALSE),"N/A")</f>
        <v>N/A</v>
      </c>
      <c r="AD103" s="117" t="str">
        <f>IFERROR(VLOOKUP($B103,'LOD 300 - ADMN'!$B:AN,39,FALSE),"N/A")</f>
        <v>N/A</v>
      </c>
      <c r="AE103" s="117" t="str">
        <f>IFERROR(VLOOKUP($B103,'LOD 300 - ADMN'!$B:AQ,42,FALSE),"N/A")</f>
        <v>N/A</v>
      </c>
      <c r="AF103" s="117" t="str">
        <f>IFERROR(VLOOKUP($B103,'LOD 300 - ADMN'!$B:AT,45,FALSE),"N/A")</f>
        <v>N/A</v>
      </c>
      <c r="AG103" s="117" t="str">
        <f>IFERROR(VLOOKUP($B103,'LOD 300 - ADMN'!$B:AW,48,FALSE),"N/A")</f>
        <v>N/A</v>
      </c>
      <c r="AH103" s="117" t="str">
        <f>IFERROR(VLOOKUP($B103,'LOD 300 - ADMN'!$B:AZ,51,FALSE),"N/A")</f>
        <v>N/A</v>
      </c>
      <c r="AI103" s="119" t="str">
        <f>IFERROR(VLOOKUP($B103,'LOD 300 - ADMN'!$B:BC,54,FALSE),"N/A")</f>
        <v>N/A</v>
      </c>
      <c r="AJ103" s="86" t="str">
        <f>IFERROR(VLOOKUP($B103,'LOD 300 - ADMN'!$B:BF,57,FALSE),"N/A")</f>
        <v>N/A</v>
      </c>
      <c r="AK103" s="87" t="str">
        <f>IFERROR(VLOOKUP($B103,'LOD 300 - ADMN'!$B:EP,60,FALSE),"N/A")</f>
        <v>N/A</v>
      </c>
      <c r="AL103" s="86" t="str">
        <f>IFERROR(VLOOKUP($B103,'LOD 300 - ADMN'!$B:EQ,63,FALSE),"N/A")</f>
        <v>N/A</v>
      </c>
      <c r="AM103" s="86" t="str">
        <f>IFERROR(VLOOKUP($B103,'LOD 300 - ADMN'!$B:BO,66,FALSE),"N/A")</f>
        <v>N/A</v>
      </c>
      <c r="AN103" s="86" t="str">
        <f>IFERROR(VLOOKUP($B103,'LOD 300 - ADMN'!$B:BR,69,FALSE),"N/A")</f>
        <v>N/A</v>
      </c>
      <c r="AO103" s="86" t="str">
        <f>IFERROR(VLOOKUP($B103,'LOD 300 - ADMN'!$B:BU,72,FALSE),"N/A")</f>
        <v>N/A</v>
      </c>
      <c r="AP103" s="86" t="str">
        <f>IFERROR(VLOOKUP($B103,'LOD 300 - ADMN'!$B:BX,75,FALSE),"N/A")</f>
        <v>N/A</v>
      </c>
      <c r="AQ103" s="86" t="str">
        <f>IFERROR(VLOOKUP($B103,'LOD 300 - ADMN'!$B:CA,78,FALSE),"N/A")</f>
        <v>N/A</v>
      </c>
      <c r="AR103" s="86" t="str">
        <f>IFERROR(VLOOKUP($B103,'LOD 300 - ADMN'!$B:CD,81,FALSE),"N/A")</f>
        <v>N/A</v>
      </c>
      <c r="AS103" s="86" t="str">
        <f>IFERROR(VLOOKUP($B103,'LOD 300 - ADMN'!$B:CG,84,FALSE),"N/A")</f>
        <v>N/A</v>
      </c>
      <c r="AT103" s="86" t="str">
        <f>IFERROR(VLOOKUP($B103,'LOD 300 - ADMN'!$B:CJ,87,FALSE),"N/A")</f>
        <v>N/A</v>
      </c>
      <c r="AU103" s="88" t="str">
        <f>IFERROR(VLOOKUP($B103,'LOD 300 - ADMN'!$B:CM,90,FALSE),"N/A")</f>
        <v>N/A</v>
      </c>
      <c r="AV103" s="88" t="str">
        <f>IFERROR(VLOOKUP($B103,'LOD 300 - ADMN'!$B:CP,93,FALSE),"N/A")</f>
        <v>N/A</v>
      </c>
      <c r="AW103" s="88" t="str">
        <f>IFERROR(VLOOKUP($B103,'LOD 300 - ADMN'!$B:CS,96,FALSE),"N/A")</f>
        <v>N/A</v>
      </c>
      <c r="AX103" s="88" t="str">
        <f>IFERROR(VLOOKUP($B103,'LOD 300 - ADMN'!$B:CV,99,FALSE),"N/A")</f>
        <v>N/A</v>
      </c>
      <c r="AY103" s="88" t="str">
        <f>IFERROR(VLOOKUP($B103,'LOD 300 - ADMN'!$B:CY,102,FALSE),"N/A")</f>
        <v>N/A</v>
      </c>
      <c r="AZ103" s="89" t="str">
        <f>IFERROR(VLOOKUP($B103,'LOD 300 - ADMN'!$B:DB,105,FALSE),"N/A")</f>
        <v>N/A</v>
      </c>
      <c r="BA103" s="87" t="str">
        <f>IFERROR(VLOOKUP($B103,'LOD 300 - ADMN'!$B:DE,108,FALSE),"N/A")</f>
        <v>N/A</v>
      </c>
      <c r="BB103" s="87" t="str">
        <f>IFERROR(VLOOKUP($B103,'LOD 300 - ADMN'!$B:DH,111,FALSE),"N/A")</f>
        <v>N/A</v>
      </c>
      <c r="BC103" s="87" t="str">
        <f>IFERROR(VLOOKUP($B103,'LOD 300 - ADMN'!$B:DK,114,FALSE),"N/A")</f>
        <v>N/A</v>
      </c>
      <c r="BD103" s="87" t="str">
        <f>IFERROR(VLOOKUP($B103,'LOD 300 - ADMN'!$B:DN,117,FALSE),"N/A")</f>
        <v>N/A</v>
      </c>
      <c r="BE103" s="87" t="str">
        <f>IFERROR(VLOOKUP($B103,'LOD 300 - ADMN'!$B:DQ,120,FALSE),"N/A")</f>
        <v>N/A</v>
      </c>
      <c r="BF103" s="87" t="str">
        <f>IFERROR(VLOOKUP($B103,'LOD 300 - ADMN'!$B:DT,123,FALSE),"N/A")</f>
        <v>N/A</v>
      </c>
      <c r="BG103" s="87" t="str">
        <f>IFERROR(VLOOKUP($B103,'LOD 300 - ADMN'!$B:DW,126,FALSE),"N/A")</f>
        <v>N/A</v>
      </c>
      <c r="BH103" s="87" t="str">
        <f>IFERROR(VLOOKUP($B103,'LOD 300 - ADMN'!$B:DZ,129,FALSE),"N/A")</f>
        <v>N/A</v>
      </c>
      <c r="BI103" s="134"/>
      <c r="BJ103" s="90" t="str">
        <f>IFERROR(__xludf.DUMMYFUNCTION("IFERROR(
  MAX(FILTER(X103:BH103, ISNUMBER(X103:BH103))),
  BH103
)"),"N/A")</f>
        <v>N/A</v>
      </c>
      <c r="BK103" s="91" t="str">
        <f>IFERROR(VLOOKUP($B103,'LOD 300 - COLO1'!$B:S,18,FALSE),"N/A")</f>
        <v>N/A</v>
      </c>
      <c r="BL103" s="92" t="str">
        <f>IFERROR(VLOOKUP($B103,'LOD 300 - COLO1'!$B:V,21,FALSE),"N/A")</f>
        <v>N/A</v>
      </c>
      <c r="BM103" s="92" t="str">
        <f>IFERROR(VLOOKUP($B103,'LOD 300 - COLO1'!$B:Y,24,FALSE),"N/A")</f>
        <v>N/A</v>
      </c>
      <c r="BN103" s="92" t="str">
        <f>IFERROR(VLOOKUP($B103,'LOD 300 - COLO1'!$B:AB,27,FALSE),"N/A")</f>
        <v>N/A</v>
      </c>
      <c r="BO103" s="92" t="str">
        <f>IFERROR(VLOOKUP($B103,'LOD 300 - COLO1'!$B:AE,30,FALSE),"N/A")</f>
        <v>N/A</v>
      </c>
      <c r="BP103" s="92" t="str">
        <f>IFERROR(VLOOKUP($B103,'LOD 300 - COLO1'!$B:AH,33,FALSE),"N/A")</f>
        <v>N/A</v>
      </c>
      <c r="BQ103" s="92" t="str">
        <f>IFERROR(VLOOKUP($B103,'LOD 300 - COLO1'!$B:AK,36,FALSE),"N/A")</f>
        <v>N/A</v>
      </c>
      <c r="BR103" s="92" t="str">
        <f>IFERROR(VLOOKUP($B103,'LOD 300 - COLO1'!$B:AN,39,FALSE),"N/A")</f>
        <v>N/A</v>
      </c>
      <c r="BS103" s="92" t="str">
        <f>IFERROR(VLOOKUP($B103,'LOD 300 - COLO1'!$B:AQ,42,FALSE),"N/A")</f>
        <v>N/A</v>
      </c>
      <c r="BT103" s="92" t="str">
        <f>IFERROR(VLOOKUP($B103,'LOD 300 - COLO1'!$B:AT,45,FALSE),"N/A")</f>
        <v>N/A</v>
      </c>
      <c r="BU103" s="92" t="str">
        <f>IFERROR(VLOOKUP($B103,'LOD 300 - COLO1'!$B:AW,48,FALSE),"N/A")</f>
        <v>N/A</v>
      </c>
      <c r="BV103" s="92" t="str">
        <f>IFERROR(VLOOKUP($B103,'LOD 300 - COLO1'!$B:AZ,51,FALSE),"N/A")</f>
        <v>N/A</v>
      </c>
      <c r="BW103" s="92" t="str">
        <f>IFERROR(VLOOKUP($B103,'LOD 300 - COLO1'!$B:BC,54,FALSE),"N/A")</f>
        <v>N/A</v>
      </c>
      <c r="BX103" s="94" t="str">
        <f>IFERROR(VLOOKUP($B103,'LOD 300 - COLO1'!$B:BF,57,FALSE),"N/A")</f>
        <v>N/A</v>
      </c>
      <c r="BY103" s="94" t="str">
        <f>IFERROR(VLOOKUP($B103,'LOD 300 - COLO1'!$B:BI,60,FALSE),"N/A")</f>
        <v>N/A</v>
      </c>
      <c r="BZ103" s="95" t="str">
        <f>IFERROR(VLOOKUP($B103,'LOD 300 - COLO1'!$B:BL,63,FALSE),"N/A")</f>
        <v>N/A</v>
      </c>
      <c r="CA103" s="86" t="str">
        <f>IFERROR(VLOOKUP($B103,'LOD 300 - COLO1'!$B:BO,66,FALSE),"N/A")</f>
        <v>N/A</v>
      </c>
      <c r="CB103" s="86" t="str">
        <f>IFERROR(VLOOKUP($B103,'LOD 300 - COLO1'!$B:BR,69,FALSE),"N/A")</f>
        <v>N/A</v>
      </c>
      <c r="CC103" s="86" t="str">
        <f>IFERROR(VLOOKUP($B103,'LOD 300 - COLO1'!$B:BU,72,FALSE),"N/A")</f>
        <v>N/A</v>
      </c>
      <c r="CD103" s="86" t="str">
        <f>IFERROR(VLOOKUP($B103,'LOD 300 - COLO1'!$B:BX,75,FALSE),"N/A")</f>
        <v>N/A</v>
      </c>
      <c r="CE103" s="86" t="str">
        <f>IFERROR(VLOOKUP($B103,'LOD 300 - COLO1'!$B:CA,78,FALSE),"N/A")</f>
        <v>N/A</v>
      </c>
      <c r="CF103" s="87" t="str">
        <f>IFERROR(VLOOKUP($B103,'LOD 300 - COLO1'!$B:CD,81,FALSE),"N/A")</f>
        <v>N/A</v>
      </c>
      <c r="CG103" s="86" t="str">
        <f>IFERROR(VLOOKUP($B103,'LOD 300 - COLO1'!$B:CG,84,FALSE),"N/A")</f>
        <v>N/A</v>
      </c>
      <c r="CH103" s="87" t="str">
        <f>IFERROR(VLOOKUP($B103,'LOD 300 - COLO1'!$B:CJ,87,FALSE),"N/A")</f>
        <v>N/A</v>
      </c>
      <c r="CI103" s="88" t="str">
        <f>IFERROR(VLOOKUP($B103,'LOD 300 - COLO1'!$B:CM,90,FALSE),"N/A")</f>
        <v>N/A</v>
      </c>
      <c r="CJ103" s="88" t="str">
        <f>IFERROR(VLOOKUP($B103,'LOD 300 - COLO1'!$B:CP,93,FALSE),"N/A")</f>
        <v>N/A</v>
      </c>
      <c r="CK103" s="88" t="str">
        <f>IFERROR(VLOOKUP($B103,'LOD 300 - COLO1'!$B:CS,96,FALSE),"N/A")</f>
        <v>N/A</v>
      </c>
      <c r="CL103" s="88" t="str">
        <f>IFERROR(VLOOKUP($B103,'LOD 300 - COLO1'!$B:CV,99,FALSE),"N/A")</f>
        <v>N/A</v>
      </c>
      <c r="CM103" s="88" t="str">
        <f>IFERROR(VLOOKUP($B103,'LOD 300 - COLO1'!$B:CY,102,FALSE),"N/A")</f>
        <v>N/A</v>
      </c>
      <c r="CN103" s="89" t="str">
        <f>IFERROR(VLOOKUP($B103,'LOD 300 - COLO1'!$B:DB,105,FALSE),"N/A")</f>
        <v>N/A</v>
      </c>
      <c r="CO103" s="87" t="str">
        <f>IFERROR(VLOOKUP($B103,'LOD 300 - COLO1'!$B:EE,108,FALSE),"N/A")</f>
        <v>N/A</v>
      </c>
      <c r="CP103" s="87" t="str">
        <f>IFERROR(VLOOKUP($B103,'LOD 300 - COLO1'!$B:EH,111,FALSE),"N/A")</f>
        <v>N/A</v>
      </c>
      <c r="CQ103" s="87" t="str">
        <f>IFERROR(VLOOKUP($B103,'LOD 300 - COLO1'!$B:EK,114,FALSE),"N/A")</f>
        <v>N/A</v>
      </c>
      <c r="CR103" s="87" t="str">
        <f>IFERROR(VLOOKUP($B103,'LOD 300 - COLO1'!$B:EN,117,FALSE),"N/A")</f>
        <v>N/A</v>
      </c>
      <c r="CS103" s="87" t="str">
        <f>IFERROR(VLOOKUP($B103,'LOD 300 - COLO1'!$B:EQ,120,FALSE),"N/A")</f>
        <v>N/A</v>
      </c>
      <c r="CT103" s="87" t="str">
        <f>IFERROR(VLOOKUP($B103,'LOD 300 - COLO1'!$B:ET,123,FALSE),"N/A")</f>
        <v>N/A</v>
      </c>
      <c r="CU103" s="87" t="str">
        <f>IFERROR(VLOOKUP($B103,'LOD 300 - COLO1'!$B:EW,126,FALSE),"N/A")</f>
        <v>N/A</v>
      </c>
      <c r="CV103" s="87" t="str">
        <f>IFERROR(VLOOKUP($B103,'LOD 300 - COLO1'!$B:EZ,129,FALSE),"N/A")</f>
        <v>N/A</v>
      </c>
      <c r="CW103" s="135"/>
      <c r="CX103" s="96" t="str">
        <f>IFERROR(__xludf.DUMMYFUNCTION("IFERROR(
  MAX(FILTER(BK103:CV103, ISNUMBER(BK103:CV103))),
  CV103
)"),"N/A")</f>
        <v>N/A</v>
      </c>
      <c r="CY103" s="104" t="str">
        <f>IFERROR(VLOOKUP($B103,'LOD 300 - COLO2'!$B:S,18,FALSE),"N/A")</f>
        <v>N/A</v>
      </c>
      <c r="CZ103" s="117" t="str">
        <f>IFERROR(VLOOKUP($B103,'LOD 300 - COLO2'!$B:V,21,FALSE),"N/A")</f>
        <v>N/A</v>
      </c>
      <c r="DA103" s="117" t="str">
        <f>IFERROR(VLOOKUP($B103,'LOD 300 - COLO2'!$B:Y,24,FALSE),"N/A")</f>
        <v>N/A</v>
      </c>
      <c r="DB103" s="117" t="str">
        <f>IFERROR(VLOOKUP($B103,'LOD 300 - COLO2'!$B:AB,27,FALSE),"N/A")</f>
        <v>N/A</v>
      </c>
      <c r="DC103" s="92" t="str">
        <f>IFERROR(VLOOKUP($B103,'LOD 300 - COLO2'!$B:AE,30,FALSE),"N/A")</f>
        <v>N/A</v>
      </c>
      <c r="DD103" s="120" t="str">
        <f>IFERROR(VLOOKUP($B103,'LOD 300 - COLO2'!$B:AH,33,FALSE),"N/A")</f>
        <v>N/A</v>
      </c>
      <c r="DE103" s="117" t="str">
        <f>IFERROR(VLOOKUP($B103,'LOD 300 - COLO2'!$B:AK,36,FALSE),"N/A")</f>
        <v>N/A</v>
      </c>
      <c r="DF103" s="117" t="str">
        <f>IFERROR(VLOOKUP($B103,'LOD 300 - COLO2'!$B:AN,39,FALSE),"N/A")</f>
        <v>N/A</v>
      </c>
      <c r="DG103" s="119" t="str">
        <f>IFERROR(VLOOKUP($B103,'LOD 300 - COLO2'!$B:AQ,42,FALSE),"N/A")</f>
        <v>N/A</v>
      </c>
      <c r="DH103" s="87" t="str">
        <f>IFERROR(VLOOKUP($B103,'LOD 300 - COLO2'!$B:AT,45,FALSE),"N/A")</f>
        <v>N/A</v>
      </c>
      <c r="DI103" s="94" t="str">
        <f>IFERROR(VLOOKUP($B103,'LOD 300 - COLO2'!$B:AW,48,FALSE),"N/A")</f>
        <v>N/A</v>
      </c>
      <c r="DJ103" s="95" t="str">
        <f>IFERROR(VLOOKUP($B103,'LOD 300 - COLO2'!$B:AZ,51,FALSE),"N/A")</f>
        <v>N/A</v>
      </c>
      <c r="DK103" s="86" t="str">
        <f>IFERROR(VLOOKUP($B103,'LOD 300 - COLO2'!$B:BC,54,FALSE),"N/A")</f>
        <v>N/A</v>
      </c>
      <c r="DL103" s="86" t="str">
        <f>IFERROR(VLOOKUP($B103,'LOD 300 - COLO2'!$B:BF,57,FALSE),"N/A")</f>
        <v>N/A</v>
      </c>
      <c r="DM103" s="86" t="str">
        <f>IFERROR(VLOOKUP($B103,'LOD 300 - COLO2'!$B:BI,60,FALSE),"N/A")</f>
        <v>N/A</v>
      </c>
      <c r="DN103" s="86" t="str">
        <f>IFERROR(VLOOKUP($B103,'LOD 300 - COLO2'!$B:BL,63,FALSE),"N/A")</f>
        <v>N/A</v>
      </c>
      <c r="DO103" s="86" t="str">
        <f>IFERROR(VLOOKUP($B103,'LOD 300 - COLO2'!$B:BO,66,FALSE),"N/A")</f>
        <v>N/A</v>
      </c>
      <c r="DP103" s="87" t="str">
        <f>IFERROR(VLOOKUP($B103,'LOD 300 - COLO2'!$B:BR,69,FALSE),"N/A")</f>
        <v>N/A</v>
      </c>
      <c r="DQ103" s="87" t="str">
        <f>IFERROR(VLOOKUP($B103,'LOD 300 - COLO2'!$B:BU,72,FALSE),"N/A")</f>
        <v>N/A</v>
      </c>
      <c r="DR103" s="87" t="str">
        <f>IFERROR(VLOOKUP($B103,'LOD 300 - COLO2'!$B:BX,75,FALSE),"N/A")</f>
        <v>N/A</v>
      </c>
      <c r="DS103" s="98" t="str">
        <f>IFERROR(VLOOKUP($B103,'LOD 300 - COLO2'!$B:CA,78,FALSE),"N/A")</f>
        <v>N/A</v>
      </c>
      <c r="DT103" s="98" t="str">
        <f>IFERROR(VLOOKUP($B103,'LOD 300 - COLO2'!$B:CD,81,FALSE),"N/A")</f>
        <v>N/A</v>
      </c>
      <c r="DU103" s="98" t="str">
        <f>IFERROR(VLOOKUP($B103,'LOD 300 - COLO2'!$B:CG,84,FALSE),"N/A")</f>
        <v>N/A</v>
      </c>
      <c r="DV103" s="98" t="str">
        <f>IFERROR(VLOOKUP($B103,'LOD 300 - COLO2'!$B:CJ,87,FALSE),"N/A")</f>
        <v>N/A</v>
      </c>
      <c r="DW103" s="98" t="str">
        <f>IFERROR(VLOOKUP($B103,'LOD 300 - COLO2'!$B:CM,90,FALSE),"N/A")</f>
        <v>N/A</v>
      </c>
      <c r="DX103" s="98" t="str">
        <f>IFERROR(VLOOKUP($B103,'LOD 300 - COLO2'!$B:CP,93,FALSE),"N/A")</f>
        <v>N/A</v>
      </c>
      <c r="DY103" s="87" t="str">
        <f>IFERROR(VLOOKUP($B103,'LOD 300 - COLO2'!$B:CS,96,FALSE),"N/A")</f>
        <v>N/A</v>
      </c>
      <c r="DZ103" s="87" t="str">
        <f>IFERROR(VLOOKUP($B103,'LOD 300 - COLO2'!$B:CV,99,FALSE),"N/A")</f>
        <v>N/A</v>
      </c>
      <c r="EA103" s="87" t="str">
        <f>IFERROR(VLOOKUP($B103,'LOD 300 - COLO2'!$B:DB,105,FALSE),"N/A")</f>
        <v>N/A</v>
      </c>
      <c r="EB103" s="87" t="str">
        <f>IFERROR(VLOOKUP($B103,'LOD 300 - COLO2'!$B:DB,105,FALSE),"N/A")</f>
        <v>N/A</v>
      </c>
      <c r="EC103" s="87" t="str">
        <f>IFERROR(VLOOKUP($B103,'LOD 300 - COLO2'!$B:DE,108,FALSE),"N/A")</f>
        <v>N/A</v>
      </c>
      <c r="ED103" s="87" t="str">
        <f>IFERROR(VLOOKUP($B103,'LOD 300 - COLO2'!$B:DH,111,FALSE),"N/A")</f>
        <v>N/A</v>
      </c>
      <c r="EE103" s="87" t="str">
        <f>IFERROR(VLOOKUP($B103,'LOD 300 - COLO2'!$B:DK,114,FALSE),"N/A")</f>
        <v>N/A</v>
      </c>
      <c r="EF103" s="87" t="str">
        <f>IFERROR(VLOOKUP($B103,'LOD 300 - COLO2'!$B:DN,117,FALSE),"N/A")</f>
        <v>N/A</v>
      </c>
      <c r="EG103" s="135"/>
      <c r="EH103" s="99" t="str">
        <f>IFERROR(__xludf.DUMMYFUNCTION("IFERROR(
  MAX(FILTER(CZ103:EF103, ISNUMBER(CZ103:EF103))),
  EF103
)"),"N/A")</f>
        <v>N/A</v>
      </c>
      <c r="EI103" s="100" t="str">
        <f>IFERROR(VLOOKUP($B103,'LOD 300 - COLO3'!$B:R,17,FALSE),"N/A")</f>
        <v>N/A</v>
      </c>
      <c r="EJ103" s="127" t="str">
        <f>IFERROR(VLOOKUP($B103,'LOD 300 - COLO3'!$B:U,20,FALSE),"N/A")</f>
        <v>N/A</v>
      </c>
      <c r="EK103" s="127" t="str">
        <f>IFERROR(VLOOKUP($B103,'LOD 300 - COLO3'!$B:X,23,FALSE),"N/A")</f>
        <v>N/A</v>
      </c>
      <c r="EL103" s="127" t="str">
        <f>IFERROR(VLOOKUP($B103,'LOD 300 - COLO3'!$B:AA,26,FALSE),"N/A")</f>
        <v>N/A</v>
      </c>
      <c r="EM103" s="127" t="str">
        <f>IFERROR(VLOOKUP($B103,'LOD 300 - COLO3'!$B:AD,29,FALSE),"N/A")</f>
        <v>N/A</v>
      </c>
      <c r="EN103" s="127" t="str">
        <f>IFERROR(VLOOKUP($B103,'LOD 300 - COLO3'!$B:AG,32,FALSE),"N/A")</f>
        <v>N/A</v>
      </c>
      <c r="EO103" s="127" t="str">
        <f>IFERROR(VLOOKUP($B103,'LOD 300 - COLO3'!$B:AJ,35,FALSE),"N/A")</f>
        <v>N/A</v>
      </c>
      <c r="EP103" s="100" t="str">
        <f>IFERROR(VLOOKUP($B103,'LOD 300 - COLO3'!$B:AM,38,FALSE),"N/A")</f>
        <v>N/A</v>
      </c>
      <c r="EQ103" s="100" t="str">
        <f>IFERROR(VLOOKUP($B103,'LOD 300 - COLO3'!$B:AP,41,FALSE),"N/A")</f>
        <v>N/A</v>
      </c>
      <c r="ER103" s="100" t="str">
        <f>IFERROR(VLOOKUP($B103,'LOD 300 - COLO3'!$B:AS,44,FALSE),"N/A")</f>
        <v>N/A</v>
      </c>
      <c r="ES103" s="100" t="str">
        <f>IFERROR(VLOOKUP($B103,'LOD 300 - COLO3'!$B:AV,47,FALSE),"N/A")</f>
        <v>N/A</v>
      </c>
      <c r="ET103" s="100" t="str">
        <f>IFERROR(VLOOKUP($B103,'LOD 300 - COLO3'!$B:AY,50,FALSE),"N/A")</f>
        <v>N/A</v>
      </c>
      <c r="EU103" s="100" t="str">
        <f>IFERROR(VLOOKUP($B103,'LOD 300 - COLO3'!$B:BB,53,FALSE),"N/A")</f>
        <v>N/A</v>
      </c>
      <c r="EV103" s="100" t="str">
        <f>IFERROR(VLOOKUP($B103,'LOD 300 - COLO3'!$B:BE,56,FALSE),"N/A")</f>
        <v>N/A</v>
      </c>
      <c r="EW103" s="100" t="str">
        <f>IFERROR(VLOOKUP($B103,'LOD 300 - COLO3'!$B:BL,59,FALSE),"N/A")</f>
        <v>N/A</v>
      </c>
      <c r="EX103" s="136"/>
      <c r="EY103" s="103" t="str">
        <f>IFERROR(__xludf.DUMMYFUNCTION("IFERROR(
  MAX(FILTER(EI103:EW103, ISNUMBER(EI103:EW103))),
  EW103
)"),"N/A")</f>
        <v>N/A</v>
      </c>
      <c r="EZ103" s="104" t="str">
        <f>IFERROR(VLOOKUP($B103,'LOD 300 - COLO4'!$B:BT,17,FALSE),"N/A")</f>
        <v>N/A</v>
      </c>
      <c r="FA103" s="103" t="str">
        <f>IFERROR(__xludf.DUMMYFUNCTION("IFERROR(
  MAX(FILTER(EZ103, ISNUMBER(EZ103))),
  EZ103
)"),"N/A")</f>
        <v>N/A</v>
      </c>
      <c r="FB103" s="121" t="str">
        <f>IFERROR(VLOOKUP($B103,'LOD 300 - SITE'!$B:S,18,FALSE),"N/A")</f>
        <v>NOT PUBLISHED</v>
      </c>
      <c r="FC103" s="122" t="str">
        <f>IFERROR(VLOOKUP($B103,'LOD 300 - SITE'!$B:V,21,FALSE),"N/A")</f>
        <v>NOT PUBLISHED</v>
      </c>
      <c r="FD103" s="122" t="str">
        <f>IFERROR(VLOOKUP($B103,'LOD 300 - SITE'!$B:Y,24,FALSE),"N/A")</f>
        <v>NOT PUBLISHED</v>
      </c>
      <c r="FE103" s="122" t="str">
        <f>IFERROR(VLOOKUP($B103,'LOD 300 - SITE'!$B:AB,27,FALSE),"N/A")</f>
        <v>NOT PUBLISHED</v>
      </c>
      <c r="FF103" s="122" t="str">
        <f>IFERROR(VLOOKUP($B103,'LOD 300 - SITE'!$B:AE,30,FALSE),"N/A")</f>
        <v>NOT PUBLISHED</v>
      </c>
      <c r="FG103" s="122" t="str">
        <f>IFERROR(VLOOKUP($B103,'LOD 300 - SITE'!$B:AH,33,FALSE),"N/A")</f>
        <v>NOT PUBLISHED</v>
      </c>
      <c r="FH103" s="122" t="str">
        <f>IFERROR(VLOOKUP($B103,'LOD 300 - SITE'!$B:AK,36,FALSE),"N/A")</f>
        <v>NOT PUBLISHED</v>
      </c>
      <c r="FI103" s="122" t="str">
        <f>IFERROR(VLOOKUP($B103,'LOD 300 - SITE'!$B:AN,39,FALSE),"N/A")</f>
        <v>NOT PUBLISHED</v>
      </c>
      <c r="FJ103" s="122" t="str">
        <f>IFERROR(VLOOKUP($B103,'LOD 300 - SITE'!$B:AQ,42,FALSE),"N/A")</f>
        <v>NOT PUBLISHED</v>
      </c>
      <c r="FK103" s="122" t="str">
        <f>IFERROR(VLOOKUP($B103,'LOD 300 - SITE'!$B:AT,45,FALSE),"N/A")</f>
        <v>NOT PUBLISHED</v>
      </c>
      <c r="FL103" s="123" t="str">
        <f>IFERROR(VLOOKUP($B103,'LOD 300 - SITE'!$B:AW,48,FALSE),"N/A")</f>
        <v>NOT PUBLISHED</v>
      </c>
      <c r="FM103" s="87" t="str">
        <f>IFERROR(VLOOKUP($B103,'LOD 300 - SITE'!$B:AZ,51,FALSE),"N/A")</f>
        <v>NOT PUBLISHED</v>
      </c>
      <c r="FN103" s="94" t="str">
        <f>IFERROR(VLOOKUP($B103,'LOD 300 - SITE'!$B:BC,54,FALSE),"N/A")</f>
        <v>NOT PUBLISHED</v>
      </c>
      <c r="FO103" s="95" t="str">
        <f>IFERROR(VLOOKUP($B103,'LOD 300 - SITE'!$B:BF,57,FALSE),"N/A")</f>
        <v>NOT PUBLISHED</v>
      </c>
      <c r="FP103" s="86" t="str">
        <f>IFERROR(VLOOKUP($B103,'LOD 300 - SITE'!$B:BI,60,FALSE),"N/A")</f>
        <v>NOT PUBLISHED</v>
      </c>
      <c r="FQ103" s="86" t="str">
        <f>IFERROR(VLOOKUP($B103,'LOD 300 - SITE'!$B:BL,63,FALSE),"N/A")</f>
        <v>NOT PUBLISHED</v>
      </c>
      <c r="FR103" s="86" t="str">
        <f>IFERROR(VLOOKUP($B103,'LOD 300 - SITE'!$B:BO,66,FALSE),"N/A")</f>
        <v>NOT PUBLISHED</v>
      </c>
      <c r="FS103" s="86" t="str">
        <f>IFERROR(VLOOKUP($B103,'LOD 300 - SITE'!$B:BR,69,FALSE),"N/A")</f>
        <v>NOT PUBLISHED</v>
      </c>
      <c r="FT103" s="86" t="str">
        <f>IFERROR(VLOOKUP($B103,'LOD 300 - SITE'!$B:BU,72,FALSE),"N/A")</f>
        <v>NOT PUBLISHED</v>
      </c>
      <c r="FU103" s="86" t="str">
        <f>IFERROR(VLOOKUP($B103,'LOD 300 - SITE'!$B:BX,75,FALSE),"N/A")</f>
        <v>NOT PUBLISHED</v>
      </c>
      <c r="FV103" s="86" t="str">
        <f>IFERROR(VLOOKUP($B103,'LOD 300 - SITE'!$B:CA,78,FALSE),"N/A")</f>
        <v>NOT PUBLISHED</v>
      </c>
      <c r="FW103" s="87" t="str">
        <f>IFERROR(VLOOKUP($B103,'LOD 300 - SITE'!$B:CD,81,FALSE),"N/A")</f>
        <v>NOT PUBLISHED</v>
      </c>
      <c r="FX103" s="108" t="str">
        <f>IFERROR(VLOOKUP($B103,'LOD 300 - SITE'!$B:CG,84,FALSE),"N/A")</f>
        <v>NOT PUBLISHED</v>
      </c>
      <c r="FY103" s="108" t="str">
        <f>IFERROR(VLOOKUP($B103,'LOD 300 - SITE'!$B:CJ,87,FALSE),"N/A")</f>
        <v>NOT PUBLISHED</v>
      </c>
      <c r="FZ103" s="108" t="str">
        <f>IFERROR(VLOOKUP($B103,'LOD 300 - SITE'!$B:CM,90,FALSE),"N/A")</f>
        <v>NOT PUBLISHED</v>
      </c>
      <c r="GA103" s="108" t="str">
        <f>IFERROR(VLOOKUP($B103,'LOD 300 - SITE'!$B:CP,93,FALSE),"N/A")</f>
        <v>NOT PUBLISHED</v>
      </c>
      <c r="GB103" s="108" t="str">
        <f>IFERROR(VLOOKUP($B103,'LOD 300 - SITE'!$B:CS,96,FALSE),"N/A")</f>
        <v>NOT PUBLISHED</v>
      </c>
      <c r="GC103" s="109" t="str">
        <f>IFERROR(VLOOKUP($B103,'LOD 300 - SITE'!$B:CV,99,FALSE),"N/A")</f>
        <v>NOT PUBLISHED</v>
      </c>
      <c r="GD103" s="87" t="str">
        <f>IFERROR(VLOOKUP($B103,'LOD 300 - SITE'!$B:CY,102,FALSE),"N/A")</f>
        <v>NOT PUBLISHED</v>
      </c>
      <c r="GE103" s="87" t="str">
        <f>IFERROR(VLOOKUP($B103,'LOD 300 - SITE'!$B:DB,105,FALSE),"N/A")</f>
        <v>NOT PUBLISHED</v>
      </c>
      <c r="GF103" s="87" t="str">
        <f>IFERROR(VLOOKUP($B103,'LOD 300 - SITE'!$B:DE,108,FALSE),"N/A")</f>
        <v>NOT PUBLISHED</v>
      </c>
      <c r="GG103" s="87" t="str">
        <f>IFERROR(VLOOKUP($B103,'LOD 300 - SITE'!$B:DH,111,FALSE),"N/A")</f>
        <v>NOT PUBLISHED</v>
      </c>
      <c r="GH103" s="87" t="str">
        <f>IFERROR(VLOOKUP($B103,'LOD 300 - SITE'!$B:DK,114,FALSE),"N/A")</f>
        <v>NOT PUBLISHED</v>
      </c>
      <c r="GI103" s="87" t="str">
        <f>IFERROR(VLOOKUP($B103,'LOD 300 - SITE'!$B:DN,117,FALSE),"N/A")</f>
        <v>NOT PUBLISHED</v>
      </c>
      <c r="GJ103" s="87" t="str">
        <f>IFERROR(VLOOKUP($B103,'LOD 300 - SITE'!$B:DQ,120,FALSE),"N/A")</f>
        <v>NOT PUBLISHED</v>
      </c>
      <c r="GK103" s="87" t="str">
        <f>IFERROR(VLOOKUP($B103,'LOD 300 - SITE'!$B:DT,123,FALSE),"N/A")</f>
        <v>NOT PUBLISHED</v>
      </c>
      <c r="GL103" s="135"/>
      <c r="GM103" s="110" t="str">
        <f>IFERROR(__xludf.DUMMYFUNCTION("IFERROR(
  MAX(FILTER(FB103:GK103, ISNUMBER(FB103:GK103))),
  GK103
)"),"NOT PUBLISHED")</f>
        <v>NOT PUBLISHED</v>
      </c>
      <c r="GN103" s="68"/>
      <c r="GO103" s="68"/>
      <c r="GP103" s="68"/>
    </row>
    <row r="104" ht="15.0" customHeight="1" outlineLevel="1">
      <c r="A104" s="60">
        <v>107.0</v>
      </c>
      <c r="B104" s="140" t="s">
        <v>316</v>
      </c>
      <c r="C104" s="70" t="s">
        <v>316</v>
      </c>
      <c r="D104" s="71" t="s">
        <v>3</v>
      </c>
      <c r="E104" s="146" t="s">
        <v>317</v>
      </c>
      <c r="F104" s="13">
        <v>1125.0</v>
      </c>
      <c r="G104" s="139" t="s">
        <v>317</v>
      </c>
      <c r="H104" s="139">
        <v>1125.0</v>
      </c>
      <c r="I104" s="74" t="str">
        <f>IFERROR(VLOOKUP(C101:C243,'R22 RELATÓRIO ACC'!B:F,5,FALSE),"NOT PUBLISHED")</f>
        <v>V8</v>
      </c>
      <c r="J104" s="74" t="str">
        <f>IFERROR(VLOOKUP(C101:C243,'R22 RELATÓRIO ACC'!B:P,15,FALSE),"NOT PUBLISHED")</f>
        <v>07/11/2025</v>
      </c>
      <c r="K104" s="141" t="str">
        <f>IFERROR(VLOOKUP(B101:B291,'RELATÓRIO ACC'!B:F,5,FALSE),"NOT PUBLISHED")</f>
        <v>V1</v>
      </c>
      <c r="L104" s="142" t="str">
        <f>IFERROR(VLOOKUP(B101:B291,'RELATÓRIO ACC'!B:P,15,FALSE),"NOT PUBLISHED")</f>
        <v>21/05/2026</v>
      </c>
      <c r="M104" s="76" t="str">
        <f>IF(OR($D104="UTLS",$D104="GUAR",$D104="STIR",$D104="PUMP",$D104="SITE"),
   VLOOKUP($B104,'LOD 300 - SITE'!B:M,12,FALSE),
   VLOOKUP($B104,'LOD 300 - ADMN'!B:M,12,FALSE)
)</f>
        <v>V5</v>
      </c>
      <c r="N104" s="80">
        <f>IF(OR($D104="UTLS",$D104="GUAR",$D104="STIR",$D104="PUMP",$D104="SITE"),
   VLOOKUP($B104,'LOD 300 - SITE'!B:N,13,FALSE),
   VLOOKUP($B104,'LOD 300 - ADMN'!B:N,13,FALSE)
)</f>
        <v>45856</v>
      </c>
      <c r="O104" s="143" t="str">
        <f>IF(OR($D104="UTLS",$D104="GUAR",$D104="STIR",$D104="PUMP",$D104="SITE"),
   VLOOKUP($B104,'LOD 300 - SITE'!B:O,14,FALSE),
   VLOOKUP($B104,'LOD 300 - ADMN'!B:O,14,FALSE)
)</f>
        <v>R22</v>
      </c>
      <c r="P104" s="79" t="str">
        <f>IF(OR($D104="C345",$D104="C12A",$D104="DATA"),
   VLOOKUP($B104,'LOD 300 - COLO3'!B:M,12,FALSE),"N/A")</f>
        <v>N/A</v>
      </c>
      <c r="Q104" s="76" t="str">
        <f>IF(OR($D104="C345",$D104="C12A",$D104="DATA"),
   VLOOKUP($B104,'LOD 300 - COLO3'!B:N,13,FALSE),"N/A")</f>
        <v>N/A</v>
      </c>
      <c r="R104" s="76" t="str">
        <f>IF(OR($D104="C345",$D104="C12A",$D104="DATA"),
   VLOOKUP($B104,'LOD 300 - COLO3'!B:O,14,FALSE),"N/A")</f>
        <v>N/A</v>
      </c>
      <c r="S104" s="79" t="str">
        <f>IF(OR($D104="C345",$D104="C12A",$D104="DATA"),
   VLOOKUP($B104,'LOD 300 - COLO4'!B:M,12,FALSE),"N/A")</f>
        <v>N/A</v>
      </c>
      <c r="T104" s="76" t="str">
        <f>IF(OR($D104="C345",$D104="C12A",$D104="DATA"),
   VLOOKUP($B104,'LOD 300 - COLO4'!B:T,13,FALSE),"N/A")</f>
        <v>N/A</v>
      </c>
      <c r="U104" s="76" t="str">
        <f>IF(OR($D104="C345",$D104="C12A",$D104="DATA"),
   VLOOKUP($B104,'LOD 300 - COLO4'!B:U,17,FALSE),"N/A")</f>
        <v>N/A</v>
      </c>
      <c r="V104" s="126" t="s">
        <v>129</v>
      </c>
      <c r="W104" s="116">
        <f>IFERROR(VLOOKUP($B104,'LOD 300 - ADMN'!$B:S,18,FALSE),"N/A")</f>
        <v>0.76</v>
      </c>
      <c r="X104" s="117" t="str">
        <f>IFERROR(VLOOKUP($B104,'LOD 300 - ADMN'!$B:V,21,FALSE),"N/A")</f>
        <v>OUTDATED MODEL</v>
      </c>
      <c r="Y104" s="117">
        <f>IFERROR(VLOOKUP($B104,'LOD 300 - ADMN'!$B:Y,24,FALSE),"N/A")</f>
        <v>0.98</v>
      </c>
      <c r="Z104" s="117">
        <f>IFERROR(VLOOKUP($B104,'LOD 300 - ADMN'!$B:AB,27,FALSE),"N/A")</f>
        <v>1</v>
      </c>
      <c r="AA104" s="117">
        <f>IFERROR(VLOOKUP($B104,'LOD 300 - ADMN'!$B:AE,30,FALSE),"N/A")</f>
        <v>1</v>
      </c>
      <c r="AB104" s="118">
        <f>IFERROR(VLOOKUP($B104,'LOD 300 - ADMN'!$B:AH,33,FALSE),"N/A")</f>
        <v>1</v>
      </c>
      <c r="AC104" s="118">
        <f>IFERROR(VLOOKUP($B104,'LOD 300 - ADMN'!$B:AK,36,FALSE),"N/A")</f>
        <v>1</v>
      </c>
      <c r="AD104" s="117">
        <f>IFERROR(VLOOKUP($B104,'LOD 300 - ADMN'!$B:AN,39,FALSE),"N/A")</f>
        <v>1</v>
      </c>
      <c r="AE104" s="117">
        <f>IFERROR(VLOOKUP($B104,'LOD 300 - ADMN'!$B:AQ,42,FALSE),"N/A")</f>
        <v>1</v>
      </c>
      <c r="AF104" s="117">
        <f>IFERROR(VLOOKUP($B104,'LOD 300 - ADMN'!$B:AT,45,FALSE),"N/A")</f>
        <v>1</v>
      </c>
      <c r="AG104" s="117">
        <f>IFERROR(VLOOKUP($B104,'LOD 300 - ADMN'!$B:AW,48,FALSE),"N/A")</f>
        <v>1</v>
      </c>
      <c r="AH104" s="117">
        <f>IFERROR(VLOOKUP($B104,'LOD 300 - ADMN'!$B:AZ,51,FALSE),"N/A")</f>
        <v>1</v>
      </c>
      <c r="AI104" s="119">
        <f>IFERROR(VLOOKUP($B104,'LOD 300 - ADMN'!$B:BC,54,FALSE),"N/A")</f>
        <v>1</v>
      </c>
      <c r="AJ104" s="86">
        <f>IFERROR(VLOOKUP($B104,'LOD 300 - ADMN'!$B:BF,57,FALSE),"N/A")</f>
        <v>1</v>
      </c>
      <c r="AK104" s="87">
        <f>IFERROR(VLOOKUP($B104,'LOD 300 - ADMN'!$B:EP,60,FALSE),"N/A")</f>
        <v>1</v>
      </c>
      <c r="AL104" s="86">
        <f>IFERROR(VLOOKUP($B104,'LOD 300 - ADMN'!$B:EQ,63,FALSE),"N/A")</f>
        <v>1</v>
      </c>
      <c r="AM104" s="86">
        <f>IFERROR(VLOOKUP($B104,'LOD 300 - ADMN'!$B:BO,66,FALSE),"N/A")</f>
        <v>1</v>
      </c>
      <c r="AN104" s="86">
        <f>IFERROR(VLOOKUP($B104,'LOD 300 - ADMN'!$B:BR,69,FALSE),"N/A")</f>
        <v>1</v>
      </c>
      <c r="AO104" s="86">
        <f>IFERROR(VLOOKUP($B104,'LOD 300 - ADMN'!$B:BU,72,FALSE),"N/A")</f>
        <v>1</v>
      </c>
      <c r="AP104" s="86">
        <f>IFERROR(VLOOKUP($B104,'LOD 300 - ADMN'!$B:BX,75,FALSE),"N/A")</f>
        <v>1</v>
      </c>
      <c r="AQ104" s="86">
        <f>IFERROR(VLOOKUP($B104,'LOD 300 - ADMN'!$B:CA,78,FALSE),"N/A")</f>
        <v>1</v>
      </c>
      <c r="AR104" s="86">
        <f>IFERROR(VLOOKUP($B104,'LOD 300 - ADMN'!$B:CD,81,FALSE),"N/A")</f>
        <v>1</v>
      </c>
      <c r="AS104" s="86">
        <f>IFERROR(VLOOKUP($B104,'LOD 300 - ADMN'!$B:CG,84,FALSE),"N/A")</f>
        <v>1</v>
      </c>
      <c r="AT104" s="86">
        <f>IFERROR(VLOOKUP($B104,'LOD 300 - ADMN'!$B:CJ,87,FALSE),"N/A")</f>
        <v>1</v>
      </c>
      <c r="AU104" s="88">
        <f>IFERROR(VLOOKUP($B104,'LOD 300 - ADMN'!$B:CM,90,FALSE),"N/A")</f>
        <v>1</v>
      </c>
      <c r="AV104" s="88">
        <f>IFERROR(VLOOKUP($B104,'LOD 300 - ADMN'!$B:CP,93,FALSE),"N/A")</f>
        <v>1</v>
      </c>
      <c r="AW104" s="88">
        <f>IFERROR(VLOOKUP($B104,'LOD 300 - ADMN'!$B:CS,96,FALSE),"N/A")</f>
        <v>1</v>
      </c>
      <c r="AX104" s="88">
        <f>IFERROR(VLOOKUP($B104,'LOD 300 - ADMN'!$B:CV,99,FALSE),"N/A")</f>
        <v>1</v>
      </c>
      <c r="AY104" s="88">
        <f>IFERROR(VLOOKUP($B104,'LOD 300 - ADMN'!$B:CY,102,FALSE),"N/A")</f>
        <v>1</v>
      </c>
      <c r="AZ104" s="89">
        <f>IFERROR(VLOOKUP($B104,'LOD 300 - ADMN'!$B:DB,105,FALSE),"N/A")</f>
        <v>1</v>
      </c>
      <c r="BA104" s="87">
        <f>IFERROR(VLOOKUP($B104,'LOD 300 - ADMN'!$B:DE,108,FALSE),"N/A")</f>
        <v>1</v>
      </c>
      <c r="BB104" s="87">
        <f>IFERROR(VLOOKUP($B104,'LOD 300 - ADMN'!$B:DH,111,FALSE),"N/A")</f>
        <v>1</v>
      </c>
      <c r="BC104" s="87">
        <f>IFERROR(VLOOKUP($B104,'LOD 300 - ADMN'!$B:DK,114,FALSE),"N/A")</f>
        <v>1</v>
      </c>
      <c r="BD104" s="87">
        <f>IFERROR(VLOOKUP($B104,'LOD 300 - ADMN'!$B:DN,117,FALSE),"N/A")</f>
        <v>1</v>
      </c>
      <c r="BE104" s="87">
        <f>IFERROR(VLOOKUP($B104,'LOD 300 - ADMN'!$B:DQ,120,FALSE),"N/A")</f>
        <v>1</v>
      </c>
      <c r="BF104" s="87">
        <f>IFERROR(VLOOKUP($B104,'LOD 300 - ADMN'!$B:DT,123,FALSE),"N/A")</f>
        <v>1</v>
      </c>
      <c r="BG104" s="87">
        <f>IFERROR(VLOOKUP($B104,'LOD 300 - ADMN'!$B:DW,126,FALSE),"N/A")</f>
        <v>1</v>
      </c>
      <c r="BH104" s="87">
        <f>IFERROR(VLOOKUP($B104,'LOD 300 - ADMN'!$B:DZ,129,FALSE),"N/A")</f>
        <v>1</v>
      </c>
      <c r="BI104" s="87">
        <f>IFERROR(VLOOKUP($B104,'LOD 300 - ADMN'!$B:EC,132,FALSE),"N/A")</f>
        <v>1</v>
      </c>
      <c r="BJ104" s="90">
        <f>IFERROR(__xludf.DUMMYFUNCTION("IFERROR(
  MAX(FILTER(X104:BI104, ISNUMBER(X104:BI104))),
  BI104
)"),1.0)</f>
        <v>1</v>
      </c>
      <c r="BK104" s="91" t="str">
        <f>IFERROR(VLOOKUP($B104,'LOD 300 - COLO1'!$B:S,18,FALSE),"N/A")</f>
        <v>N/A</v>
      </c>
      <c r="BL104" s="92" t="str">
        <f>IFERROR(VLOOKUP($B104,'LOD 300 - COLO1'!$B:V,21,FALSE),"N/A")</f>
        <v>N/A</v>
      </c>
      <c r="BM104" s="92" t="str">
        <f>IFERROR(VLOOKUP($B104,'LOD 300 - COLO1'!$B:Y,24,FALSE),"N/A")</f>
        <v>N/A</v>
      </c>
      <c r="BN104" s="92" t="str">
        <f>IFERROR(VLOOKUP($B104,'LOD 300 - COLO1'!$B:AB,27,FALSE),"N/A")</f>
        <v>N/A</v>
      </c>
      <c r="BO104" s="92" t="str">
        <f>IFERROR(VLOOKUP($B104,'LOD 300 - COLO1'!$B:AE,30,FALSE),"N/A")</f>
        <v>N/A</v>
      </c>
      <c r="BP104" s="92" t="str">
        <f>IFERROR(VLOOKUP($B104,'LOD 300 - COLO1'!$B:AH,33,FALSE),"N/A")</f>
        <v>N/A</v>
      </c>
      <c r="BQ104" s="92" t="str">
        <f>IFERROR(VLOOKUP($B104,'LOD 300 - COLO1'!$B:AK,36,FALSE),"N/A")</f>
        <v>N/A</v>
      </c>
      <c r="BR104" s="92" t="str">
        <f>IFERROR(VLOOKUP($B104,'LOD 300 - COLO1'!$B:AN,39,FALSE),"N/A")</f>
        <v>N/A</v>
      </c>
      <c r="BS104" s="92" t="str">
        <f>IFERROR(VLOOKUP($B104,'LOD 300 - COLO1'!$B:AQ,42,FALSE),"N/A")</f>
        <v>N/A</v>
      </c>
      <c r="BT104" s="92" t="str">
        <f>IFERROR(VLOOKUP($B104,'LOD 300 - COLO1'!$B:AT,45,FALSE),"N/A")</f>
        <v>N/A</v>
      </c>
      <c r="BU104" s="92" t="str">
        <f>IFERROR(VLOOKUP($B104,'LOD 300 - COLO1'!$B:AW,48,FALSE),"N/A")</f>
        <v>N/A</v>
      </c>
      <c r="BV104" s="92" t="str">
        <f>IFERROR(VLOOKUP($B104,'LOD 300 - COLO1'!$B:AZ,51,FALSE),"N/A")</f>
        <v>N/A</v>
      </c>
      <c r="BW104" s="92" t="str">
        <f>IFERROR(VLOOKUP($B104,'LOD 300 - COLO1'!$B:BC,54,FALSE),"N/A")</f>
        <v>N/A</v>
      </c>
      <c r="BX104" s="94" t="str">
        <f>IFERROR(VLOOKUP($B104,'LOD 300 - COLO1'!$B:BF,57,FALSE),"N/A")</f>
        <v>N/A</v>
      </c>
      <c r="BY104" s="94" t="str">
        <f>IFERROR(VLOOKUP($B104,'LOD 300 - COLO1'!$B:BI,60,FALSE),"N/A")</f>
        <v>N/A</v>
      </c>
      <c r="BZ104" s="95" t="str">
        <f>IFERROR(VLOOKUP($B104,'LOD 300 - COLO1'!$B:BL,63,FALSE),"N/A")</f>
        <v>N/A</v>
      </c>
      <c r="CA104" s="86" t="str">
        <f>IFERROR(VLOOKUP($B104,'LOD 300 - COLO1'!$B:BO,66,FALSE),"N/A")</f>
        <v>N/A</v>
      </c>
      <c r="CB104" s="86" t="str">
        <f>IFERROR(VLOOKUP($B104,'LOD 300 - COLO1'!$B:BR,69,FALSE),"N/A")</f>
        <v>N/A</v>
      </c>
      <c r="CC104" s="86" t="str">
        <f>IFERROR(VLOOKUP($B104,'LOD 300 - COLO1'!$B:BU,72,FALSE),"N/A")</f>
        <v>N/A</v>
      </c>
      <c r="CD104" s="86" t="str">
        <f>IFERROR(VLOOKUP($B104,'LOD 300 - COLO1'!$B:BX,75,FALSE),"N/A")</f>
        <v>N/A</v>
      </c>
      <c r="CE104" s="86" t="str">
        <f>IFERROR(VLOOKUP($B104,'LOD 300 - COLO1'!$B:CA,78,FALSE),"N/A")</f>
        <v>N/A</v>
      </c>
      <c r="CF104" s="87" t="str">
        <f>IFERROR(VLOOKUP($B104,'LOD 300 - COLO1'!$B:CD,81,FALSE),"N/A")</f>
        <v>N/A</v>
      </c>
      <c r="CG104" s="86" t="str">
        <f>IFERROR(VLOOKUP($B104,'LOD 300 - COLO1'!$B:CG,84,FALSE),"N/A")</f>
        <v>N/A</v>
      </c>
      <c r="CH104" s="87" t="str">
        <f>IFERROR(VLOOKUP($B104,'LOD 300 - COLO1'!$B:CJ,87,FALSE),"N/A")</f>
        <v>N/A</v>
      </c>
      <c r="CI104" s="88" t="str">
        <f>IFERROR(VLOOKUP($B104,'LOD 300 - COLO1'!$B:CM,90,FALSE),"N/A")</f>
        <v>N/A</v>
      </c>
      <c r="CJ104" s="88" t="str">
        <f>IFERROR(VLOOKUP($B104,'LOD 300 - COLO1'!$B:CP,93,FALSE),"N/A")</f>
        <v>N/A</v>
      </c>
      <c r="CK104" s="88" t="str">
        <f>IFERROR(VLOOKUP($B104,'LOD 300 - COLO1'!$B:CS,96,FALSE),"N/A")</f>
        <v>N/A</v>
      </c>
      <c r="CL104" s="88" t="str">
        <f>IFERROR(VLOOKUP($B104,'LOD 300 - COLO1'!$B:CV,99,FALSE),"N/A")</f>
        <v>N/A</v>
      </c>
      <c r="CM104" s="88" t="str">
        <f>IFERROR(VLOOKUP($B104,'LOD 300 - COLO1'!$B:CY,102,FALSE),"N/A")</f>
        <v>N/A</v>
      </c>
      <c r="CN104" s="89" t="str">
        <f>IFERROR(VLOOKUP($B104,'LOD 300 - COLO1'!$B:DB,105,FALSE),"N/A")</f>
        <v>N/A</v>
      </c>
      <c r="CO104" s="87" t="str">
        <f>IFERROR(VLOOKUP($B104,'LOD 300 - COLO1'!$B:EE,108,FALSE),"N/A")</f>
        <v>N/A</v>
      </c>
      <c r="CP104" s="87" t="str">
        <f>IFERROR(VLOOKUP($B104,'LOD 300 - COLO1'!$B:EH,111,FALSE),"N/A")</f>
        <v>N/A</v>
      </c>
      <c r="CQ104" s="87" t="str">
        <f>IFERROR(VLOOKUP($B104,'LOD 300 - COLO1'!$B:EK,114,FALSE),"N/A")</f>
        <v>N/A</v>
      </c>
      <c r="CR104" s="87" t="str">
        <f>IFERROR(VLOOKUP($B104,'LOD 300 - COLO1'!$B:EN,117,FALSE),"N/A")</f>
        <v>N/A</v>
      </c>
      <c r="CS104" s="87" t="str">
        <f>IFERROR(VLOOKUP($B104,'LOD 300 - COLO1'!$B:EQ,120,FALSE),"N/A")</f>
        <v>N/A</v>
      </c>
      <c r="CT104" s="87" t="str">
        <f>IFERROR(VLOOKUP($B104,'LOD 300 - COLO1'!$B:ET,123,FALSE),"N/A")</f>
        <v>N/A</v>
      </c>
      <c r="CU104" s="87" t="str">
        <f>IFERROR(VLOOKUP($B104,'LOD 300 - COLO1'!$B:EW,126,FALSE),"N/A")</f>
        <v>N/A</v>
      </c>
      <c r="CV104" s="87" t="str">
        <f>IFERROR(VLOOKUP($B104,'LOD 300 - COLO1'!$B:EZ,129,FALSE),"N/A")</f>
        <v>N/A</v>
      </c>
      <c r="CW104" s="87" t="str">
        <f>IFERROR(VLOOKUP($B104,'LOD 300 - COLO1'!$B:FC,132,FALSE),"N/A")</f>
        <v>N/A</v>
      </c>
      <c r="CX104" s="96" t="str">
        <f>IFERROR(__xludf.DUMMYFUNCTION("IFERROR(
  MAX(FILTER(BK104:CW104, ISNUMBER(BK104:CW104))),
  CW104
)"),"N/A")</f>
        <v>N/A</v>
      </c>
      <c r="CY104" s="104" t="str">
        <f>IFERROR(VLOOKUP($B104,'LOD 300 - COLO2'!$B:S,18,FALSE),"N/A")</f>
        <v>N/A</v>
      </c>
      <c r="CZ104" s="117" t="str">
        <f>IFERROR(VLOOKUP($B104,'LOD 300 - COLO2'!$B:V,21,FALSE),"N/A")</f>
        <v>N/A</v>
      </c>
      <c r="DA104" s="117" t="str">
        <f>IFERROR(VLOOKUP($B104,'LOD 300 - COLO2'!$B:Y,24,FALSE),"N/A")</f>
        <v>N/A</v>
      </c>
      <c r="DB104" s="117" t="str">
        <f>IFERROR(VLOOKUP($B104,'LOD 300 - COLO2'!$B:AB,27,FALSE),"N/A")</f>
        <v>N/A</v>
      </c>
      <c r="DC104" s="117" t="str">
        <f>IFERROR(VLOOKUP($B104,'LOD 300 - COLO2'!$B:AE,30,FALSE),"N/A")</f>
        <v>N/A</v>
      </c>
      <c r="DD104" s="117" t="str">
        <f>IFERROR(VLOOKUP($B104,'LOD 300 - COLO2'!$B:AH,33,FALSE),"N/A")</f>
        <v>N/A</v>
      </c>
      <c r="DE104" s="117" t="str">
        <f>IFERROR(VLOOKUP($B104,'LOD 300 - COLO2'!$B:AK,36,FALSE),"N/A")</f>
        <v>N/A</v>
      </c>
      <c r="DF104" s="117" t="str">
        <f>IFERROR(VLOOKUP($B104,'LOD 300 - COLO2'!$B:AN,39,FALSE),"N/A")</f>
        <v>N/A</v>
      </c>
      <c r="DG104" s="119" t="str">
        <f>IFERROR(VLOOKUP($B104,'LOD 300 - COLO2'!$B:AQ,42,FALSE),"N/A")</f>
        <v>N/A</v>
      </c>
      <c r="DH104" s="87" t="str">
        <f>IFERROR(VLOOKUP($B104,'LOD 300 - COLO2'!$B:AT,45,FALSE),"N/A")</f>
        <v>N/A</v>
      </c>
      <c r="DI104" s="94" t="str">
        <f>IFERROR(VLOOKUP($B104,'LOD 300 - COLO2'!$B:AW,48,FALSE),"N/A")</f>
        <v>N/A</v>
      </c>
      <c r="DJ104" s="95" t="str">
        <f>IFERROR(VLOOKUP($B104,'LOD 300 - COLO2'!$B:AZ,51,FALSE),"N/A")</f>
        <v>N/A</v>
      </c>
      <c r="DK104" s="86" t="str">
        <f>IFERROR(VLOOKUP($B104,'LOD 300 - COLO2'!$B:BC,54,FALSE),"N/A")</f>
        <v>N/A</v>
      </c>
      <c r="DL104" s="86" t="str">
        <f>IFERROR(VLOOKUP($B104,'LOD 300 - COLO2'!$B:BF,57,FALSE),"N/A")</f>
        <v>N/A</v>
      </c>
      <c r="DM104" s="86" t="str">
        <f>IFERROR(VLOOKUP($B104,'LOD 300 - COLO2'!$B:BI,60,FALSE),"N/A")</f>
        <v>N/A</v>
      </c>
      <c r="DN104" s="86" t="str">
        <f>IFERROR(VLOOKUP($B104,'LOD 300 - COLO2'!$B:BL,63,FALSE),"N/A")</f>
        <v>N/A</v>
      </c>
      <c r="DO104" s="86" t="str">
        <f>IFERROR(VLOOKUP($B104,'LOD 300 - COLO2'!$B:BO,66,FALSE),"N/A")</f>
        <v>N/A</v>
      </c>
      <c r="DP104" s="87" t="str">
        <f>IFERROR(VLOOKUP($B104,'LOD 300 - COLO2'!$B:BR,69,FALSE),"N/A")</f>
        <v>N/A</v>
      </c>
      <c r="DQ104" s="87" t="str">
        <f>IFERROR(VLOOKUP($B104,'LOD 300 - COLO2'!$B:BU,72,FALSE),"N/A")</f>
        <v>N/A</v>
      </c>
      <c r="DR104" s="87" t="str">
        <f>IFERROR(VLOOKUP($B104,'LOD 300 - COLO2'!$B:BX,75,FALSE),"N/A")</f>
        <v>N/A</v>
      </c>
      <c r="DS104" s="98" t="str">
        <f>IFERROR(VLOOKUP($B104,'LOD 300 - COLO2'!$B:CA,78,FALSE),"N/A")</f>
        <v>N/A</v>
      </c>
      <c r="DT104" s="98" t="str">
        <f>IFERROR(VLOOKUP($B104,'LOD 300 - COLO2'!$B:CD,81,FALSE),"N/A")</f>
        <v>N/A</v>
      </c>
      <c r="DU104" s="98" t="str">
        <f>IFERROR(VLOOKUP($B104,'LOD 300 - COLO2'!$B:CG,84,FALSE),"N/A")</f>
        <v>N/A</v>
      </c>
      <c r="DV104" s="98" t="str">
        <f>IFERROR(VLOOKUP($B104,'LOD 300 - COLO2'!$B:CJ,87,FALSE),"N/A")</f>
        <v>N/A</v>
      </c>
      <c r="DW104" s="98" t="str">
        <f>IFERROR(VLOOKUP($B104,'LOD 300 - COLO2'!$B:CM,90,FALSE),"N/A")</f>
        <v>N/A</v>
      </c>
      <c r="DX104" s="98" t="str">
        <f>IFERROR(VLOOKUP($B104,'LOD 300 - COLO2'!$B:CP,93,FALSE),"N/A")</f>
        <v>N/A</v>
      </c>
      <c r="DY104" s="87" t="str">
        <f>IFERROR(VLOOKUP($B104,'LOD 300 - COLO2'!$B:CS,96,FALSE),"N/A")</f>
        <v>N/A</v>
      </c>
      <c r="DZ104" s="87" t="str">
        <f>IFERROR(VLOOKUP($B104,'LOD 300 - COLO2'!$B:CV,99,FALSE),"N/A")</f>
        <v>N/A</v>
      </c>
      <c r="EA104" s="87" t="str">
        <f>IFERROR(VLOOKUP($B104,'LOD 300 - COLO2'!$B:DB,105,FALSE),"N/A")</f>
        <v>N/A</v>
      </c>
      <c r="EB104" s="87" t="str">
        <f>IFERROR(VLOOKUP($B104,'LOD 300 - COLO2'!$B:DB,105,FALSE),"N/A")</f>
        <v>N/A</v>
      </c>
      <c r="EC104" s="87" t="str">
        <f>IFERROR(VLOOKUP($B104,'LOD 300 - COLO2'!$B:DE,108,FALSE),"N/A")</f>
        <v>N/A</v>
      </c>
      <c r="ED104" s="87" t="str">
        <f>IFERROR(VLOOKUP($B104,'LOD 300 - COLO2'!$B:DH,111,FALSE),"N/A")</f>
        <v>N/A</v>
      </c>
      <c r="EE104" s="87" t="str">
        <f>IFERROR(VLOOKUP($B104,'LOD 300 - COLO2'!$B:DK,114,FALSE),"N/A")</f>
        <v>N/A</v>
      </c>
      <c r="EF104" s="87" t="str">
        <f>IFERROR(VLOOKUP($B104,'LOD 300 - COLO2'!$B:DN,117,FALSE),"N/A")</f>
        <v>N/A</v>
      </c>
      <c r="EG104" s="87" t="str">
        <f>IFERROR(VLOOKUP($B104,'LOD 300 - COLO2'!$B:DQ,120,FALSE),"N/A")</f>
        <v>N/A</v>
      </c>
      <c r="EH104" s="99" t="str">
        <f>IFERROR(__xludf.DUMMYFUNCTION("IFERROR(
  MAX(FILTER(CZ104:EG104, ISNUMBER(CZ104:EG104))),
  EG104
)"),"N/A")</f>
        <v>N/A</v>
      </c>
      <c r="EI104" s="100" t="str">
        <f>IFERROR(VLOOKUP($B104,'LOD 300 - COLO3'!$B:R,17,FALSE),"N/A")</f>
        <v>N/A</v>
      </c>
      <c r="EJ104" s="127" t="str">
        <f>IFERROR(VLOOKUP($B104,'LOD 300 - COLO3'!$B:U,20,FALSE),"N/A")</f>
        <v>N/A</v>
      </c>
      <c r="EK104" s="127" t="str">
        <f>IFERROR(VLOOKUP($B104,'LOD 300 - COLO3'!$B:X,23,FALSE),"N/A")</f>
        <v>N/A</v>
      </c>
      <c r="EL104" s="127" t="str">
        <f>IFERROR(VLOOKUP($B104,'LOD 300 - COLO3'!$B:AA,26,FALSE),"N/A")</f>
        <v>N/A</v>
      </c>
      <c r="EM104" s="127" t="str">
        <f>IFERROR(VLOOKUP($B104,'LOD 300 - COLO3'!$B:AD,29,FALSE),"N/A")</f>
        <v>N/A</v>
      </c>
      <c r="EN104" s="127" t="str">
        <f>IFERROR(VLOOKUP($B104,'LOD 300 - COLO3'!$B:AG,32,FALSE),"N/A")</f>
        <v>N/A</v>
      </c>
      <c r="EO104" s="127" t="str">
        <f>IFERROR(VLOOKUP($B104,'LOD 300 - COLO3'!$B:AJ,35,FALSE),"N/A")</f>
        <v>N/A</v>
      </c>
      <c r="EP104" s="100" t="str">
        <f>IFERROR(VLOOKUP($B104,'LOD 300 - COLO3'!$B:AM,38,FALSE),"N/A")</f>
        <v>N/A</v>
      </c>
      <c r="EQ104" s="100" t="str">
        <f>IFERROR(VLOOKUP($B104,'LOD 300 - COLO3'!$B:AP,41,FALSE),"N/A")</f>
        <v>N/A</v>
      </c>
      <c r="ER104" s="100" t="str">
        <f>IFERROR(VLOOKUP($B104,'LOD 300 - COLO3'!$B:AS,44,FALSE),"N/A")</f>
        <v>N/A</v>
      </c>
      <c r="ES104" s="100" t="str">
        <f>IFERROR(VLOOKUP($B104,'LOD 300 - COLO3'!$B:AV,47,FALSE),"N/A")</f>
        <v>N/A</v>
      </c>
      <c r="ET104" s="100" t="str">
        <f>IFERROR(VLOOKUP($B104,'LOD 300 - COLO3'!$B:AY,50,FALSE),"N/A")</f>
        <v>N/A</v>
      </c>
      <c r="EU104" s="100" t="str">
        <f>IFERROR(VLOOKUP($B104,'LOD 300 - COLO3'!$B:BB,53,FALSE),"N/A")</f>
        <v>N/A</v>
      </c>
      <c r="EV104" s="100" t="str">
        <f>IFERROR(VLOOKUP($B104,'LOD 300 - COLO3'!$B:BE,56,FALSE),"N/A")</f>
        <v>N/A</v>
      </c>
      <c r="EW104" s="100" t="str">
        <f>IFERROR(VLOOKUP($B104,'LOD 300 - COLO3'!$B:BL,59,FALSE),"N/A")</f>
        <v>N/A</v>
      </c>
      <c r="EX104" s="100" t="str">
        <f>IFERROR(VLOOKUP($B104,'LOD 300 - COLO3'!$B:BO,62,FALSE),"N/A")</f>
        <v>N/A</v>
      </c>
      <c r="EY104" s="103" t="str">
        <f>IFERROR(__xludf.DUMMYFUNCTION("IFERROR(
  MAX(FILTER(EI104:EX104, ISNUMBER(EI104:EX104))),
  EX104
)"),"N/A")</f>
        <v>N/A</v>
      </c>
      <c r="EZ104" s="104">
        <f>IFERROR(VLOOKUP($B104,'LOD 300 - COLO4'!$B:BT,17,FALSE),"N/A")</f>
        <v>0</v>
      </c>
      <c r="FA104" s="103">
        <f>IFERROR(__xludf.DUMMYFUNCTION("IFERROR(
  MAX(FILTER(EZ104, ISNUMBER(EZ104))),
  EZ104
)"),0.0)</f>
        <v>0</v>
      </c>
      <c r="FB104" s="121" t="str">
        <f>IFERROR(VLOOKUP($B104,'LOD 300 - SITE'!$B:S,18,FALSE),"N/A")</f>
        <v>N/A</v>
      </c>
      <c r="FC104" s="122" t="str">
        <f>IFERROR(VLOOKUP($B104,'LOD 300 - SITE'!$B:V,21,FALSE),"N/A")</f>
        <v>N/A</v>
      </c>
      <c r="FD104" s="122" t="str">
        <f>IFERROR(VLOOKUP($B104,'LOD 300 - SITE'!$B:Y,24,FALSE),"N/A")</f>
        <v>N/A</v>
      </c>
      <c r="FE104" s="122" t="str">
        <f>IFERROR(VLOOKUP($B104,'LOD 300 - SITE'!$B:AB,27,FALSE),"N/A")</f>
        <v>N/A</v>
      </c>
      <c r="FF104" s="122" t="str">
        <f>IFERROR(VLOOKUP($B104,'LOD 300 - SITE'!$B:AE,30,FALSE),"N/A")</f>
        <v>N/A</v>
      </c>
      <c r="FG104" s="122" t="str">
        <f>IFERROR(VLOOKUP($B104,'LOD 300 - SITE'!$B:AH,33,FALSE),"N/A")</f>
        <v>N/A</v>
      </c>
      <c r="FH104" s="122" t="str">
        <f>IFERROR(VLOOKUP($B104,'LOD 300 - SITE'!$B:AK,36,FALSE),"N/A")</f>
        <v>N/A</v>
      </c>
      <c r="FI104" s="122" t="str">
        <f>IFERROR(VLOOKUP($B104,'LOD 300 - SITE'!$B:AN,39,FALSE),"N/A")</f>
        <v>N/A</v>
      </c>
      <c r="FJ104" s="122" t="str">
        <f>IFERROR(VLOOKUP($B104,'LOD 300 - SITE'!$B:AQ,42,FALSE),"N/A")</f>
        <v>N/A</v>
      </c>
      <c r="FK104" s="122" t="str">
        <f>IFERROR(VLOOKUP($B104,'LOD 300 - SITE'!$B:AT,45,FALSE),"N/A")</f>
        <v>N/A</v>
      </c>
      <c r="FL104" s="123" t="str">
        <f>IFERROR(VLOOKUP($B104,'LOD 300 - SITE'!$B:AW,48,FALSE),"N/A")</f>
        <v>N/A</v>
      </c>
      <c r="FM104" s="87" t="str">
        <f>IFERROR(VLOOKUP($B104,'LOD 300 - SITE'!$B:AZ,51,FALSE),"N/A")</f>
        <v>N/A</v>
      </c>
      <c r="FN104" s="94" t="str">
        <f>IFERROR(VLOOKUP($B104,'LOD 300 - SITE'!$B:BC,54,FALSE),"N/A")</f>
        <v>N/A</v>
      </c>
      <c r="FO104" s="95" t="str">
        <f>IFERROR(VLOOKUP($B104,'LOD 300 - SITE'!$B:BF,57,FALSE),"N/A")</f>
        <v>N/A</v>
      </c>
      <c r="FP104" s="86" t="str">
        <f>IFERROR(VLOOKUP($B104,'LOD 300 - SITE'!$B:BI,60,FALSE),"N/A")</f>
        <v>N/A</v>
      </c>
      <c r="FQ104" s="86" t="str">
        <f>IFERROR(VLOOKUP($B104,'LOD 300 - SITE'!$B:BL,63,FALSE),"N/A")</f>
        <v>N/A</v>
      </c>
      <c r="FR104" s="86" t="str">
        <f>IFERROR(VLOOKUP($B104,'LOD 300 - SITE'!$B:BO,66,FALSE),"N/A")</f>
        <v>N/A</v>
      </c>
      <c r="FS104" s="86" t="str">
        <f>IFERROR(VLOOKUP($B104,'LOD 300 - SITE'!$B:BR,69,FALSE),"N/A")</f>
        <v>N/A</v>
      </c>
      <c r="FT104" s="86" t="str">
        <f>IFERROR(VLOOKUP($B104,'LOD 300 - SITE'!$B:BU,72,FALSE),"N/A")</f>
        <v>N/A</v>
      </c>
      <c r="FU104" s="86" t="str">
        <f>IFERROR(VLOOKUP($B104,'LOD 300 - SITE'!$B:BX,75,FALSE),"N/A")</f>
        <v>N/A</v>
      </c>
      <c r="FV104" s="86" t="str">
        <f>IFERROR(VLOOKUP($B104,'LOD 300 - SITE'!$B:CA,78,FALSE),"N/A")</f>
        <v>N/A</v>
      </c>
      <c r="FW104" s="87" t="str">
        <f>IFERROR(VLOOKUP($B104,'LOD 300 - SITE'!$B:CD,81,FALSE),"N/A")</f>
        <v>N/A</v>
      </c>
      <c r="FX104" s="108" t="str">
        <f>IFERROR(VLOOKUP($B104,'LOD 300 - SITE'!$B:CG,84,FALSE),"N/A")</f>
        <v>N/A</v>
      </c>
      <c r="FY104" s="108" t="str">
        <f>IFERROR(VLOOKUP($B104,'LOD 300 - SITE'!$B:CJ,87,FALSE),"N/A")</f>
        <v>N/A</v>
      </c>
      <c r="FZ104" s="108" t="str">
        <f>IFERROR(VLOOKUP($B104,'LOD 300 - SITE'!$B:CM,90,FALSE),"N/A")</f>
        <v>N/A</v>
      </c>
      <c r="GA104" s="108" t="str">
        <f>IFERROR(VLOOKUP($B104,'LOD 300 - SITE'!$B:CP,93,FALSE),"N/A")</f>
        <v>N/A</v>
      </c>
      <c r="GB104" s="108" t="str">
        <f>IFERROR(VLOOKUP($B104,'LOD 300 - SITE'!$B:CS,96,FALSE),"N/A")</f>
        <v>N/A</v>
      </c>
      <c r="GC104" s="109" t="str">
        <f>IFERROR(VLOOKUP($B104,'LOD 300 - SITE'!$B:CV,99,FALSE),"N/A")</f>
        <v>N/A</v>
      </c>
      <c r="GD104" s="87" t="str">
        <f>IFERROR(VLOOKUP($B104,'LOD 300 - SITE'!$B:CY,102,FALSE),"N/A")</f>
        <v>N/A</v>
      </c>
      <c r="GE104" s="87" t="str">
        <f>IFERROR(VLOOKUP($B104,'LOD 300 - SITE'!$B:DB,105,FALSE),"N/A")</f>
        <v>N/A</v>
      </c>
      <c r="GF104" s="87" t="str">
        <f>IFERROR(VLOOKUP($B104,'LOD 300 - SITE'!$B:DE,108,FALSE),"N/A")</f>
        <v>N/A</v>
      </c>
      <c r="GG104" s="87" t="str">
        <f>IFERROR(VLOOKUP($B104,'LOD 300 - SITE'!$B:DH,111,FALSE),"N/A")</f>
        <v>N/A</v>
      </c>
      <c r="GH104" s="87" t="str">
        <f>IFERROR(VLOOKUP($B104,'LOD 300 - SITE'!$B:DK,114,FALSE),"N/A")</f>
        <v>N/A</v>
      </c>
      <c r="GI104" s="87" t="str">
        <f>IFERROR(VLOOKUP($B104,'LOD 300 - SITE'!$B:DN,117,FALSE),"N/A")</f>
        <v>N/A</v>
      </c>
      <c r="GJ104" s="87" t="str">
        <f>IFERROR(VLOOKUP($B104,'LOD 300 - SITE'!$B:DQ,120,FALSE),"N/A")</f>
        <v>N/A</v>
      </c>
      <c r="GK104" s="87" t="str">
        <f>IFERROR(VLOOKUP($B104,'LOD 300 - SITE'!$B:DT,123,FALSE),"N/A")</f>
        <v>N/A</v>
      </c>
      <c r="GL104" s="87" t="str">
        <f>IFERROR(VLOOKUP($B104,'LOD 300 - SITE'!$B:DW,126,FALSE),"N/A")</f>
        <v>N/A</v>
      </c>
      <c r="GM104" s="110" t="str">
        <f>IFERROR(__xludf.DUMMYFUNCTION("IFERROR(
  MAX(FILTER(FB104:GL104, ISNUMBER(FB104:GL104))),
  GL104
)"),"N/A")</f>
        <v>N/A</v>
      </c>
      <c r="GN104" s="111"/>
      <c r="GO104" s="111"/>
      <c r="GP104" s="111"/>
    </row>
    <row r="105" ht="15.0" customHeight="1" outlineLevel="1">
      <c r="A105" s="60">
        <v>108.0</v>
      </c>
      <c r="B105" s="140" t="s">
        <v>318</v>
      </c>
      <c r="C105" s="70" t="s">
        <v>318</v>
      </c>
      <c r="D105" s="525" t="s">
        <v>319</v>
      </c>
      <c r="E105" s="146" t="s">
        <v>317</v>
      </c>
      <c r="F105" s="13">
        <v>1125.0</v>
      </c>
      <c r="G105" s="139" t="s">
        <v>317</v>
      </c>
      <c r="H105" s="139">
        <v>1125.0</v>
      </c>
      <c r="I105" s="74" t="str">
        <f>IFERROR(VLOOKUP(C102:C244,'R22 RELATÓRIO ACC'!B:F,5,FALSE),"NOT PUBLISHED")</f>
        <v>V7</v>
      </c>
      <c r="J105" s="74" t="str">
        <f>IFERROR(VLOOKUP(C102:C244,'R22 RELATÓRIO ACC'!B:P,15,FALSE),"NOT PUBLISHED")</f>
        <v>07/11/2025</v>
      </c>
      <c r="K105" s="141" t="str">
        <f>IFERROR(VLOOKUP(B102:B292,'RELATÓRIO ACC'!B:F,5,FALSE),"NOT PUBLISHED")</f>
        <v>V1</v>
      </c>
      <c r="L105" s="142" t="str">
        <f>IFERROR(VLOOKUP(B102:B292,'RELATÓRIO ACC'!B:P,15,FALSE),"NOT PUBLISHED")</f>
        <v>21/05/2026</v>
      </c>
      <c r="M105" s="76" t="str">
        <f>IF(OR($D105="UTLS",$D105="GUAR",$D105="STIR",$D105="PUMP",$D105="SITE"),
   VLOOKUP($B105,'LOD 300 - SITE'!B:M,12,FALSE),
   VLOOKUP($B105,'LOD 300 - ADMN'!B:M,12,FALSE)
)</f>
        <v>N/A</v>
      </c>
      <c r="N105" s="76" t="str">
        <f>IF(OR($D105="UTLS",$D105="GUAR",$D105="STIR",$D105="PUMP",$D105="SITE"),
   VLOOKUP($B105,'LOD 300 - SITE'!B:N,13,FALSE),
   VLOOKUP($B105,'LOD 300 - ADMN'!B:N,13,FALSE)
)</f>
        <v>N/A</v>
      </c>
      <c r="O105" s="78" t="str">
        <f>IF(OR($D105="UTLS",$D105="GUAR",$D105="STIR",$D105="PUMP",$D105="SITE"),
   VLOOKUP($B105,'LOD 300 - SITE'!B:O,14,FALSE),
   VLOOKUP($B105,'LOD 300 - ADMN'!B:O,14,FALSE)
)</f>
        <v>N/A</v>
      </c>
      <c r="P105" s="79" t="str">
        <f>IF(OR($D105="C345",$D105="C12A",$D105="DATA"),
   VLOOKUP($B105,'LOD 300 - COLO3'!B:M,12,FALSE),"N/A")</f>
        <v>N/A</v>
      </c>
      <c r="Q105" s="76" t="str">
        <f>IF(OR($D105="C345",$D105="C12A",$D105="DATA"),
   VLOOKUP($B105,'LOD 300 - COLO3'!B:N,13,FALSE),"N/A")</f>
        <v>N/A</v>
      </c>
      <c r="R105" s="76" t="str">
        <f>IF(OR($D105="C345",$D105="C12A",$D105="DATA"),
   VLOOKUP($B105,'LOD 300 - COLO3'!B:O,14,FALSE),"N/A")</f>
        <v>N/A</v>
      </c>
      <c r="S105" s="79" t="str">
        <f>IF(OR($D105="C345",$D105="C12A",$D105="DATA"),
   VLOOKUP($B105,'LOD 300 - COLO4'!B:M,12,FALSE),"N/A")</f>
        <v>N/A</v>
      </c>
      <c r="T105" s="76" t="str">
        <f>IF(OR($D105="C345",$D105="C12A",$D105="DATA"),
   VLOOKUP($B105,'LOD 300 - COLO4'!B:T,13,FALSE),"N/A")</f>
        <v>N/A</v>
      </c>
      <c r="U105" s="76" t="str">
        <f>IF(OR($D105="C345",$D105="C12A",$D105="DATA"),
   VLOOKUP($B105,'LOD 300 - COLO4'!B:U,17,FALSE),"N/A")</f>
        <v>N/A</v>
      </c>
      <c r="V105" s="126" t="s">
        <v>194</v>
      </c>
      <c r="W105" s="116" t="str">
        <f>IFERROR(VLOOKUP($B105,'LOD 300 - ADMN'!$B:S,18,FALSE),"N/A")</f>
        <v>N/A</v>
      </c>
      <c r="X105" s="117" t="str">
        <f>IFERROR(VLOOKUP($B105,'LOD 300 - ADMN'!$B:V,21,FALSE),"N/A")</f>
        <v>N/A</v>
      </c>
      <c r="Y105" s="117" t="str">
        <f>IFERROR(VLOOKUP($B105,'LOD 300 - ADMN'!$B:Y,24,FALSE),"N/A")</f>
        <v>N/A</v>
      </c>
      <c r="Z105" s="117" t="str">
        <f>IFERROR(VLOOKUP($B105,'LOD 300 - ADMN'!$B:AB,27,FALSE),"N/A")</f>
        <v>N/A</v>
      </c>
      <c r="AA105" s="117" t="str">
        <f>IFERROR(VLOOKUP($B105,'LOD 300 - ADMN'!$B:AE,30,FALSE),"N/A")</f>
        <v>N/A</v>
      </c>
      <c r="AB105" s="118" t="str">
        <f>IFERROR(VLOOKUP($B105,'LOD 300 - ADMN'!$B:AH,33,FALSE),"N/A")</f>
        <v>N/A</v>
      </c>
      <c r="AC105" s="118" t="str">
        <f>IFERROR(VLOOKUP($B105,'LOD 300 - ADMN'!$B:AK,36,FALSE),"N/A")</f>
        <v>N/A</v>
      </c>
      <c r="AD105" s="117" t="str">
        <f>IFERROR(VLOOKUP($B105,'LOD 300 - ADMN'!$B:AN,39,FALSE),"N/A")</f>
        <v>N/A</v>
      </c>
      <c r="AE105" s="117" t="str">
        <f>IFERROR(VLOOKUP($B105,'LOD 300 - ADMN'!$B:AQ,42,FALSE),"N/A")</f>
        <v>N/A</v>
      </c>
      <c r="AF105" s="117" t="str">
        <f>IFERROR(VLOOKUP($B105,'LOD 300 - ADMN'!$B:AT,45,FALSE),"N/A")</f>
        <v>N/A</v>
      </c>
      <c r="AG105" s="117" t="str">
        <f>IFERROR(VLOOKUP($B105,'LOD 300 - ADMN'!$B:AW,48,FALSE),"N/A")</f>
        <v>N/A</v>
      </c>
      <c r="AH105" s="117" t="str">
        <f>IFERROR(VLOOKUP($B105,'LOD 300 - ADMN'!$B:AZ,51,FALSE),"N/A")</f>
        <v>N/A</v>
      </c>
      <c r="AI105" s="119" t="str">
        <f>IFERROR(VLOOKUP($B105,'LOD 300 - ADMN'!$B:BC,54,FALSE),"N/A")</f>
        <v>N/A</v>
      </c>
      <c r="AJ105" s="86" t="str">
        <f>IFERROR(VLOOKUP($B105,'LOD 300 - ADMN'!$B:BF,57,FALSE),"N/A")</f>
        <v>N/A</v>
      </c>
      <c r="AK105" s="87" t="str">
        <f>IFERROR(VLOOKUP($B105,'LOD 300 - ADMN'!$B:EP,60,FALSE),"N/A")</f>
        <v>N/A</v>
      </c>
      <c r="AL105" s="86" t="str">
        <f>IFERROR(VLOOKUP($B105,'LOD 300 - ADMN'!$B:EQ,63,FALSE),"N/A")</f>
        <v>N/A</v>
      </c>
      <c r="AM105" s="86" t="str">
        <f>IFERROR(VLOOKUP($B105,'LOD 300 - ADMN'!$B:BO,66,FALSE),"N/A")</f>
        <v>N/A</v>
      </c>
      <c r="AN105" s="86" t="str">
        <f>IFERROR(VLOOKUP($B105,'LOD 300 - ADMN'!$B:BR,69,FALSE),"N/A")</f>
        <v>N/A</v>
      </c>
      <c r="AO105" s="86" t="str">
        <f>IFERROR(VLOOKUP($B105,'LOD 300 - ADMN'!$B:BU,72,FALSE),"N/A")</f>
        <v>N/A</v>
      </c>
      <c r="AP105" s="86" t="str">
        <f>IFERROR(VLOOKUP($B105,'LOD 300 - ADMN'!$B:BX,75,FALSE),"N/A")</f>
        <v>N/A</v>
      </c>
      <c r="AQ105" s="86" t="str">
        <f>IFERROR(VLOOKUP($B105,'LOD 300 - ADMN'!$B:CA,78,FALSE),"N/A")</f>
        <v>N/A</v>
      </c>
      <c r="AR105" s="86" t="str">
        <f>IFERROR(VLOOKUP($B105,'LOD 300 - ADMN'!$B:CD,81,FALSE),"N/A")</f>
        <v>N/A</v>
      </c>
      <c r="AS105" s="86" t="str">
        <f>IFERROR(VLOOKUP($B105,'LOD 300 - ADMN'!$B:CG,84,FALSE),"N/A")</f>
        <v>N/A</v>
      </c>
      <c r="AT105" s="86" t="str">
        <f>IFERROR(VLOOKUP($B105,'LOD 300 - ADMN'!$B:CJ,87,FALSE),"N/A")</f>
        <v>N/A</v>
      </c>
      <c r="AU105" s="88" t="str">
        <f>IFERROR(VLOOKUP($B105,'LOD 300 - ADMN'!$B:CM,90,FALSE),"N/A")</f>
        <v>N/A</v>
      </c>
      <c r="AV105" s="88" t="str">
        <f>IFERROR(VLOOKUP($B105,'LOD 300 - ADMN'!$B:CP,93,FALSE),"N/A")</f>
        <v>N/A</v>
      </c>
      <c r="AW105" s="88" t="str">
        <f>IFERROR(VLOOKUP($B105,'LOD 300 - ADMN'!$B:CS,96,FALSE),"N/A")</f>
        <v>N/A</v>
      </c>
      <c r="AX105" s="88" t="str">
        <f>IFERROR(VLOOKUP($B105,'LOD 300 - ADMN'!$B:CV,99,FALSE),"N/A")</f>
        <v>N/A</v>
      </c>
      <c r="AY105" s="88" t="str">
        <f>IFERROR(VLOOKUP($B105,'LOD 300 - ADMN'!$B:CY,102,FALSE),"N/A")</f>
        <v>N/A</v>
      </c>
      <c r="AZ105" s="89" t="str">
        <f>IFERROR(VLOOKUP($B105,'LOD 300 - ADMN'!$B:DB,105,FALSE),"N/A")</f>
        <v>N/A</v>
      </c>
      <c r="BA105" s="87" t="str">
        <f>IFERROR(VLOOKUP($B105,'LOD 300 - ADMN'!$B:DE,108,FALSE),"N/A")</f>
        <v>N/A</v>
      </c>
      <c r="BB105" s="87" t="str">
        <f>IFERROR(VLOOKUP($B105,'LOD 300 - ADMN'!$B:DH,111,FALSE),"N/A")</f>
        <v>N/A</v>
      </c>
      <c r="BC105" s="87" t="str">
        <f>IFERROR(VLOOKUP($B105,'LOD 300 - ADMN'!$B:DK,114,FALSE),"N/A")</f>
        <v>N/A</v>
      </c>
      <c r="BD105" s="87" t="str">
        <f>IFERROR(VLOOKUP($B105,'LOD 300 - ADMN'!$B:DN,117,FALSE),"N/A")</f>
        <v>N/A</v>
      </c>
      <c r="BE105" s="87" t="str">
        <f>IFERROR(VLOOKUP($B105,'LOD 300 - ADMN'!$B:DQ,120,FALSE),"N/A")</f>
        <v>N/A</v>
      </c>
      <c r="BF105" s="87" t="str">
        <f>IFERROR(VLOOKUP($B105,'LOD 300 - ADMN'!$B:DT,123,FALSE),"N/A")</f>
        <v>N/A</v>
      </c>
      <c r="BG105" s="87" t="str">
        <f>IFERROR(VLOOKUP($B105,'LOD 300 - ADMN'!$B:DW,126,FALSE),"N/A")</f>
        <v>N/A</v>
      </c>
      <c r="BH105" s="87" t="str">
        <f>IFERROR(VLOOKUP($B105,'LOD 300 - ADMN'!$B:DZ,129,FALSE),"N/A")</f>
        <v>N/A</v>
      </c>
      <c r="BI105" s="87" t="str">
        <f>IFERROR(VLOOKUP($B105,'LOD 300 - ADMN'!$B:EC,132,FALSE),"N/A")</f>
        <v>N/A</v>
      </c>
      <c r="BJ105" s="90" t="str">
        <f>IFERROR(__xludf.DUMMYFUNCTION("IFERROR(
  MAX(FILTER(X105:BI105, ISNUMBER(X105:BI105))),
  BI105
)"),"N/A")</f>
        <v>N/A</v>
      </c>
      <c r="BK105" s="91">
        <f>IFERROR(VLOOKUP($B105,'LOD 300 - COLO1'!$B:S,18,FALSE),"N/A")</f>
        <v>0.74</v>
      </c>
      <c r="BL105" s="92" t="str">
        <f>IFERROR(VLOOKUP($B105,'LOD 300 - COLO1'!$B:V,21,FALSE),"N/A")</f>
        <v>OUTDATED MODEL</v>
      </c>
      <c r="BM105" s="92">
        <f>IFERROR(VLOOKUP($B105,'LOD 300 - COLO1'!$B:Y,24,FALSE),"N/A")</f>
        <v>1</v>
      </c>
      <c r="BN105" s="92">
        <f>IFERROR(VLOOKUP($B105,'LOD 300 - COLO1'!$B:AB,27,FALSE),"N/A")</f>
        <v>1</v>
      </c>
      <c r="BO105" s="92">
        <f>IFERROR(VLOOKUP($B105,'LOD 300 - COLO1'!$B:AE,30,FALSE),"N/A")</f>
        <v>1</v>
      </c>
      <c r="BP105" s="92">
        <f>IFERROR(VLOOKUP($B105,'LOD 300 - COLO1'!$B:AH,33,FALSE),"N/A")</f>
        <v>1</v>
      </c>
      <c r="BQ105" s="92">
        <f>IFERROR(VLOOKUP($B105,'LOD 300 - COLO1'!$B:AK,36,FALSE),"N/A")</f>
        <v>1</v>
      </c>
      <c r="BR105" s="92">
        <f>IFERROR(VLOOKUP($B105,'LOD 300 - COLO1'!$B:AN,39,FALSE),"N/A")</f>
        <v>1</v>
      </c>
      <c r="BS105" s="92">
        <f>IFERROR(VLOOKUP($B105,'LOD 300 - COLO1'!$B:AQ,42,FALSE),"N/A")</f>
        <v>1</v>
      </c>
      <c r="BT105" s="92">
        <f>IFERROR(VLOOKUP($B105,'LOD 300 - COLO1'!$B:AT,45,FALSE),"N/A")</f>
        <v>1</v>
      </c>
      <c r="BU105" s="92">
        <f>IFERROR(VLOOKUP($B105,'LOD 300 - COLO1'!$B:AW,48,FALSE),"N/A")</f>
        <v>1</v>
      </c>
      <c r="BV105" s="92">
        <f>IFERROR(VLOOKUP($B105,'LOD 300 - COLO1'!$B:AZ,51,FALSE),"N/A")</f>
        <v>1</v>
      </c>
      <c r="BW105" s="92">
        <f>IFERROR(VLOOKUP($B105,'LOD 300 - COLO1'!$B:BC,54,FALSE),"N/A")</f>
        <v>1</v>
      </c>
      <c r="BX105" s="94">
        <f>IFERROR(VLOOKUP($B105,'LOD 300 - COLO1'!$B:BF,57,FALSE),"N/A")</f>
        <v>1</v>
      </c>
      <c r="BY105" s="94">
        <f>IFERROR(VLOOKUP($B105,'LOD 300 - COLO1'!$B:BI,60,FALSE),"N/A")</f>
        <v>1</v>
      </c>
      <c r="BZ105" s="95">
        <f>IFERROR(VLOOKUP($B105,'LOD 300 - COLO1'!$B:BL,63,FALSE),"N/A")</f>
        <v>1</v>
      </c>
      <c r="CA105" s="86">
        <f>IFERROR(VLOOKUP($B105,'LOD 300 - COLO1'!$B:BO,66,FALSE),"N/A")</f>
        <v>1</v>
      </c>
      <c r="CB105" s="86">
        <f>IFERROR(VLOOKUP($B105,'LOD 300 - COLO1'!$B:BR,69,FALSE),"N/A")</f>
        <v>1</v>
      </c>
      <c r="CC105" s="86">
        <f>IFERROR(VLOOKUP($B105,'LOD 300 - COLO1'!$B:BU,72,FALSE),"N/A")</f>
        <v>1</v>
      </c>
      <c r="CD105" s="86">
        <f>IFERROR(VLOOKUP($B105,'LOD 300 - COLO1'!$B:BX,75,FALSE),"N/A")</f>
        <v>1</v>
      </c>
      <c r="CE105" s="86">
        <f>IFERROR(VLOOKUP($B105,'LOD 300 - COLO1'!$B:CA,78,FALSE),"N/A")</f>
        <v>1</v>
      </c>
      <c r="CF105" s="87">
        <f>IFERROR(VLOOKUP($B105,'LOD 300 - COLO1'!$B:CD,81,FALSE),"N/A")</f>
        <v>1</v>
      </c>
      <c r="CG105" s="86">
        <f>IFERROR(VLOOKUP($B105,'LOD 300 - COLO1'!$B:CG,84,FALSE),"N/A")</f>
        <v>1</v>
      </c>
      <c r="CH105" s="87">
        <f>IFERROR(VLOOKUP($B105,'LOD 300 - COLO1'!$B:CJ,87,FALSE),"N/A")</f>
        <v>1</v>
      </c>
      <c r="CI105" s="88">
        <f>IFERROR(VLOOKUP($B105,'LOD 300 - COLO1'!$B:CM,90,FALSE),"N/A")</f>
        <v>1</v>
      </c>
      <c r="CJ105" s="88">
        <f>IFERROR(VLOOKUP($B105,'LOD 300 - COLO1'!$B:CP,93,FALSE),"N/A")</f>
        <v>1</v>
      </c>
      <c r="CK105" s="88">
        <f>IFERROR(VLOOKUP($B105,'LOD 300 - COLO1'!$B:CS,96,FALSE),"N/A")</f>
        <v>1</v>
      </c>
      <c r="CL105" s="88">
        <f>IFERROR(VLOOKUP($B105,'LOD 300 - COLO1'!$B:CV,99,FALSE),"N/A")</f>
        <v>1</v>
      </c>
      <c r="CM105" s="88">
        <f>IFERROR(VLOOKUP($B105,'LOD 300 - COLO1'!$B:CY,102,FALSE),"N/A")</f>
        <v>1</v>
      </c>
      <c r="CN105" s="89">
        <f>IFERROR(VLOOKUP($B105,'LOD 300 - COLO1'!$B:DB,105,FALSE),"N/A")</f>
        <v>1</v>
      </c>
      <c r="CO105" s="87">
        <f>IFERROR(VLOOKUP($B105,'LOD 300 - COLO1'!$B:EE,108,FALSE),"N/A")</f>
        <v>1</v>
      </c>
      <c r="CP105" s="87">
        <f>IFERROR(VLOOKUP($B105,'LOD 300 - COLO1'!$B:EH,111,FALSE),"N/A")</f>
        <v>1</v>
      </c>
      <c r="CQ105" s="87">
        <f>IFERROR(VLOOKUP($B105,'LOD 300 - COLO1'!$B:EK,114,FALSE),"N/A")</f>
        <v>1</v>
      </c>
      <c r="CR105" s="87">
        <f>IFERROR(VLOOKUP($B105,'LOD 300 - COLO1'!$B:EN,117,FALSE),"N/A")</f>
        <v>1</v>
      </c>
      <c r="CS105" s="87">
        <f>IFERROR(VLOOKUP($B105,'LOD 300 - COLO1'!$B:EQ,120,FALSE),"N/A")</f>
        <v>1</v>
      </c>
      <c r="CT105" s="87">
        <f>IFERROR(VLOOKUP($B105,'LOD 300 - COLO1'!$B:ET,123,FALSE),"N/A")</f>
        <v>1</v>
      </c>
      <c r="CU105" s="87">
        <f>IFERROR(VLOOKUP($B105,'LOD 300 - COLO1'!$B:EW,126,FALSE),"N/A")</f>
        <v>1</v>
      </c>
      <c r="CV105" s="87">
        <f>IFERROR(VLOOKUP($B105,'LOD 300 - COLO1'!$B:EZ,129,FALSE),"N/A")</f>
        <v>1</v>
      </c>
      <c r="CW105" s="87">
        <f>IFERROR(VLOOKUP($B105,'LOD 300 - COLO1'!$B:FC,132,FALSE),"N/A")</f>
        <v>1</v>
      </c>
      <c r="CX105" s="96">
        <f>IFERROR(__xludf.DUMMYFUNCTION("IFERROR(
  MAX(FILTER(BK105:CW105, ISNUMBER(BK105:CW105))),
  CW105
)"),1.0)</f>
        <v>1</v>
      </c>
      <c r="CY105" s="104" t="str">
        <f>IFERROR(VLOOKUP($B105,'LOD 300 - COLO2'!$B:S,18,FALSE),"N/A")</f>
        <v>N/A</v>
      </c>
      <c r="CZ105" s="117" t="str">
        <f>IFERROR(VLOOKUP($B105,'LOD 300 - COLO2'!$B:V,21,FALSE),"N/A")</f>
        <v>N/A</v>
      </c>
      <c r="DA105" s="117" t="str">
        <f>IFERROR(VLOOKUP($B105,'LOD 300 - COLO2'!$B:Y,24,FALSE),"N/A")</f>
        <v>N/A</v>
      </c>
      <c r="DB105" s="117" t="str">
        <f>IFERROR(VLOOKUP($B105,'LOD 300 - COLO2'!$B:AB,27,FALSE),"N/A")</f>
        <v>N/A</v>
      </c>
      <c r="DC105" s="117" t="str">
        <f>IFERROR(VLOOKUP($B105,'LOD 300 - COLO2'!$B:AE,30,FALSE),"N/A")</f>
        <v>N/A</v>
      </c>
      <c r="DD105" s="117" t="str">
        <f>IFERROR(VLOOKUP($B105,'LOD 300 - COLO2'!$B:AH,33,FALSE),"N/A")</f>
        <v>N/A</v>
      </c>
      <c r="DE105" s="117" t="str">
        <f>IFERROR(VLOOKUP($B105,'LOD 300 - COLO2'!$B:AK,36,FALSE),"N/A")</f>
        <v>N/A</v>
      </c>
      <c r="DF105" s="117" t="str">
        <f>IFERROR(VLOOKUP($B105,'LOD 300 - COLO2'!$B:AN,39,FALSE),"N/A")</f>
        <v>N/A</v>
      </c>
      <c r="DG105" s="119" t="str">
        <f>IFERROR(VLOOKUP($B105,'LOD 300 - COLO2'!$B:AQ,42,FALSE),"N/A")</f>
        <v>N/A</v>
      </c>
      <c r="DH105" s="87" t="str">
        <f>IFERROR(VLOOKUP($B105,'LOD 300 - COLO2'!$B:AT,45,FALSE),"N/A")</f>
        <v>N/A</v>
      </c>
      <c r="DI105" s="94" t="str">
        <f>IFERROR(VLOOKUP($B105,'LOD 300 - COLO2'!$B:AW,48,FALSE),"N/A")</f>
        <v>N/A</v>
      </c>
      <c r="DJ105" s="95" t="str">
        <f>IFERROR(VLOOKUP($B105,'LOD 300 - COLO2'!$B:AZ,51,FALSE),"N/A")</f>
        <v>N/A</v>
      </c>
      <c r="DK105" s="86" t="str">
        <f>IFERROR(VLOOKUP($B105,'LOD 300 - COLO2'!$B:BC,54,FALSE),"N/A")</f>
        <v>N/A</v>
      </c>
      <c r="DL105" s="86" t="str">
        <f>IFERROR(VLOOKUP($B105,'LOD 300 - COLO2'!$B:BF,57,FALSE),"N/A")</f>
        <v>N/A</v>
      </c>
      <c r="DM105" s="86" t="str">
        <f>IFERROR(VLOOKUP($B105,'LOD 300 - COLO2'!$B:BI,60,FALSE),"N/A")</f>
        <v>N/A</v>
      </c>
      <c r="DN105" s="86" t="str">
        <f>IFERROR(VLOOKUP($B105,'LOD 300 - COLO2'!$B:BL,63,FALSE),"N/A")</f>
        <v>N/A</v>
      </c>
      <c r="DO105" s="86" t="str">
        <f>IFERROR(VLOOKUP($B105,'LOD 300 - COLO2'!$B:BO,66,FALSE),"N/A")</f>
        <v>N/A</v>
      </c>
      <c r="DP105" s="87" t="str">
        <f>IFERROR(VLOOKUP($B105,'LOD 300 - COLO2'!$B:BR,69,FALSE),"N/A")</f>
        <v>N/A</v>
      </c>
      <c r="DQ105" s="87" t="str">
        <f>IFERROR(VLOOKUP($B105,'LOD 300 - COLO2'!$B:BU,72,FALSE),"N/A")</f>
        <v>N/A</v>
      </c>
      <c r="DR105" s="87" t="str">
        <f>IFERROR(VLOOKUP($B105,'LOD 300 - COLO2'!$B:BX,75,FALSE),"N/A")</f>
        <v>N/A</v>
      </c>
      <c r="DS105" s="98" t="str">
        <f>IFERROR(VLOOKUP($B105,'LOD 300 - COLO2'!$B:CA,78,FALSE),"N/A")</f>
        <v>N/A</v>
      </c>
      <c r="DT105" s="98" t="str">
        <f>IFERROR(VLOOKUP($B105,'LOD 300 - COLO2'!$B:CD,81,FALSE),"N/A")</f>
        <v>N/A</v>
      </c>
      <c r="DU105" s="98" t="str">
        <f>IFERROR(VLOOKUP($B105,'LOD 300 - COLO2'!$B:CG,84,FALSE),"N/A")</f>
        <v>N/A</v>
      </c>
      <c r="DV105" s="98" t="str">
        <f>IFERROR(VLOOKUP($B105,'LOD 300 - COLO2'!$B:CJ,87,FALSE),"N/A")</f>
        <v>N/A</v>
      </c>
      <c r="DW105" s="98" t="str">
        <f>IFERROR(VLOOKUP($B105,'LOD 300 - COLO2'!$B:CM,90,FALSE),"N/A")</f>
        <v>N/A</v>
      </c>
      <c r="DX105" s="98" t="str">
        <f>IFERROR(VLOOKUP($B105,'LOD 300 - COLO2'!$B:CP,93,FALSE),"N/A")</f>
        <v>N/A</v>
      </c>
      <c r="DY105" s="87" t="str">
        <f>IFERROR(VLOOKUP($B105,'LOD 300 - COLO2'!$B:CS,96,FALSE),"N/A")</f>
        <v>N/A</v>
      </c>
      <c r="DZ105" s="87" t="str">
        <f>IFERROR(VLOOKUP($B105,'LOD 300 - COLO2'!$B:CV,99,FALSE),"N/A")</f>
        <v>N/A</v>
      </c>
      <c r="EA105" s="87" t="str">
        <f>IFERROR(VLOOKUP($B105,'LOD 300 - COLO2'!$B:DB,105,FALSE),"N/A")</f>
        <v>N/A</v>
      </c>
      <c r="EB105" s="87" t="str">
        <f>IFERROR(VLOOKUP($B105,'LOD 300 - COLO2'!$B:DB,105,FALSE),"N/A")</f>
        <v>N/A</v>
      </c>
      <c r="EC105" s="87" t="str">
        <f>IFERROR(VLOOKUP($B105,'LOD 300 - COLO2'!$B:DE,108,FALSE),"N/A")</f>
        <v>N/A</v>
      </c>
      <c r="ED105" s="87" t="str">
        <f>IFERROR(VLOOKUP($B105,'LOD 300 - COLO2'!$B:DH,111,FALSE),"N/A")</f>
        <v>N/A</v>
      </c>
      <c r="EE105" s="87" t="str">
        <f>IFERROR(VLOOKUP($B105,'LOD 300 - COLO2'!$B:DK,114,FALSE),"N/A")</f>
        <v>N/A</v>
      </c>
      <c r="EF105" s="87" t="str">
        <f>IFERROR(VLOOKUP($B105,'LOD 300 - COLO2'!$B:DN,117,FALSE),"N/A")</f>
        <v>N/A</v>
      </c>
      <c r="EG105" s="87" t="str">
        <f>IFERROR(VLOOKUP($B105,'LOD 300 - COLO2'!$B:DQ,120,FALSE),"N/A")</f>
        <v>N/A</v>
      </c>
      <c r="EH105" s="99" t="str">
        <f>IFERROR(__xludf.DUMMYFUNCTION("IFERROR(
  MAX(FILTER(CZ105:EG105, ISNUMBER(CZ105:EG105))),
  EG105
)"),"N/A")</f>
        <v>N/A</v>
      </c>
      <c r="EI105" s="100" t="str">
        <f>IFERROR(VLOOKUP($B105,'LOD 300 - COLO3'!$B:R,17,FALSE),"N/A")</f>
        <v>N/A</v>
      </c>
      <c r="EJ105" s="127" t="str">
        <f>IFERROR(VLOOKUP($B105,'LOD 300 - COLO3'!$B:U,20,FALSE),"N/A")</f>
        <v>N/A</v>
      </c>
      <c r="EK105" s="127" t="str">
        <f>IFERROR(VLOOKUP($B105,'LOD 300 - COLO3'!$B:X,23,FALSE),"N/A")</f>
        <v>N/A</v>
      </c>
      <c r="EL105" s="127" t="str">
        <f>IFERROR(VLOOKUP($B105,'LOD 300 - COLO3'!$B:AA,26,FALSE),"N/A")</f>
        <v>N/A</v>
      </c>
      <c r="EM105" s="127" t="str">
        <f>IFERROR(VLOOKUP($B105,'LOD 300 - COLO3'!$B:AD,29,FALSE),"N/A")</f>
        <v>N/A</v>
      </c>
      <c r="EN105" s="127" t="str">
        <f>IFERROR(VLOOKUP($B105,'LOD 300 - COLO3'!$B:AG,32,FALSE),"N/A")</f>
        <v>N/A</v>
      </c>
      <c r="EO105" s="127" t="str">
        <f>IFERROR(VLOOKUP($B105,'LOD 300 - COLO3'!$B:AJ,35,FALSE),"N/A")</f>
        <v>N/A</v>
      </c>
      <c r="EP105" s="100" t="str">
        <f>IFERROR(VLOOKUP($B105,'LOD 300 - COLO3'!$B:AM,38,FALSE),"N/A")</f>
        <v>N/A</v>
      </c>
      <c r="EQ105" s="100" t="str">
        <f>IFERROR(VLOOKUP($B105,'LOD 300 - COLO3'!$B:AP,41,FALSE),"N/A")</f>
        <v>N/A</v>
      </c>
      <c r="ER105" s="100" t="str">
        <f>IFERROR(VLOOKUP($B105,'LOD 300 - COLO3'!$B:AS,44,FALSE),"N/A")</f>
        <v>N/A</v>
      </c>
      <c r="ES105" s="100" t="str">
        <f>IFERROR(VLOOKUP($B105,'LOD 300 - COLO3'!$B:AV,47,FALSE),"N/A")</f>
        <v>N/A</v>
      </c>
      <c r="ET105" s="100" t="str">
        <f>IFERROR(VLOOKUP($B105,'LOD 300 - COLO3'!$B:AY,50,FALSE),"N/A")</f>
        <v>N/A</v>
      </c>
      <c r="EU105" s="100" t="str">
        <f>IFERROR(VLOOKUP($B105,'LOD 300 - COLO3'!$B:BB,53,FALSE),"N/A")</f>
        <v>N/A</v>
      </c>
      <c r="EV105" s="100" t="str">
        <f>IFERROR(VLOOKUP($B105,'LOD 300 - COLO3'!$B:BE,56,FALSE),"N/A")</f>
        <v>N/A</v>
      </c>
      <c r="EW105" s="100" t="str">
        <f>IFERROR(VLOOKUP($B105,'LOD 300 - COLO3'!$B:BL,59,FALSE),"N/A")</f>
        <v>N/A</v>
      </c>
      <c r="EX105" s="100" t="str">
        <f>IFERROR(VLOOKUP($B105,'LOD 300 - COLO3'!$B:BO,62,FALSE),"N/A")</f>
        <v>N/A</v>
      </c>
      <c r="EY105" s="103" t="str">
        <f>IFERROR(__xludf.DUMMYFUNCTION("IFERROR(
  MAX(FILTER(EI105:EX105, ISNUMBER(EI105:EX105))),
  EX105
)"),"N/A")</f>
        <v>N/A</v>
      </c>
      <c r="EZ105" s="104">
        <f>IFERROR(VLOOKUP($B105,'LOD 300 - COLO4'!$B:BT,17,FALSE),"N/A")</f>
        <v>0</v>
      </c>
      <c r="FA105" s="103">
        <f>IFERROR(__xludf.DUMMYFUNCTION("IFERROR(
  MAX(FILTER(EZ105, ISNUMBER(EZ105))),
  EZ105
)"),0.0)</f>
        <v>0</v>
      </c>
      <c r="FB105" s="121" t="str">
        <f>IFERROR(VLOOKUP($B105,'LOD 300 - SITE'!$B:S,18,FALSE),"N/A")</f>
        <v>N/A</v>
      </c>
      <c r="FC105" s="122" t="str">
        <f>IFERROR(VLOOKUP($B105,'LOD 300 - SITE'!$B:V,21,FALSE),"N/A")</f>
        <v>N/A</v>
      </c>
      <c r="FD105" s="122" t="str">
        <f>IFERROR(VLOOKUP($B105,'LOD 300 - SITE'!$B:Y,24,FALSE),"N/A")</f>
        <v>N/A</v>
      </c>
      <c r="FE105" s="122" t="str">
        <f>IFERROR(VLOOKUP($B105,'LOD 300 - SITE'!$B:AB,27,FALSE),"N/A")</f>
        <v>N/A</v>
      </c>
      <c r="FF105" s="122" t="str">
        <f>IFERROR(VLOOKUP($B105,'LOD 300 - SITE'!$B:AE,30,FALSE),"N/A")</f>
        <v>N/A</v>
      </c>
      <c r="FG105" s="122" t="str">
        <f>IFERROR(VLOOKUP($B105,'LOD 300 - SITE'!$B:AH,33,FALSE),"N/A")</f>
        <v>N/A</v>
      </c>
      <c r="FH105" s="122" t="str">
        <f>IFERROR(VLOOKUP($B105,'LOD 300 - SITE'!$B:AK,36,FALSE),"N/A")</f>
        <v>N/A</v>
      </c>
      <c r="FI105" s="122" t="str">
        <f>IFERROR(VLOOKUP($B105,'LOD 300 - SITE'!$B:AN,39,FALSE),"N/A")</f>
        <v>N/A</v>
      </c>
      <c r="FJ105" s="122" t="str">
        <f>IFERROR(VLOOKUP($B105,'LOD 300 - SITE'!$B:AQ,42,FALSE),"N/A")</f>
        <v>N/A</v>
      </c>
      <c r="FK105" s="122" t="str">
        <f>IFERROR(VLOOKUP($B105,'LOD 300 - SITE'!$B:AT,45,FALSE),"N/A")</f>
        <v>N/A</v>
      </c>
      <c r="FL105" s="123" t="str">
        <f>IFERROR(VLOOKUP($B105,'LOD 300 - SITE'!$B:AW,48,FALSE),"N/A")</f>
        <v>N/A</v>
      </c>
      <c r="FM105" s="87" t="str">
        <f>IFERROR(VLOOKUP($B105,'LOD 300 - SITE'!$B:AZ,51,FALSE),"N/A")</f>
        <v>N/A</v>
      </c>
      <c r="FN105" s="94" t="str">
        <f>IFERROR(VLOOKUP($B105,'LOD 300 - SITE'!$B:BC,54,FALSE),"N/A")</f>
        <v>N/A</v>
      </c>
      <c r="FO105" s="95" t="str">
        <f>IFERROR(VLOOKUP($B105,'LOD 300 - SITE'!$B:BF,57,FALSE),"N/A")</f>
        <v>N/A</v>
      </c>
      <c r="FP105" s="86" t="str">
        <f>IFERROR(VLOOKUP($B105,'LOD 300 - SITE'!$B:BI,60,FALSE),"N/A")</f>
        <v>N/A</v>
      </c>
      <c r="FQ105" s="86" t="str">
        <f>IFERROR(VLOOKUP($B105,'LOD 300 - SITE'!$B:BL,63,FALSE),"N/A")</f>
        <v>N/A</v>
      </c>
      <c r="FR105" s="86" t="str">
        <f>IFERROR(VLOOKUP($B105,'LOD 300 - SITE'!$B:BO,66,FALSE),"N/A")</f>
        <v>N/A</v>
      </c>
      <c r="FS105" s="86" t="str">
        <f>IFERROR(VLOOKUP($B105,'LOD 300 - SITE'!$B:BR,69,FALSE),"N/A")</f>
        <v>N/A</v>
      </c>
      <c r="FT105" s="86" t="str">
        <f>IFERROR(VLOOKUP($B105,'LOD 300 - SITE'!$B:BU,72,FALSE),"N/A")</f>
        <v>N/A</v>
      </c>
      <c r="FU105" s="86" t="str">
        <f>IFERROR(VLOOKUP($B105,'LOD 300 - SITE'!$B:BX,75,FALSE),"N/A")</f>
        <v>N/A</v>
      </c>
      <c r="FV105" s="86" t="str">
        <f>IFERROR(VLOOKUP($B105,'LOD 300 - SITE'!$B:CA,78,FALSE),"N/A")</f>
        <v>N/A</v>
      </c>
      <c r="FW105" s="87" t="str">
        <f>IFERROR(VLOOKUP($B105,'LOD 300 - SITE'!$B:CD,81,FALSE),"N/A")</f>
        <v>N/A</v>
      </c>
      <c r="FX105" s="108" t="str">
        <f>IFERROR(VLOOKUP($B105,'LOD 300 - SITE'!$B:CG,84,FALSE),"N/A")</f>
        <v>N/A</v>
      </c>
      <c r="FY105" s="108" t="str">
        <f>IFERROR(VLOOKUP($B105,'LOD 300 - SITE'!$B:CJ,87,FALSE),"N/A")</f>
        <v>N/A</v>
      </c>
      <c r="FZ105" s="108" t="str">
        <f>IFERROR(VLOOKUP($B105,'LOD 300 - SITE'!$B:CM,90,FALSE),"N/A")</f>
        <v>N/A</v>
      </c>
      <c r="GA105" s="108" t="str">
        <f>IFERROR(VLOOKUP($B105,'LOD 300 - SITE'!$B:CP,93,FALSE),"N/A")</f>
        <v>N/A</v>
      </c>
      <c r="GB105" s="108" t="str">
        <f>IFERROR(VLOOKUP($B105,'LOD 300 - SITE'!$B:CS,96,FALSE),"N/A")</f>
        <v>N/A</v>
      </c>
      <c r="GC105" s="109" t="str">
        <f>IFERROR(VLOOKUP($B105,'LOD 300 - SITE'!$B:CV,99,FALSE),"N/A")</f>
        <v>N/A</v>
      </c>
      <c r="GD105" s="87" t="str">
        <f>IFERROR(VLOOKUP($B105,'LOD 300 - SITE'!$B:CY,102,FALSE),"N/A")</f>
        <v>N/A</v>
      </c>
      <c r="GE105" s="87" t="str">
        <f>IFERROR(VLOOKUP($B105,'LOD 300 - SITE'!$B:DB,105,FALSE),"N/A")</f>
        <v>N/A</v>
      </c>
      <c r="GF105" s="87" t="str">
        <f>IFERROR(VLOOKUP($B105,'LOD 300 - SITE'!$B:DE,108,FALSE),"N/A")</f>
        <v>N/A</v>
      </c>
      <c r="GG105" s="87" t="str">
        <f>IFERROR(VLOOKUP($B105,'LOD 300 - SITE'!$B:DH,111,FALSE),"N/A")</f>
        <v>N/A</v>
      </c>
      <c r="GH105" s="87" t="str">
        <f>IFERROR(VLOOKUP($B105,'LOD 300 - SITE'!$B:DK,114,FALSE),"N/A")</f>
        <v>N/A</v>
      </c>
      <c r="GI105" s="87" t="str">
        <f>IFERROR(VLOOKUP($B105,'LOD 300 - SITE'!$B:DN,117,FALSE),"N/A")</f>
        <v>N/A</v>
      </c>
      <c r="GJ105" s="87" t="str">
        <f>IFERROR(VLOOKUP($B105,'LOD 300 - SITE'!$B:DQ,120,FALSE),"N/A")</f>
        <v>N/A</v>
      </c>
      <c r="GK105" s="87" t="str">
        <f>IFERROR(VLOOKUP($B105,'LOD 300 - SITE'!$B:DT,123,FALSE),"N/A")</f>
        <v>N/A</v>
      </c>
      <c r="GL105" s="87" t="str">
        <f>IFERROR(VLOOKUP($B105,'LOD 300 - SITE'!$B:DW,126,FALSE),"N/A")</f>
        <v>N/A</v>
      </c>
      <c r="GM105" s="110" t="str">
        <f>IFERROR(__xludf.DUMMYFUNCTION("IFERROR(
  MAX(FILTER(FB105:GL105, ISNUMBER(FB105:GL105))),
  GL105
)"),"N/A")</f>
        <v>N/A</v>
      </c>
      <c r="GN105" s="111"/>
      <c r="GO105" s="111"/>
      <c r="GP105" s="111"/>
    </row>
    <row r="106" ht="15.0" customHeight="1" outlineLevel="1">
      <c r="A106" s="60">
        <v>109.0</v>
      </c>
      <c r="B106" s="140" t="s">
        <v>320</v>
      </c>
      <c r="C106" s="70" t="s">
        <v>320</v>
      </c>
      <c r="D106" s="525" t="s">
        <v>321</v>
      </c>
      <c r="E106" s="146" t="s">
        <v>317</v>
      </c>
      <c r="F106" s="13">
        <v>1125.0</v>
      </c>
      <c r="G106" s="72" t="s">
        <v>317</v>
      </c>
      <c r="H106" s="132">
        <v>1125.0</v>
      </c>
      <c r="I106" s="74" t="str">
        <f>IFERROR(VLOOKUP(C103:C245,'R22 RELATÓRIO ACC'!B:F,5,FALSE),"NOT PUBLISHED")</f>
        <v>V6</v>
      </c>
      <c r="J106" s="74" t="str">
        <f>IFERROR(VLOOKUP(C103:C245,'R22 RELATÓRIO ACC'!B:P,15,FALSE),"NOT PUBLISHED")</f>
        <v>07/11/2025</v>
      </c>
      <c r="K106" s="141" t="str">
        <f>IFERROR(VLOOKUP(B103:B293,'RELATÓRIO ACC'!B:F,5,FALSE),"NOT PUBLISHED")</f>
        <v>V1</v>
      </c>
      <c r="L106" s="142" t="str">
        <f>IFERROR(VLOOKUP(B103:B293,'RELATÓRIO ACC'!B:P,15,FALSE),"NOT PUBLISHED")</f>
        <v>21/05/2026</v>
      </c>
      <c r="M106" s="76" t="str">
        <f>IF(OR($D106="UTLS",$D106="GUAR",$D106="STIR",$D106="PUMP",$D106="SITE"),
   VLOOKUP($B106,'LOD 300 - SITE'!B:M,12,FALSE),
   VLOOKUP($B106,'LOD 300 - ADMN'!B:M,12,FALSE)
)</f>
        <v>N/A</v>
      </c>
      <c r="N106" s="76" t="str">
        <f>IF(OR($D106="UTLS",$D106="GUAR",$D106="STIR",$D106="PUMP",$D106="SITE"),
   VLOOKUP($B106,'LOD 300 - SITE'!B:N,13,FALSE),
   VLOOKUP($B106,'LOD 300 - ADMN'!B:N,13,FALSE)
)</f>
        <v>N/A</v>
      </c>
      <c r="O106" s="78" t="str">
        <f>IF(OR($D106="UTLS",$D106="GUAR",$D106="STIR",$D106="PUMP",$D106="SITE"),
   VLOOKUP($B106,'LOD 300 - SITE'!B:O,14,FALSE),
   VLOOKUP($B106,'LOD 300 - ADMN'!B:O,14,FALSE)
)</f>
        <v>N/A</v>
      </c>
      <c r="P106" s="79" t="str">
        <f>IF(OR($D106="C345",$D106="C12A",$D106="DATA"),
   VLOOKUP($B106,'LOD 300 - COLO3'!B:M,12,FALSE),"N/A")</f>
        <v>N/A</v>
      </c>
      <c r="Q106" s="76" t="str">
        <f>IF(OR($D106="C345",$D106="C12A",$D106="DATA"),
   VLOOKUP($B106,'LOD 300 - COLO3'!B:N,13,FALSE),"N/A")</f>
        <v>N/A</v>
      </c>
      <c r="R106" s="76" t="str">
        <f>IF(OR($D106="C345",$D106="C12A",$D106="DATA"),
   VLOOKUP($B106,'LOD 300 - COLO3'!B:O,14,FALSE),"N/A")</f>
        <v>N/A</v>
      </c>
      <c r="S106" s="79" t="str">
        <f>IF(OR($D106="C345",$D106="C12A",$D106="DATA"),
   VLOOKUP($B106,'LOD 300 - COLO4'!B:M,12,FALSE),"N/A")</f>
        <v>N/A</v>
      </c>
      <c r="T106" s="76" t="str">
        <f>IF(OR($D106="C345",$D106="C12A",$D106="DATA"),
   VLOOKUP($B106,'LOD 300 - COLO4'!B:T,13,FALSE),"N/A")</f>
        <v>N/A</v>
      </c>
      <c r="U106" s="76" t="str">
        <f>IF(OR($D106="C345",$D106="C12A",$D106="DATA"),
   VLOOKUP($B106,'LOD 300 - COLO4'!B:U,17,FALSE),"N/A")</f>
        <v>N/A</v>
      </c>
      <c r="V106" s="113"/>
      <c r="W106" s="116" t="str">
        <f>IFERROR(VLOOKUP($B106,'LOD 300 - ADMN'!$B:S,18,FALSE),"N/A")</f>
        <v>N/A</v>
      </c>
      <c r="X106" s="117" t="str">
        <f>IFERROR(VLOOKUP($B106,'LOD 300 - ADMN'!$B:V,21,FALSE),"N/A")</f>
        <v>N/A</v>
      </c>
      <c r="Y106" s="117" t="str">
        <f>IFERROR(VLOOKUP($B106,'LOD 300 - ADMN'!$B:Y,24,FALSE),"N/A")</f>
        <v>N/A</v>
      </c>
      <c r="Z106" s="117" t="str">
        <f>IFERROR(VLOOKUP($B106,'LOD 300 - ADMN'!$B:AB,27,FALSE),"N/A")</f>
        <v>N/A</v>
      </c>
      <c r="AA106" s="117" t="str">
        <f>IFERROR(VLOOKUP($B106,'LOD 300 - ADMN'!$B:AE,30,FALSE),"N/A")</f>
        <v>N/A</v>
      </c>
      <c r="AB106" s="118" t="str">
        <f>IFERROR(VLOOKUP($B106,'LOD 300 - ADMN'!$B:AH,33,FALSE),"N/A")</f>
        <v>N/A</v>
      </c>
      <c r="AC106" s="118" t="str">
        <f>IFERROR(VLOOKUP($B106,'LOD 300 - ADMN'!$B:AK,36,FALSE),"N/A")</f>
        <v>N/A</v>
      </c>
      <c r="AD106" s="117" t="str">
        <f>IFERROR(VLOOKUP($B106,'LOD 300 - ADMN'!$B:AN,39,FALSE),"N/A")</f>
        <v>N/A</v>
      </c>
      <c r="AE106" s="117" t="str">
        <f>IFERROR(VLOOKUP($B106,'LOD 300 - ADMN'!$B:AQ,42,FALSE),"N/A")</f>
        <v>N/A</v>
      </c>
      <c r="AF106" s="117" t="str">
        <f>IFERROR(VLOOKUP($B106,'LOD 300 - ADMN'!$B:AT,45,FALSE),"N/A")</f>
        <v>N/A</v>
      </c>
      <c r="AG106" s="117" t="str">
        <f>IFERROR(VLOOKUP($B106,'LOD 300 - ADMN'!$B:AW,48,FALSE),"N/A")</f>
        <v>N/A</v>
      </c>
      <c r="AH106" s="117" t="str">
        <f>IFERROR(VLOOKUP($B106,'LOD 300 - ADMN'!$B:AZ,51,FALSE),"N/A")</f>
        <v>N/A</v>
      </c>
      <c r="AI106" s="119" t="str">
        <f>IFERROR(VLOOKUP($B106,'LOD 300 - ADMN'!$B:BC,54,FALSE),"N/A")</f>
        <v>N/A</v>
      </c>
      <c r="AJ106" s="86" t="str">
        <f>IFERROR(VLOOKUP($B106,'LOD 300 - ADMN'!$B:BF,57,FALSE),"N/A")</f>
        <v>N/A</v>
      </c>
      <c r="AK106" s="87" t="str">
        <f>IFERROR(VLOOKUP($B106,'LOD 300 - ADMN'!$B:EP,60,FALSE),"N/A")</f>
        <v>N/A</v>
      </c>
      <c r="AL106" s="86" t="str">
        <f>IFERROR(VLOOKUP($B106,'LOD 300 - ADMN'!$B:EQ,63,FALSE),"N/A")</f>
        <v>N/A</v>
      </c>
      <c r="AM106" s="86" t="str">
        <f>IFERROR(VLOOKUP($B106,'LOD 300 - ADMN'!$B:BO,66,FALSE),"N/A")</f>
        <v>N/A</v>
      </c>
      <c r="AN106" s="86" t="str">
        <f>IFERROR(VLOOKUP($B106,'LOD 300 - ADMN'!$B:BR,69,FALSE),"N/A")</f>
        <v>N/A</v>
      </c>
      <c r="AO106" s="86" t="str">
        <f>IFERROR(VLOOKUP($B106,'LOD 300 - ADMN'!$B:BU,72,FALSE),"N/A")</f>
        <v>N/A</v>
      </c>
      <c r="AP106" s="86" t="str">
        <f>IFERROR(VLOOKUP($B106,'LOD 300 - ADMN'!$B:BX,75,FALSE),"N/A")</f>
        <v>N/A</v>
      </c>
      <c r="AQ106" s="86" t="str">
        <f>IFERROR(VLOOKUP($B106,'LOD 300 - ADMN'!$B:CA,78,FALSE),"N/A")</f>
        <v>N/A</v>
      </c>
      <c r="AR106" s="86" t="str">
        <f>IFERROR(VLOOKUP($B106,'LOD 300 - ADMN'!$B:CD,81,FALSE),"N/A")</f>
        <v>N/A</v>
      </c>
      <c r="AS106" s="86" t="str">
        <f>IFERROR(VLOOKUP($B106,'LOD 300 - ADMN'!$B:CG,84,FALSE),"N/A")</f>
        <v>N/A</v>
      </c>
      <c r="AT106" s="86" t="str">
        <f>IFERROR(VLOOKUP($B106,'LOD 300 - ADMN'!$B:CJ,87,FALSE),"N/A")</f>
        <v>N/A</v>
      </c>
      <c r="AU106" s="88" t="str">
        <f>IFERROR(VLOOKUP($B106,'LOD 300 - ADMN'!$B:CM,90,FALSE),"N/A")</f>
        <v>N/A</v>
      </c>
      <c r="AV106" s="88" t="str">
        <f>IFERROR(VLOOKUP($B106,'LOD 300 - ADMN'!$B:CP,93,FALSE),"N/A")</f>
        <v>N/A</v>
      </c>
      <c r="AW106" s="88" t="str">
        <f>IFERROR(VLOOKUP($B106,'LOD 300 - ADMN'!$B:CS,96,FALSE),"N/A")</f>
        <v>N/A</v>
      </c>
      <c r="AX106" s="88" t="str">
        <f>IFERROR(VLOOKUP($B106,'LOD 300 - ADMN'!$B:CV,99,FALSE),"N/A")</f>
        <v>N/A</v>
      </c>
      <c r="AY106" s="88" t="str">
        <f>IFERROR(VLOOKUP($B106,'LOD 300 - ADMN'!$B:CY,102,FALSE),"N/A")</f>
        <v>N/A</v>
      </c>
      <c r="AZ106" s="89" t="str">
        <f>IFERROR(VLOOKUP($B106,'LOD 300 - ADMN'!$B:DB,105,FALSE),"N/A")</f>
        <v>N/A</v>
      </c>
      <c r="BA106" s="87" t="str">
        <f>IFERROR(VLOOKUP($B106,'LOD 300 - ADMN'!$B:DE,108,FALSE),"N/A")</f>
        <v>N/A</v>
      </c>
      <c r="BB106" s="87" t="str">
        <f>IFERROR(VLOOKUP($B106,'LOD 300 - ADMN'!$B:DH,111,FALSE),"N/A")</f>
        <v>N/A</v>
      </c>
      <c r="BC106" s="87" t="str">
        <f>IFERROR(VLOOKUP($B106,'LOD 300 - ADMN'!$B:DK,114,FALSE),"N/A")</f>
        <v>N/A</v>
      </c>
      <c r="BD106" s="87" t="str">
        <f>IFERROR(VLOOKUP($B106,'LOD 300 - ADMN'!$B:DN,117,FALSE),"N/A")</f>
        <v>N/A</v>
      </c>
      <c r="BE106" s="87" t="str">
        <f>IFERROR(VLOOKUP($B106,'LOD 300 - ADMN'!$B:DQ,120,FALSE),"N/A")</f>
        <v>N/A</v>
      </c>
      <c r="BF106" s="87" t="str">
        <f>IFERROR(VLOOKUP($B106,'LOD 300 - ADMN'!$B:DT,123,FALSE),"N/A")</f>
        <v>N/A</v>
      </c>
      <c r="BG106" s="87" t="str">
        <f>IFERROR(VLOOKUP($B106,'LOD 300 - ADMN'!$B:DW,126,FALSE),"N/A")</f>
        <v>N/A</v>
      </c>
      <c r="BH106" s="87" t="str">
        <f>IFERROR(VLOOKUP($B106,'LOD 300 - ADMN'!$B:DZ,129,FALSE),"N/A")</f>
        <v>N/A</v>
      </c>
      <c r="BI106" s="87" t="str">
        <f>IFERROR(VLOOKUP($B106,'LOD 300 - ADMN'!$B:EC,132,FALSE),"N/A")</f>
        <v>N/A</v>
      </c>
      <c r="BJ106" s="90" t="str">
        <f>IFERROR(__xludf.DUMMYFUNCTION("IFERROR(
  MAX(FILTER(X106:BI106, ISNUMBER(X106:BI106))),
  BI106
)"),"N/A")</f>
        <v>N/A</v>
      </c>
      <c r="BK106" s="91" t="str">
        <f>IFERROR(VLOOKUP($B106,'LOD 300 - COLO1'!$B:S,18,FALSE),"N/A")</f>
        <v>N/A</v>
      </c>
      <c r="BL106" s="92" t="str">
        <f>IFERROR(VLOOKUP($B106,'LOD 300 - COLO1'!$B:V,21,FALSE),"N/A")</f>
        <v>N/A</v>
      </c>
      <c r="BM106" s="92" t="str">
        <f>IFERROR(VLOOKUP($B106,'LOD 300 - COLO1'!$B:Y,24,FALSE),"N/A")</f>
        <v>N/A</v>
      </c>
      <c r="BN106" s="92" t="str">
        <f>IFERROR(VLOOKUP($B106,'LOD 300 - COLO1'!$B:AB,27,FALSE),"N/A")</f>
        <v>N/A</v>
      </c>
      <c r="BO106" s="92" t="str">
        <f>IFERROR(VLOOKUP($B106,'LOD 300 - COLO1'!$B:AE,30,FALSE),"N/A")</f>
        <v>N/A</v>
      </c>
      <c r="BP106" s="92" t="str">
        <f>IFERROR(VLOOKUP($B106,'LOD 300 - COLO1'!$B:AH,33,FALSE),"N/A")</f>
        <v>N/A</v>
      </c>
      <c r="BQ106" s="92" t="str">
        <f>IFERROR(VLOOKUP($B106,'LOD 300 - COLO1'!$B:AK,36,FALSE),"N/A")</f>
        <v>N/A</v>
      </c>
      <c r="BR106" s="92" t="str">
        <f>IFERROR(VLOOKUP($B106,'LOD 300 - COLO1'!$B:AN,39,FALSE),"N/A")</f>
        <v>N/A</v>
      </c>
      <c r="BS106" s="92" t="str">
        <f>IFERROR(VLOOKUP($B106,'LOD 300 - COLO1'!$B:AQ,42,FALSE),"N/A")</f>
        <v>N/A</v>
      </c>
      <c r="BT106" s="92" t="str">
        <f>IFERROR(VLOOKUP($B106,'LOD 300 - COLO1'!$B:AT,45,FALSE),"N/A")</f>
        <v>N/A</v>
      </c>
      <c r="BU106" s="92" t="str">
        <f>IFERROR(VLOOKUP($B106,'LOD 300 - COLO1'!$B:AW,48,FALSE),"N/A")</f>
        <v>N/A</v>
      </c>
      <c r="BV106" s="92" t="str">
        <f>IFERROR(VLOOKUP($B106,'LOD 300 - COLO1'!$B:AZ,51,FALSE),"N/A")</f>
        <v>N/A</v>
      </c>
      <c r="BW106" s="92" t="str">
        <f>IFERROR(VLOOKUP($B106,'LOD 300 - COLO1'!$B:BC,54,FALSE),"N/A")</f>
        <v>N/A</v>
      </c>
      <c r="BX106" s="94" t="str">
        <f>IFERROR(VLOOKUP($B106,'LOD 300 - COLO1'!$B:BF,57,FALSE),"N/A")</f>
        <v>N/A</v>
      </c>
      <c r="BY106" s="94" t="str">
        <f>IFERROR(VLOOKUP($B106,'LOD 300 - COLO1'!$B:BI,60,FALSE),"N/A")</f>
        <v>N/A</v>
      </c>
      <c r="BZ106" s="95" t="str">
        <f>IFERROR(VLOOKUP($B106,'LOD 300 - COLO1'!$B:BL,63,FALSE),"N/A")</f>
        <v>N/A</v>
      </c>
      <c r="CA106" s="86" t="str">
        <f>IFERROR(VLOOKUP($B106,'LOD 300 - COLO1'!$B:BO,66,FALSE),"N/A")</f>
        <v>N/A</v>
      </c>
      <c r="CB106" s="86" t="str">
        <f>IFERROR(VLOOKUP($B106,'LOD 300 - COLO1'!$B:BR,69,FALSE),"N/A")</f>
        <v>N/A</v>
      </c>
      <c r="CC106" s="86" t="str">
        <f>IFERROR(VLOOKUP($B106,'LOD 300 - COLO1'!$B:BU,72,FALSE),"N/A")</f>
        <v>N/A</v>
      </c>
      <c r="CD106" s="86" t="str">
        <f>IFERROR(VLOOKUP($B106,'LOD 300 - COLO1'!$B:BX,75,FALSE),"N/A")</f>
        <v>N/A</v>
      </c>
      <c r="CE106" s="86" t="str">
        <f>IFERROR(VLOOKUP($B106,'LOD 300 - COLO1'!$B:CA,78,FALSE),"N/A")</f>
        <v>N/A</v>
      </c>
      <c r="CF106" s="87" t="str">
        <f>IFERROR(VLOOKUP($B106,'LOD 300 - COLO1'!$B:CD,81,FALSE),"N/A")</f>
        <v>N/A</v>
      </c>
      <c r="CG106" s="86" t="str">
        <f>IFERROR(VLOOKUP($B106,'LOD 300 - COLO1'!$B:CG,84,FALSE),"N/A")</f>
        <v>N/A</v>
      </c>
      <c r="CH106" s="87" t="str">
        <f>IFERROR(VLOOKUP($B106,'LOD 300 - COLO1'!$B:CJ,87,FALSE),"N/A")</f>
        <v>N/A</v>
      </c>
      <c r="CI106" s="88" t="str">
        <f>IFERROR(VLOOKUP($B106,'LOD 300 - COLO1'!$B:CM,90,FALSE),"N/A")</f>
        <v>N/A</v>
      </c>
      <c r="CJ106" s="88" t="str">
        <f>IFERROR(VLOOKUP($B106,'LOD 300 - COLO1'!$B:CP,93,FALSE),"N/A")</f>
        <v>N/A</v>
      </c>
      <c r="CK106" s="88" t="str">
        <f>IFERROR(VLOOKUP($B106,'LOD 300 - COLO1'!$B:CS,96,FALSE),"N/A")</f>
        <v>N/A</v>
      </c>
      <c r="CL106" s="88" t="str">
        <f>IFERROR(VLOOKUP($B106,'LOD 300 - COLO1'!$B:CV,99,FALSE),"N/A")</f>
        <v>N/A</v>
      </c>
      <c r="CM106" s="88" t="str">
        <f>IFERROR(VLOOKUP($B106,'LOD 300 - COLO1'!$B:CY,102,FALSE),"N/A")</f>
        <v>N/A</v>
      </c>
      <c r="CN106" s="89" t="str">
        <f>IFERROR(VLOOKUP($B106,'LOD 300 - COLO1'!$B:DB,105,FALSE),"N/A")</f>
        <v>N/A</v>
      </c>
      <c r="CO106" s="87" t="str">
        <f>IFERROR(VLOOKUP($B106,'LOD 300 - COLO1'!$B:EE,108,FALSE),"N/A")</f>
        <v>N/A</v>
      </c>
      <c r="CP106" s="87" t="str">
        <f>IFERROR(VLOOKUP($B106,'LOD 300 - COLO1'!$B:EH,111,FALSE),"N/A")</f>
        <v>N/A</v>
      </c>
      <c r="CQ106" s="87" t="str">
        <f>IFERROR(VLOOKUP($B106,'LOD 300 - COLO1'!$B:EK,114,FALSE),"N/A")</f>
        <v>N/A</v>
      </c>
      <c r="CR106" s="87" t="str">
        <f>IFERROR(VLOOKUP($B106,'LOD 300 - COLO1'!$B:EN,117,FALSE),"N/A")</f>
        <v>N/A</v>
      </c>
      <c r="CS106" s="87" t="str">
        <f>IFERROR(VLOOKUP($B106,'LOD 300 - COLO1'!$B:EQ,120,FALSE),"N/A")</f>
        <v>N/A</v>
      </c>
      <c r="CT106" s="87" t="str">
        <f>IFERROR(VLOOKUP($B106,'LOD 300 - COLO1'!$B:ET,123,FALSE),"N/A")</f>
        <v>N/A</v>
      </c>
      <c r="CU106" s="87" t="str">
        <f>IFERROR(VLOOKUP($B106,'LOD 300 - COLO1'!$B:EW,126,FALSE),"N/A")</f>
        <v>N/A</v>
      </c>
      <c r="CV106" s="87" t="str">
        <f>IFERROR(VLOOKUP($B106,'LOD 300 - COLO1'!$B:EZ,129,FALSE),"N/A")</f>
        <v>N/A</v>
      </c>
      <c r="CW106" s="87" t="str">
        <f>IFERROR(VLOOKUP($B106,'LOD 300 - COLO1'!$B:FC,132,FALSE),"N/A")</f>
        <v>N/A</v>
      </c>
      <c r="CX106" s="96" t="str">
        <f>IFERROR(__xludf.DUMMYFUNCTION("IFERROR(
  MAX(FILTER(BK106:CW106, ISNUMBER(BK106:CW106))),
  CW106
)"),"N/A")</f>
        <v>N/A</v>
      </c>
      <c r="CY106" s="104">
        <f>IFERROR(VLOOKUP($B106,'LOD 300 - COLO2'!$B:S,18,FALSE),"N/A")</f>
        <v>1</v>
      </c>
      <c r="CZ106" s="117">
        <f>IFERROR(VLOOKUP($B106,'LOD 300 - COLO2'!$B:V,21,FALSE),"N/A")</f>
        <v>1</v>
      </c>
      <c r="DA106" s="117">
        <f>IFERROR(VLOOKUP($B106,'LOD 300 - COLO2'!$B:Y,24,FALSE),"N/A")</f>
        <v>1</v>
      </c>
      <c r="DB106" s="117">
        <f>IFERROR(VLOOKUP($B106,'LOD 300 - COLO2'!$B:AB,27,FALSE),"N/A")</f>
        <v>1</v>
      </c>
      <c r="DC106" s="117">
        <f>IFERROR(VLOOKUP($B106,'LOD 300 - COLO2'!$B:AE,30,FALSE),"N/A")</f>
        <v>1</v>
      </c>
      <c r="DD106" s="117">
        <f>IFERROR(VLOOKUP($B106,'LOD 300 - COLO2'!$B:AH,33,FALSE),"N/A")</f>
        <v>1</v>
      </c>
      <c r="DE106" s="117">
        <f>IFERROR(VLOOKUP($B106,'LOD 300 - COLO2'!$B:AK,36,FALSE),"N/A")</f>
        <v>1</v>
      </c>
      <c r="DF106" s="117">
        <f>IFERROR(VLOOKUP($B106,'LOD 300 - COLO2'!$B:AN,39,FALSE),"N/A")</f>
        <v>1</v>
      </c>
      <c r="DG106" s="119">
        <f>IFERROR(VLOOKUP($B106,'LOD 300 - COLO2'!$B:AQ,42,FALSE),"N/A")</f>
        <v>1</v>
      </c>
      <c r="DH106" s="87">
        <f>IFERROR(VLOOKUP($B106,'LOD 300 - COLO2'!$B:AT,45,FALSE),"N/A")</f>
        <v>1</v>
      </c>
      <c r="DI106" s="94">
        <f>IFERROR(VLOOKUP($B106,'LOD 300 - COLO2'!$B:AW,48,FALSE),"N/A")</f>
        <v>1</v>
      </c>
      <c r="DJ106" s="95">
        <f>IFERROR(VLOOKUP($B106,'LOD 300 - COLO2'!$B:AZ,51,FALSE),"N/A")</f>
        <v>1</v>
      </c>
      <c r="DK106" s="86">
        <f>IFERROR(VLOOKUP($B106,'LOD 300 - COLO2'!$B:BC,54,FALSE),"N/A")</f>
        <v>1</v>
      </c>
      <c r="DL106" s="86">
        <f>IFERROR(VLOOKUP($B106,'LOD 300 - COLO2'!$B:BF,57,FALSE),"N/A")</f>
        <v>1</v>
      </c>
      <c r="DM106" s="86">
        <f>IFERROR(VLOOKUP($B106,'LOD 300 - COLO2'!$B:BI,60,FALSE),"N/A")</f>
        <v>1</v>
      </c>
      <c r="DN106" s="86">
        <f>IFERROR(VLOOKUP($B106,'LOD 300 - COLO2'!$B:BL,63,FALSE),"N/A")</f>
        <v>1</v>
      </c>
      <c r="DO106" s="86">
        <f>IFERROR(VLOOKUP($B106,'LOD 300 - COLO2'!$B:BO,66,FALSE),"N/A")</f>
        <v>1</v>
      </c>
      <c r="DP106" s="87">
        <f>IFERROR(VLOOKUP($B106,'LOD 300 - COLO2'!$B:BR,69,FALSE),"N/A")</f>
        <v>1</v>
      </c>
      <c r="DQ106" s="87">
        <f>IFERROR(VLOOKUP($B106,'LOD 300 - COLO2'!$B:BU,72,FALSE),"N/A")</f>
        <v>1</v>
      </c>
      <c r="DR106" s="87">
        <f>IFERROR(VLOOKUP($B106,'LOD 300 - COLO2'!$B:BX,75,FALSE),"N/A")</f>
        <v>1</v>
      </c>
      <c r="DS106" s="98">
        <f>IFERROR(VLOOKUP($B106,'LOD 300 - COLO2'!$B:CA,78,FALSE),"N/A")</f>
        <v>1</v>
      </c>
      <c r="DT106" s="98">
        <f>IFERROR(VLOOKUP($B106,'LOD 300 - COLO2'!$B:CD,81,FALSE),"N/A")</f>
        <v>1</v>
      </c>
      <c r="DU106" s="98">
        <f>IFERROR(VLOOKUP($B106,'LOD 300 - COLO2'!$B:CG,84,FALSE),"N/A")</f>
        <v>1</v>
      </c>
      <c r="DV106" s="98">
        <f>IFERROR(VLOOKUP($B106,'LOD 300 - COLO2'!$B:CJ,87,FALSE),"N/A")</f>
        <v>1</v>
      </c>
      <c r="DW106" s="98">
        <f>IFERROR(VLOOKUP($B106,'LOD 300 - COLO2'!$B:CM,90,FALSE),"N/A")</f>
        <v>1</v>
      </c>
      <c r="DX106" s="98">
        <f>IFERROR(VLOOKUP($B106,'LOD 300 - COLO2'!$B:CP,93,FALSE),"N/A")</f>
        <v>1</v>
      </c>
      <c r="DY106" s="87">
        <f>IFERROR(VLOOKUP($B106,'LOD 300 - COLO2'!$B:CS,96,FALSE),"N/A")</f>
        <v>1</v>
      </c>
      <c r="DZ106" s="87">
        <f>IFERROR(VLOOKUP($B106,'LOD 300 - COLO2'!$B:CV,99,FALSE),"N/A")</f>
        <v>1</v>
      </c>
      <c r="EA106" s="87">
        <f>IFERROR(VLOOKUP($B106,'LOD 300 - COLO2'!$B:DB,105,FALSE),"N/A")</f>
        <v>1</v>
      </c>
      <c r="EB106" s="87">
        <f>IFERROR(VLOOKUP($B106,'LOD 300 - COLO2'!$B:DB,105,FALSE),"N/A")</f>
        <v>1</v>
      </c>
      <c r="EC106" s="87">
        <f>IFERROR(VLOOKUP($B106,'LOD 300 - COLO2'!$B:DE,108,FALSE),"N/A")</f>
        <v>1</v>
      </c>
      <c r="ED106" s="87">
        <f>IFERROR(VLOOKUP($B106,'LOD 300 - COLO2'!$B:DH,111,FALSE),"N/A")</f>
        <v>1</v>
      </c>
      <c r="EE106" s="87">
        <f>IFERROR(VLOOKUP($B106,'LOD 300 - COLO2'!$B:DK,114,FALSE),"N/A")</f>
        <v>1</v>
      </c>
      <c r="EF106" s="87">
        <f>IFERROR(VLOOKUP($B106,'LOD 300 - COLO2'!$B:DN,117,FALSE),"N/A")</f>
        <v>1</v>
      </c>
      <c r="EG106" s="87">
        <f>IFERROR(VLOOKUP($B106,'LOD 300 - COLO2'!$B:DQ,120,FALSE),"N/A")</f>
        <v>1</v>
      </c>
      <c r="EH106" s="99">
        <f>IFERROR(__xludf.DUMMYFUNCTION("IFERROR(
  MAX(FILTER(CZ106:EG106, ISNUMBER(CZ106:EG106))),
  EG106
)"),1.0)</f>
        <v>1</v>
      </c>
      <c r="EI106" s="100" t="str">
        <f>IFERROR(VLOOKUP($B106,'LOD 300 - COLO3'!$B:R,17,FALSE),"N/A")</f>
        <v>N/A</v>
      </c>
      <c r="EJ106" s="101" t="str">
        <f>IFERROR(VLOOKUP($B106,'LOD 300 - COLO3'!$B:U,20,FALSE),"N/A")</f>
        <v>N/A</v>
      </c>
      <c r="EK106" s="101" t="str">
        <f>IFERROR(VLOOKUP($B106,'LOD 300 - COLO3'!$B:X,23,FALSE),"N/A")</f>
        <v>N/A</v>
      </c>
      <c r="EL106" s="101" t="str">
        <f>IFERROR(VLOOKUP($B106,'LOD 300 - COLO3'!$B:AA,26,FALSE),"N/A")</f>
        <v>N/A</v>
      </c>
      <c r="EM106" s="101" t="str">
        <f>IFERROR(VLOOKUP($B106,'LOD 300 - COLO3'!$B:AD,29,FALSE),"N/A")</f>
        <v>N/A</v>
      </c>
      <c r="EN106" s="101" t="str">
        <f>IFERROR(VLOOKUP($B106,'LOD 300 - COLO3'!$B:AG,32,FALSE),"N/A")</f>
        <v>N/A</v>
      </c>
      <c r="EO106" s="102" t="str">
        <f>IFERROR(VLOOKUP($B106,'LOD 300 - COLO3'!$B:AJ,35,FALSE),"N/A")</f>
        <v>N/A</v>
      </c>
      <c r="EP106" s="100" t="str">
        <f>IFERROR(VLOOKUP($B106,'LOD 300 - COLO3'!$B:AM,38,FALSE),"N/A")</f>
        <v>N/A</v>
      </c>
      <c r="EQ106" s="100" t="str">
        <f>IFERROR(VLOOKUP($B106,'LOD 300 - COLO3'!$B:AP,41,FALSE),"N/A")</f>
        <v>N/A</v>
      </c>
      <c r="ER106" s="100" t="str">
        <f>IFERROR(VLOOKUP($B106,'LOD 300 - COLO3'!$B:AS,44,FALSE),"N/A")</f>
        <v>N/A</v>
      </c>
      <c r="ES106" s="100" t="str">
        <f>IFERROR(VLOOKUP($B106,'LOD 300 - COLO3'!$B:AV,47,FALSE),"N/A")</f>
        <v>N/A</v>
      </c>
      <c r="ET106" s="100" t="str">
        <f>IFERROR(VLOOKUP($B106,'LOD 300 - COLO3'!$B:AY,50,FALSE),"N/A")</f>
        <v>N/A</v>
      </c>
      <c r="EU106" s="100" t="str">
        <f>IFERROR(VLOOKUP($B106,'LOD 300 - COLO3'!$B:BB,53,FALSE),"N/A")</f>
        <v>N/A</v>
      </c>
      <c r="EV106" s="100" t="str">
        <f>IFERROR(VLOOKUP($B106,'LOD 300 - COLO3'!$B:BE,56,FALSE),"N/A")</f>
        <v>N/A</v>
      </c>
      <c r="EW106" s="100" t="str">
        <f>IFERROR(VLOOKUP($B106,'LOD 300 - COLO3'!$B:BL,59,FALSE),"N/A")</f>
        <v>N/A</v>
      </c>
      <c r="EX106" s="100" t="str">
        <f>IFERROR(VLOOKUP($B106,'LOD 300 - COLO3'!$B:BO,62,FALSE),"N/A")</f>
        <v>N/A</v>
      </c>
      <c r="EY106" s="103" t="str">
        <f>IFERROR(__xludf.DUMMYFUNCTION("IFERROR(
  MAX(FILTER(EI106:EX106, ISNUMBER(EI106:EX106))),
  EX106
)"),"N/A")</f>
        <v>N/A</v>
      </c>
      <c r="EZ106" s="104">
        <f>IFERROR(VLOOKUP($B106,'LOD 300 - COLO4'!$B:BT,17,FALSE),"N/A")</f>
        <v>0</v>
      </c>
      <c r="FA106" s="103">
        <f>IFERROR(__xludf.DUMMYFUNCTION("IFERROR(
  MAX(FILTER(EZ106, ISNUMBER(EZ106))),
  EZ106
)"),0.0)</f>
        <v>0</v>
      </c>
      <c r="FB106" s="121" t="str">
        <f>IFERROR(VLOOKUP($B106,'LOD 300 - SITE'!$B:S,18,FALSE),"N/A")</f>
        <v>N/A</v>
      </c>
      <c r="FC106" s="122" t="str">
        <f>IFERROR(VLOOKUP($B106,'LOD 300 - SITE'!$B:V,21,FALSE),"N/A")</f>
        <v>N/A</v>
      </c>
      <c r="FD106" s="122" t="str">
        <f>IFERROR(VLOOKUP($B106,'LOD 300 - SITE'!$B:Y,24,FALSE),"N/A")</f>
        <v>N/A</v>
      </c>
      <c r="FE106" s="122" t="str">
        <f>IFERROR(VLOOKUP($B106,'LOD 300 - SITE'!$B:AB,27,FALSE),"N/A")</f>
        <v>N/A</v>
      </c>
      <c r="FF106" s="122" t="str">
        <f>IFERROR(VLOOKUP($B106,'LOD 300 - SITE'!$B:AE,30,FALSE),"N/A")</f>
        <v>N/A</v>
      </c>
      <c r="FG106" s="122" t="str">
        <f>IFERROR(VLOOKUP($B106,'LOD 300 - SITE'!$B:AH,33,FALSE),"N/A")</f>
        <v>N/A</v>
      </c>
      <c r="FH106" s="122" t="str">
        <f>IFERROR(VLOOKUP($B106,'LOD 300 - SITE'!$B:AK,36,FALSE),"N/A")</f>
        <v>N/A</v>
      </c>
      <c r="FI106" s="122" t="str">
        <f>IFERROR(VLOOKUP($B106,'LOD 300 - SITE'!$B:AN,39,FALSE),"N/A")</f>
        <v>N/A</v>
      </c>
      <c r="FJ106" s="122" t="str">
        <f>IFERROR(VLOOKUP($B106,'LOD 300 - SITE'!$B:AQ,42,FALSE),"N/A")</f>
        <v>N/A</v>
      </c>
      <c r="FK106" s="122" t="str">
        <f>IFERROR(VLOOKUP($B106,'LOD 300 - SITE'!$B:AT,45,FALSE),"N/A")</f>
        <v>N/A</v>
      </c>
      <c r="FL106" s="123" t="str">
        <f>IFERROR(VLOOKUP($B106,'LOD 300 - SITE'!$B:AW,48,FALSE),"N/A")</f>
        <v>N/A</v>
      </c>
      <c r="FM106" s="87" t="str">
        <f>IFERROR(VLOOKUP($B106,'LOD 300 - SITE'!$B:AZ,51,FALSE),"N/A")</f>
        <v>N/A</v>
      </c>
      <c r="FN106" s="94" t="str">
        <f>IFERROR(VLOOKUP($B106,'LOD 300 - SITE'!$B:BC,54,FALSE),"N/A")</f>
        <v>N/A</v>
      </c>
      <c r="FO106" s="95" t="str">
        <f>IFERROR(VLOOKUP($B106,'LOD 300 - SITE'!$B:BF,57,FALSE),"N/A")</f>
        <v>N/A</v>
      </c>
      <c r="FP106" s="86" t="str">
        <f>IFERROR(VLOOKUP($B106,'LOD 300 - SITE'!$B:BI,60,FALSE),"N/A")</f>
        <v>N/A</v>
      </c>
      <c r="FQ106" s="86" t="str">
        <f>IFERROR(VLOOKUP($B106,'LOD 300 - SITE'!$B:BL,63,FALSE),"N/A")</f>
        <v>N/A</v>
      </c>
      <c r="FR106" s="86" t="str">
        <f>IFERROR(VLOOKUP($B106,'LOD 300 - SITE'!$B:BO,66,FALSE),"N/A")</f>
        <v>N/A</v>
      </c>
      <c r="FS106" s="86" t="str">
        <f>IFERROR(VLOOKUP($B106,'LOD 300 - SITE'!$B:BR,69,FALSE),"N/A")</f>
        <v>N/A</v>
      </c>
      <c r="FT106" s="86" t="str">
        <f>IFERROR(VLOOKUP($B106,'LOD 300 - SITE'!$B:BU,72,FALSE),"N/A")</f>
        <v>N/A</v>
      </c>
      <c r="FU106" s="86" t="str">
        <f>IFERROR(VLOOKUP($B106,'LOD 300 - SITE'!$B:BX,75,FALSE),"N/A")</f>
        <v>N/A</v>
      </c>
      <c r="FV106" s="86" t="str">
        <f>IFERROR(VLOOKUP($B106,'LOD 300 - SITE'!$B:CA,78,FALSE),"N/A")</f>
        <v>N/A</v>
      </c>
      <c r="FW106" s="87" t="str">
        <f>IFERROR(VLOOKUP($B106,'LOD 300 - SITE'!$B:CD,81,FALSE),"N/A")</f>
        <v>N/A</v>
      </c>
      <c r="FX106" s="108" t="str">
        <f>IFERROR(VLOOKUP($B106,'LOD 300 - SITE'!$B:CG,84,FALSE),"N/A")</f>
        <v>N/A</v>
      </c>
      <c r="FY106" s="108" t="str">
        <f>IFERROR(VLOOKUP($B106,'LOD 300 - SITE'!$B:CJ,87,FALSE),"N/A")</f>
        <v>N/A</v>
      </c>
      <c r="FZ106" s="108" t="str">
        <f>IFERROR(VLOOKUP($B106,'LOD 300 - SITE'!$B:CM,90,FALSE),"N/A")</f>
        <v>N/A</v>
      </c>
      <c r="GA106" s="108" t="str">
        <f>IFERROR(VLOOKUP($B106,'LOD 300 - SITE'!$B:CP,93,FALSE),"N/A")</f>
        <v>N/A</v>
      </c>
      <c r="GB106" s="108" t="str">
        <f>IFERROR(VLOOKUP($B106,'LOD 300 - SITE'!$B:CS,96,FALSE),"N/A")</f>
        <v>N/A</v>
      </c>
      <c r="GC106" s="109" t="str">
        <f>IFERROR(VLOOKUP($B106,'LOD 300 - SITE'!$B:CV,99,FALSE),"N/A")</f>
        <v>N/A</v>
      </c>
      <c r="GD106" s="87" t="str">
        <f>IFERROR(VLOOKUP($B106,'LOD 300 - SITE'!$B:CY,102,FALSE),"N/A")</f>
        <v>N/A</v>
      </c>
      <c r="GE106" s="87" t="str">
        <f>IFERROR(VLOOKUP($B106,'LOD 300 - SITE'!$B:DB,105,FALSE),"N/A")</f>
        <v>N/A</v>
      </c>
      <c r="GF106" s="87" t="str">
        <f>IFERROR(VLOOKUP($B106,'LOD 300 - SITE'!$B:DE,108,FALSE),"N/A")</f>
        <v>N/A</v>
      </c>
      <c r="GG106" s="87" t="str">
        <f>IFERROR(VLOOKUP($B106,'LOD 300 - SITE'!$B:DH,111,FALSE),"N/A")</f>
        <v>N/A</v>
      </c>
      <c r="GH106" s="87" t="str">
        <f>IFERROR(VLOOKUP($B106,'LOD 300 - SITE'!$B:DK,114,FALSE),"N/A")</f>
        <v>N/A</v>
      </c>
      <c r="GI106" s="87" t="str">
        <f>IFERROR(VLOOKUP($B106,'LOD 300 - SITE'!$B:DN,117,FALSE),"N/A")</f>
        <v>N/A</v>
      </c>
      <c r="GJ106" s="87" t="str">
        <f>IFERROR(VLOOKUP($B106,'LOD 300 - SITE'!$B:DQ,120,FALSE),"N/A")</f>
        <v>N/A</v>
      </c>
      <c r="GK106" s="87" t="str">
        <f>IFERROR(VLOOKUP($B106,'LOD 300 - SITE'!$B:DT,123,FALSE),"N/A")</f>
        <v>N/A</v>
      </c>
      <c r="GL106" s="87" t="str">
        <f>IFERROR(VLOOKUP($B106,'LOD 300 - SITE'!$B:DW,126,FALSE),"N/A")</f>
        <v>N/A</v>
      </c>
      <c r="GM106" s="110" t="str">
        <f>IFERROR(__xludf.DUMMYFUNCTION("IFERROR(
  MAX(FILTER(FB106:GL106, ISNUMBER(FB106:GL106))),
  GL106
)"),"N/A")</f>
        <v>N/A</v>
      </c>
      <c r="GN106" s="111"/>
      <c r="GO106" s="111"/>
      <c r="GP106" s="111"/>
    </row>
    <row r="107" ht="15.0" customHeight="1" outlineLevel="1">
      <c r="A107" s="60">
        <v>110.0</v>
      </c>
      <c r="B107" s="140" t="s">
        <v>322</v>
      </c>
      <c r="C107" s="70" t="s">
        <v>322</v>
      </c>
      <c r="D107" s="525" t="s">
        <v>323</v>
      </c>
      <c r="E107" s="146" t="s">
        <v>317</v>
      </c>
      <c r="F107" s="13">
        <v>1125.0</v>
      </c>
      <c r="G107" s="72" t="s">
        <v>317</v>
      </c>
      <c r="H107" s="139">
        <v>1125.0</v>
      </c>
      <c r="I107" s="74" t="str">
        <f>IFERROR(VLOOKUP(C104:C246,'R22 RELATÓRIO ACC'!B:F,5,FALSE),"NOT PUBLISHED")</f>
        <v>V6</v>
      </c>
      <c r="J107" s="74" t="str">
        <f>IFERROR(VLOOKUP(C104:C246,'R22 RELATÓRIO ACC'!B:P,15,FALSE),"NOT PUBLISHED")</f>
        <v>07/11/2025</v>
      </c>
      <c r="K107" s="141" t="str">
        <f>IFERROR(VLOOKUP(B104:B294,'RELATÓRIO ACC'!B:F,5,FALSE),"NOT PUBLISHED")</f>
        <v>V1</v>
      </c>
      <c r="L107" s="142" t="str">
        <f>IFERROR(VLOOKUP(B104:B294,'RELATÓRIO ACC'!B:P,15,FALSE),"NOT PUBLISHED")</f>
        <v>21/05/2026</v>
      </c>
      <c r="M107" s="76" t="str">
        <f>IF(OR($D107="UTLS",$D107="GUAR",$D107="STIR",$D107="PUMP",$D107="SITE"),
   VLOOKUP($B107,'LOD 300 - SITE'!B:M,12,FALSE),
   VLOOKUP($B107,'LOD 300 - ADMN'!B:M,12,FALSE)
)</f>
        <v>N/A</v>
      </c>
      <c r="N107" s="76" t="str">
        <f>IF(OR($D107="UTLS",$D107="GUAR",$D107="STIR",$D107="PUMP",$D107="SITE"),
   VLOOKUP($B107,'LOD 300 - SITE'!B:N,13,FALSE),
   VLOOKUP($B107,'LOD 300 - ADMN'!B:N,13,FALSE)
)</f>
        <v>N/A</v>
      </c>
      <c r="O107" s="78" t="str">
        <f>IF(OR($D107="UTLS",$D107="GUAR",$D107="STIR",$D107="PUMP",$D107="SITE"),
   VLOOKUP($B107,'LOD 300 - SITE'!B:O,14,FALSE),
   VLOOKUP($B107,'LOD 300 - ADMN'!B:O,14,FALSE)
)</f>
        <v>N/A</v>
      </c>
      <c r="P107" s="79" t="str">
        <f>IF(OR($D107="C345",$D107="C12A",$D107="DATA"),
   VLOOKUP($B107,'LOD 300 - COLO3'!B:M,12,FALSE),"N/A")</f>
        <v>N/A</v>
      </c>
      <c r="Q107" s="76" t="str">
        <f>IF(OR($D107="C345",$D107="C12A",$D107="DATA"),
   VLOOKUP($B107,'LOD 300 - COLO3'!B:N,13,FALSE),"N/A")</f>
        <v>N/A</v>
      </c>
      <c r="R107" s="76" t="str">
        <f>IF(OR($D107="C345",$D107="C12A",$D107="DATA"),
   VLOOKUP($B107,'LOD 300 - COLO3'!B:O,14,FALSE),"N/A")</f>
        <v>N/A</v>
      </c>
      <c r="S107" s="79" t="str">
        <f>IF(OR($D107="C345",$D107="C12A",$D107="DATA"),
   VLOOKUP($B107,'LOD 300 - COLO4'!B:M,12,FALSE),"N/A")</f>
        <v>N/A</v>
      </c>
      <c r="T107" s="76" t="str">
        <f>IF(OR($D107="C345",$D107="C12A",$D107="DATA"),
   VLOOKUP($B107,'LOD 300 - COLO4'!B:T,13,FALSE),"N/A")</f>
        <v>N/A</v>
      </c>
      <c r="U107" s="76" t="str">
        <f>IF(OR($D107="C345",$D107="C12A",$D107="DATA"),
   VLOOKUP($B107,'LOD 300 - COLO4'!B:U,17,FALSE),"N/A")</f>
        <v>N/A</v>
      </c>
      <c r="V107" s="126"/>
      <c r="W107" s="116" t="str">
        <f>IFERROR(VLOOKUP($B107,'LOD 300 - ADMN'!$B:S,18,FALSE),"N/A")</f>
        <v>N/A</v>
      </c>
      <c r="X107" s="117" t="str">
        <f>IFERROR(VLOOKUP($B107,'LOD 300 - ADMN'!$B:V,21,FALSE),"N/A")</f>
        <v>N/A</v>
      </c>
      <c r="Y107" s="117" t="str">
        <f>IFERROR(VLOOKUP($B107,'LOD 300 - ADMN'!$B:Y,24,FALSE),"N/A")</f>
        <v>N/A</v>
      </c>
      <c r="Z107" s="117" t="str">
        <f>IFERROR(VLOOKUP($B107,'LOD 300 - ADMN'!$B:AB,27,FALSE),"N/A")</f>
        <v>N/A</v>
      </c>
      <c r="AA107" s="117" t="str">
        <f>IFERROR(VLOOKUP($B107,'LOD 300 - ADMN'!$B:AE,30,FALSE),"N/A")</f>
        <v>N/A</v>
      </c>
      <c r="AB107" s="118" t="str">
        <f>IFERROR(VLOOKUP($B107,'LOD 300 - ADMN'!$B:AH,33,FALSE),"N/A")</f>
        <v>N/A</v>
      </c>
      <c r="AC107" s="118" t="str">
        <f>IFERROR(VLOOKUP($B107,'LOD 300 - ADMN'!$B:AK,36,FALSE),"N/A")</f>
        <v>N/A</v>
      </c>
      <c r="AD107" s="117" t="str">
        <f>IFERROR(VLOOKUP($B107,'LOD 300 - ADMN'!$B:AN,39,FALSE),"N/A")</f>
        <v>N/A</v>
      </c>
      <c r="AE107" s="117" t="str">
        <f>IFERROR(VLOOKUP($B107,'LOD 300 - ADMN'!$B:AQ,42,FALSE),"N/A")</f>
        <v>N/A</v>
      </c>
      <c r="AF107" s="117" t="str">
        <f>IFERROR(VLOOKUP($B107,'LOD 300 - ADMN'!$B:AT,45,FALSE),"N/A")</f>
        <v>N/A</v>
      </c>
      <c r="AG107" s="117" t="str">
        <f>IFERROR(VLOOKUP($B107,'LOD 300 - ADMN'!$B:AW,48,FALSE),"N/A")</f>
        <v>N/A</v>
      </c>
      <c r="AH107" s="117" t="str">
        <f>IFERROR(VLOOKUP($B107,'LOD 300 - ADMN'!$B:AZ,51,FALSE),"N/A")</f>
        <v>N/A</v>
      </c>
      <c r="AI107" s="119" t="str">
        <f>IFERROR(VLOOKUP($B107,'LOD 300 - ADMN'!$B:BC,54,FALSE),"N/A")</f>
        <v>N/A</v>
      </c>
      <c r="AJ107" s="86" t="str">
        <f>IFERROR(VLOOKUP($B107,'LOD 300 - ADMN'!$B:BF,57,FALSE),"N/A")</f>
        <v>N/A</v>
      </c>
      <c r="AK107" s="87" t="str">
        <f>IFERROR(VLOOKUP($B107,'LOD 300 - ADMN'!$B:EP,60,FALSE),"N/A")</f>
        <v>N/A</v>
      </c>
      <c r="AL107" s="86" t="str">
        <f>IFERROR(VLOOKUP($B107,'LOD 300 - ADMN'!$B:EQ,63,FALSE),"N/A")</f>
        <v>N/A</v>
      </c>
      <c r="AM107" s="86" t="str">
        <f>IFERROR(VLOOKUP($B107,'LOD 300 - ADMN'!$B:BO,66,FALSE),"N/A")</f>
        <v>N/A</v>
      </c>
      <c r="AN107" s="86" t="str">
        <f>IFERROR(VLOOKUP($B107,'LOD 300 - ADMN'!$B:BR,69,FALSE),"N/A")</f>
        <v>N/A</v>
      </c>
      <c r="AO107" s="86" t="str">
        <f>IFERROR(VLOOKUP($B107,'LOD 300 - ADMN'!$B:BU,72,FALSE),"N/A")</f>
        <v>N/A</v>
      </c>
      <c r="AP107" s="86" t="str">
        <f>IFERROR(VLOOKUP($B107,'LOD 300 - ADMN'!$B:BX,75,FALSE),"N/A")</f>
        <v>N/A</v>
      </c>
      <c r="AQ107" s="86" t="str">
        <f>IFERROR(VLOOKUP($B107,'LOD 300 - ADMN'!$B:CA,78,FALSE),"N/A")</f>
        <v>N/A</v>
      </c>
      <c r="AR107" s="86" t="str">
        <f>IFERROR(VLOOKUP($B107,'LOD 300 - ADMN'!$B:CD,81,FALSE),"N/A")</f>
        <v>N/A</v>
      </c>
      <c r="AS107" s="86" t="str">
        <f>IFERROR(VLOOKUP($B107,'LOD 300 - ADMN'!$B:CG,84,FALSE),"N/A")</f>
        <v>N/A</v>
      </c>
      <c r="AT107" s="86" t="str">
        <f>IFERROR(VLOOKUP($B107,'LOD 300 - ADMN'!$B:CJ,87,FALSE),"N/A")</f>
        <v>N/A</v>
      </c>
      <c r="AU107" s="88" t="str">
        <f>IFERROR(VLOOKUP($B107,'LOD 300 - ADMN'!$B:CM,90,FALSE),"N/A")</f>
        <v>N/A</v>
      </c>
      <c r="AV107" s="88" t="str">
        <f>IFERROR(VLOOKUP($B107,'LOD 300 - ADMN'!$B:CP,93,FALSE),"N/A")</f>
        <v>N/A</v>
      </c>
      <c r="AW107" s="88" t="str">
        <f>IFERROR(VLOOKUP($B107,'LOD 300 - ADMN'!$B:CS,96,FALSE),"N/A")</f>
        <v>N/A</v>
      </c>
      <c r="AX107" s="88" t="str">
        <f>IFERROR(VLOOKUP($B107,'LOD 300 - ADMN'!$B:CV,99,FALSE),"N/A")</f>
        <v>N/A</v>
      </c>
      <c r="AY107" s="88" t="str">
        <f>IFERROR(VLOOKUP($B107,'LOD 300 - ADMN'!$B:CY,102,FALSE),"N/A")</f>
        <v>N/A</v>
      </c>
      <c r="AZ107" s="89" t="str">
        <f>IFERROR(VLOOKUP($B107,'LOD 300 - ADMN'!$B:DB,105,FALSE),"N/A")</f>
        <v>N/A</v>
      </c>
      <c r="BA107" s="87" t="str">
        <f>IFERROR(VLOOKUP($B107,'LOD 300 - ADMN'!$B:DE,108,FALSE),"N/A")</f>
        <v>N/A</v>
      </c>
      <c r="BB107" s="87" t="str">
        <f>IFERROR(VLOOKUP($B107,'LOD 300 - ADMN'!$B:DH,111,FALSE),"N/A")</f>
        <v>N/A</v>
      </c>
      <c r="BC107" s="87" t="str">
        <f>IFERROR(VLOOKUP($B107,'LOD 300 - ADMN'!$B:DK,114,FALSE),"N/A")</f>
        <v>N/A</v>
      </c>
      <c r="BD107" s="87" t="str">
        <f>IFERROR(VLOOKUP($B107,'LOD 300 - ADMN'!$B:DN,117,FALSE),"N/A")</f>
        <v>N/A</v>
      </c>
      <c r="BE107" s="87" t="str">
        <f>IFERROR(VLOOKUP($B107,'LOD 300 - ADMN'!$B:DQ,120,FALSE),"N/A")</f>
        <v>N/A</v>
      </c>
      <c r="BF107" s="87" t="str">
        <f>IFERROR(VLOOKUP($B107,'LOD 300 - ADMN'!$B:DT,123,FALSE),"N/A")</f>
        <v>N/A</v>
      </c>
      <c r="BG107" s="87" t="str">
        <f>IFERROR(VLOOKUP($B107,'LOD 300 - ADMN'!$B:DW,126,FALSE),"N/A")</f>
        <v>N/A</v>
      </c>
      <c r="BH107" s="87" t="str">
        <f>IFERROR(VLOOKUP($B107,'LOD 300 - ADMN'!$B:DZ,129,FALSE),"N/A")</f>
        <v>N/A</v>
      </c>
      <c r="BI107" s="87" t="str">
        <f>IFERROR(VLOOKUP($B107,'LOD 300 - ADMN'!$B:EC,132,FALSE),"N/A")</f>
        <v>N/A</v>
      </c>
      <c r="BJ107" s="90" t="str">
        <f>IFERROR(__xludf.DUMMYFUNCTION("IFERROR(
  MAX(FILTER(X107:BI107, ISNUMBER(X107:BI107))),
  BI107
)"),"N/A")</f>
        <v>N/A</v>
      </c>
      <c r="BK107" s="91" t="str">
        <f>IFERROR(VLOOKUP($B107,'LOD 300 - COLO1'!$B:S,18,FALSE),"N/A")</f>
        <v>N/A</v>
      </c>
      <c r="BL107" s="92" t="str">
        <f>IFERROR(VLOOKUP($B107,'LOD 300 - COLO1'!$B:V,21,FALSE),"N/A")</f>
        <v>N/A</v>
      </c>
      <c r="BM107" s="92" t="str">
        <f>IFERROR(VLOOKUP($B107,'LOD 300 - COLO1'!$B:Y,24,FALSE),"N/A")</f>
        <v>N/A</v>
      </c>
      <c r="BN107" s="92" t="str">
        <f>IFERROR(VLOOKUP($B107,'LOD 300 - COLO1'!$B:AB,27,FALSE),"N/A")</f>
        <v>N/A</v>
      </c>
      <c r="BO107" s="92" t="str">
        <f>IFERROR(VLOOKUP($B107,'LOD 300 - COLO1'!$B:AE,30,FALSE),"N/A")</f>
        <v>N/A</v>
      </c>
      <c r="BP107" s="92" t="str">
        <f>IFERROR(VLOOKUP($B107,'LOD 300 - COLO1'!$B:AH,33,FALSE),"N/A")</f>
        <v>N/A</v>
      </c>
      <c r="BQ107" s="92" t="str">
        <f>IFERROR(VLOOKUP($B107,'LOD 300 - COLO1'!$B:AK,36,FALSE),"N/A")</f>
        <v>N/A</v>
      </c>
      <c r="BR107" s="92" t="str">
        <f>IFERROR(VLOOKUP($B107,'LOD 300 - COLO1'!$B:AN,39,FALSE),"N/A")</f>
        <v>N/A</v>
      </c>
      <c r="BS107" s="92" t="str">
        <f>IFERROR(VLOOKUP($B107,'LOD 300 - COLO1'!$B:AQ,42,FALSE),"N/A")</f>
        <v>N/A</v>
      </c>
      <c r="BT107" s="92" t="str">
        <f>IFERROR(VLOOKUP($B107,'LOD 300 - COLO1'!$B:AT,45,FALSE),"N/A")</f>
        <v>N/A</v>
      </c>
      <c r="BU107" s="92" t="str">
        <f>IFERROR(VLOOKUP($B107,'LOD 300 - COLO1'!$B:AW,48,FALSE),"N/A")</f>
        <v>N/A</v>
      </c>
      <c r="BV107" s="92" t="str">
        <f>IFERROR(VLOOKUP($B107,'LOD 300 - COLO1'!$B:AZ,51,FALSE),"N/A")</f>
        <v>N/A</v>
      </c>
      <c r="BW107" s="92" t="str">
        <f>IFERROR(VLOOKUP($B107,'LOD 300 - COLO1'!$B:BC,54,FALSE),"N/A")</f>
        <v>N/A</v>
      </c>
      <c r="BX107" s="94" t="str">
        <f>IFERROR(VLOOKUP($B107,'LOD 300 - COLO1'!$B:BF,57,FALSE),"N/A")</f>
        <v>N/A</v>
      </c>
      <c r="BY107" s="94" t="str">
        <f>IFERROR(VLOOKUP($B107,'LOD 300 - COLO1'!$B:BI,60,FALSE),"N/A")</f>
        <v>N/A</v>
      </c>
      <c r="BZ107" s="95" t="str">
        <f>IFERROR(VLOOKUP($B107,'LOD 300 - COLO1'!$B:BL,63,FALSE),"N/A")</f>
        <v>N/A</v>
      </c>
      <c r="CA107" s="86" t="str">
        <f>IFERROR(VLOOKUP($B107,'LOD 300 - COLO1'!$B:BO,66,FALSE),"N/A")</f>
        <v>N/A</v>
      </c>
      <c r="CB107" s="86" t="str">
        <f>IFERROR(VLOOKUP($B107,'LOD 300 - COLO1'!$B:BR,69,FALSE),"N/A")</f>
        <v>N/A</v>
      </c>
      <c r="CC107" s="86" t="str">
        <f>IFERROR(VLOOKUP($B107,'LOD 300 - COLO1'!$B:BU,72,FALSE),"N/A")</f>
        <v>N/A</v>
      </c>
      <c r="CD107" s="86" t="str">
        <f>IFERROR(VLOOKUP($B107,'LOD 300 - COLO1'!$B:BX,75,FALSE),"N/A")</f>
        <v>N/A</v>
      </c>
      <c r="CE107" s="86" t="str">
        <f>IFERROR(VLOOKUP($B107,'LOD 300 - COLO1'!$B:CA,78,FALSE),"N/A")</f>
        <v>N/A</v>
      </c>
      <c r="CF107" s="87" t="str">
        <f>IFERROR(VLOOKUP($B107,'LOD 300 - COLO1'!$B:CD,81,FALSE),"N/A")</f>
        <v>N/A</v>
      </c>
      <c r="CG107" s="86" t="str">
        <f>IFERROR(VLOOKUP($B107,'LOD 300 - COLO1'!$B:CG,84,FALSE),"N/A")</f>
        <v>N/A</v>
      </c>
      <c r="CH107" s="87" t="str">
        <f>IFERROR(VLOOKUP($B107,'LOD 300 - COLO1'!$B:CJ,87,FALSE),"N/A")</f>
        <v>N/A</v>
      </c>
      <c r="CI107" s="88" t="str">
        <f>IFERROR(VLOOKUP($B107,'LOD 300 - COLO1'!$B:CM,90,FALSE),"N/A")</f>
        <v>N/A</v>
      </c>
      <c r="CJ107" s="88" t="str">
        <f>IFERROR(VLOOKUP($B107,'LOD 300 - COLO1'!$B:CP,93,FALSE),"N/A")</f>
        <v>N/A</v>
      </c>
      <c r="CK107" s="88" t="str">
        <f>IFERROR(VLOOKUP($B107,'LOD 300 - COLO1'!$B:CS,96,FALSE),"N/A")</f>
        <v>N/A</v>
      </c>
      <c r="CL107" s="88" t="str">
        <f>IFERROR(VLOOKUP($B107,'LOD 300 - COLO1'!$B:CV,99,FALSE),"N/A")</f>
        <v>N/A</v>
      </c>
      <c r="CM107" s="88" t="str">
        <f>IFERROR(VLOOKUP($B107,'LOD 300 - COLO1'!$B:CY,102,FALSE),"N/A")</f>
        <v>N/A</v>
      </c>
      <c r="CN107" s="89" t="str">
        <f>IFERROR(VLOOKUP($B107,'LOD 300 - COLO1'!$B:DB,105,FALSE),"N/A")</f>
        <v>N/A</v>
      </c>
      <c r="CO107" s="87" t="str">
        <f>IFERROR(VLOOKUP($B107,'LOD 300 - COLO1'!$B:EE,108,FALSE),"N/A")</f>
        <v>N/A</v>
      </c>
      <c r="CP107" s="87" t="str">
        <f>IFERROR(VLOOKUP($B107,'LOD 300 - COLO1'!$B:EH,111,FALSE),"N/A")</f>
        <v>N/A</v>
      </c>
      <c r="CQ107" s="87" t="str">
        <f>IFERROR(VLOOKUP($B107,'LOD 300 - COLO1'!$B:EK,114,FALSE),"N/A")</f>
        <v>N/A</v>
      </c>
      <c r="CR107" s="87" t="str">
        <f>IFERROR(VLOOKUP($B107,'LOD 300 - COLO1'!$B:EN,117,FALSE),"N/A")</f>
        <v>N/A</v>
      </c>
      <c r="CS107" s="87" t="str">
        <f>IFERROR(VLOOKUP($B107,'LOD 300 - COLO1'!$B:EQ,120,FALSE),"N/A")</f>
        <v>N/A</v>
      </c>
      <c r="CT107" s="87" t="str">
        <f>IFERROR(VLOOKUP($B107,'LOD 300 - COLO1'!$B:ET,123,FALSE),"N/A")</f>
        <v>N/A</v>
      </c>
      <c r="CU107" s="87" t="str">
        <f>IFERROR(VLOOKUP($B107,'LOD 300 - COLO1'!$B:EW,126,FALSE),"N/A")</f>
        <v>N/A</v>
      </c>
      <c r="CV107" s="87" t="str">
        <f>IFERROR(VLOOKUP($B107,'LOD 300 - COLO1'!$B:EZ,129,FALSE),"N/A")</f>
        <v>N/A</v>
      </c>
      <c r="CW107" s="87" t="str">
        <f>IFERROR(VLOOKUP($B107,'LOD 300 - COLO1'!$B:FC,132,FALSE),"N/A")</f>
        <v>N/A</v>
      </c>
      <c r="CX107" s="96" t="str">
        <f>IFERROR(__xludf.DUMMYFUNCTION("IFERROR(
  MAX(FILTER(BK107:CW107, ISNUMBER(BK107:CW107))),
  CW107
)"),"N/A")</f>
        <v>N/A</v>
      </c>
      <c r="CY107" s="104" t="str">
        <f>IFERROR(VLOOKUP($B107,'LOD 300 - COLO2'!$B:S,18,FALSE),"N/A")</f>
        <v>N/A</v>
      </c>
      <c r="CZ107" s="117" t="str">
        <f>IFERROR(VLOOKUP($B107,'LOD 300 - COLO2'!$B:V,21,FALSE),"N/A")</f>
        <v>N/A</v>
      </c>
      <c r="DA107" s="117" t="str">
        <f>IFERROR(VLOOKUP($B107,'LOD 300 - COLO2'!$B:Y,24,FALSE),"N/A")</f>
        <v>N/A</v>
      </c>
      <c r="DB107" s="117" t="str">
        <f>IFERROR(VLOOKUP($B107,'LOD 300 - COLO2'!$B:AB,27,FALSE),"N/A")</f>
        <v>N/A</v>
      </c>
      <c r="DC107" s="117" t="str">
        <f>IFERROR(VLOOKUP($B107,'LOD 300 - COLO2'!$B:AE,30,FALSE),"N/A")</f>
        <v>N/A</v>
      </c>
      <c r="DD107" s="117" t="str">
        <f>IFERROR(VLOOKUP($B107,'LOD 300 - COLO2'!$B:AH,33,FALSE),"N/A")</f>
        <v>N/A</v>
      </c>
      <c r="DE107" s="117" t="str">
        <f>IFERROR(VLOOKUP($B107,'LOD 300 - COLO2'!$B:AK,36,FALSE),"N/A")</f>
        <v>N/A</v>
      </c>
      <c r="DF107" s="117" t="str">
        <f>IFERROR(VLOOKUP($B107,'LOD 300 - COLO2'!$B:AN,39,FALSE),"N/A")</f>
        <v>N/A</v>
      </c>
      <c r="DG107" s="119" t="str">
        <f>IFERROR(VLOOKUP($B107,'LOD 300 - COLO2'!$B:AQ,42,FALSE),"N/A")</f>
        <v>N/A</v>
      </c>
      <c r="DH107" s="87" t="str">
        <f>IFERROR(VLOOKUP($B107,'LOD 300 - COLO2'!$B:AT,45,FALSE),"N/A")</f>
        <v>N/A</v>
      </c>
      <c r="DI107" s="94" t="str">
        <f>IFERROR(VLOOKUP($B107,'LOD 300 - COLO2'!$B:AW,48,FALSE),"N/A")</f>
        <v>N/A</v>
      </c>
      <c r="DJ107" s="95" t="str">
        <f>IFERROR(VLOOKUP($B107,'LOD 300 - COLO2'!$B:AZ,51,FALSE),"N/A")</f>
        <v>N/A</v>
      </c>
      <c r="DK107" s="86" t="str">
        <f>IFERROR(VLOOKUP($B107,'LOD 300 - COLO2'!$B:BC,54,FALSE),"N/A")</f>
        <v>N/A</v>
      </c>
      <c r="DL107" s="86" t="str">
        <f>IFERROR(VLOOKUP($B107,'LOD 300 - COLO2'!$B:BF,57,FALSE),"N/A")</f>
        <v>N/A</v>
      </c>
      <c r="DM107" s="86" t="str">
        <f>IFERROR(VLOOKUP($B107,'LOD 300 - COLO2'!$B:BI,60,FALSE),"N/A")</f>
        <v>N/A</v>
      </c>
      <c r="DN107" s="86" t="str">
        <f>IFERROR(VLOOKUP($B107,'LOD 300 - COLO2'!$B:BL,63,FALSE),"N/A")</f>
        <v>N/A</v>
      </c>
      <c r="DO107" s="86" t="str">
        <f>IFERROR(VLOOKUP($B107,'LOD 300 - COLO2'!$B:BO,66,FALSE),"N/A")</f>
        <v>N/A</v>
      </c>
      <c r="DP107" s="87" t="str">
        <f>IFERROR(VLOOKUP($B107,'LOD 300 - COLO2'!$B:BR,69,FALSE),"N/A")</f>
        <v>N/A</v>
      </c>
      <c r="DQ107" s="87" t="str">
        <f>IFERROR(VLOOKUP($B107,'LOD 300 - COLO2'!$B:BU,72,FALSE),"N/A")</f>
        <v>N/A</v>
      </c>
      <c r="DR107" s="87" t="str">
        <f>IFERROR(VLOOKUP($B107,'LOD 300 - COLO2'!$B:BX,75,FALSE),"N/A")</f>
        <v>N/A</v>
      </c>
      <c r="DS107" s="98" t="str">
        <f>IFERROR(VLOOKUP($B107,'LOD 300 - COLO2'!$B:CA,78,FALSE),"N/A")</f>
        <v>N/A</v>
      </c>
      <c r="DT107" s="98" t="str">
        <f>IFERROR(VLOOKUP($B107,'LOD 300 - COLO2'!$B:CD,81,FALSE),"N/A")</f>
        <v>N/A</v>
      </c>
      <c r="DU107" s="98" t="str">
        <f>IFERROR(VLOOKUP($B107,'LOD 300 - COLO2'!$B:CG,84,FALSE),"N/A")</f>
        <v>N/A</v>
      </c>
      <c r="DV107" s="98" t="str">
        <f>IFERROR(VLOOKUP($B107,'LOD 300 - COLO2'!$B:CJ,87,FALSE),"N/A")</f>
        <v>N/A</v>
      </c>
      <c r="DW107" s="98" t="str">
        <f>IFERROR(VLOOKUP($B107,'LOD 300 - COLO2'!$B:CM,90,FALSE),"N/A")</f>
        <v>N/A</v>
      </c>
      <c r="DX107" s="98" t="str">
        <f>IFERROR(VLOOKUP($B107,'LOD 300 - COLO2'!$B:CP,93,FALSE),"N/A")</f>
        <v>N/A</v>
      </c>
      <c r="DY107" s="87" t="str">
        <f>IFERROR(VLOOKUP($B107,'LOD 300 - COLO2'!$B:CS,96,FALSE),"N/A")</f>
        <v>N/A</v>
      </c>
      <c r="DZ107" s="87" t="str">
        <f>IFERROR(VLOOKUP($B107,'LOD 300 - COLO2'!$B:CV,99,FALSE),"N/A")</f>
        <v>N/A</v>
      </c>
      <c r="EA107" s="87" t="str">
        <f>IFERROR(VLOOKUP($B107,'LOD 300 - COLO2'!$B:DB,105,FALSE),"N/A")</f>
        <v>N/A</v>
      </c>
      <c r="EB107" s="87" t="str">
        <f>IFERROR(VLOOKUP($B107,'LOD 300 - COLO2'!$B:DB,105,FALSE),"N/A")</f>
        <v>N/A</v>
      </c>
      <c r="EC107" s="87" t="str">
        <f>IFERROR(VLOOKUP($B107,'LOD 300 - COLO2'!$B:DE,108,FALSE),"N/A")</f>
        <v>N/A</v>
      </c>
      <c r="ED107" s="87" t="str">
        <f>IFERROR(VLOOKUP($B107,'LOD 300 - COLO2'!$B:DH,111,FALSE),"N/A")</f>
        <v>N/A</v>
      </c>
      <c r="EE107" s="87" t="str">
        <f>IFERROR(VLOOKUP($B107,'LOD 300 - COLO2'!$B:DK,114,FALSE),"N/A")</f>
        <v>N/A</v>
      </c>
      <c r="EF107" s="87" t="str">
        <f>IFERROR(VLOOKUP($B107,'LOD 300 - COLO2'!$B:DN,117,FALSE),"N/A")</f>
        <v>N/A</v>
      </c>
      <c r="EG107" s="87" t="str">
        <f>IFERROR(VLOOKUP($B107,'LOD 300 - COLO2'!$B:DQ,120,FALSE),"N/A")</f>
        <v>N/A</v>
      </c>
      <c r="EH107" s="99" t="str">
        <f>IFERROR(__xludf.DUMMYFUNCTION("IFERROR(
  MAX(FILTER(CZ107:EG107, ISNUMBER(CZ107:EG107))),
  EG107
)"),"N/A")</f>
        <v>N/A</v>
      </c>
      <c r="EI107" s="100">
        <f>IFERROR(VLOOKUP($B107,'LOD 300 - COLO3'!$B:R,17,FALSE),"N/A")</f>
        <v>0</v>
      </c>
      <c r="EJ107" s="101">
        <f>IFERROR(VLOOKUP($B107,'LOD 300 - COLO3'!$B:U,20,FALSE),"N/A")</f>
        <v>1</v>
      </c>
      <c r="EK107" s="101">
        <f>IFERROR(VLOOKUP($B107,'LOD 300 - COLO3'!$B:X,23,FALSE),"N/A")</f>
        <v>1</v>
      </c>
      <c r="EL107" s="101">
        <f>IFERROR(VLOOKUP($B107,'LOD 300 - COLO3'!$B:AA,26,FALSE),"N/A")</f>
        <v>1</v>
      </c>
      <c r="EM107" s="101">
        <f>IFERROR(VLOOKUP($B107,'LOD 300 - COLO3'!$B:AD,29,FALSE),"N/A")</f>
        <v>1</v>
      </c>
      <c r="EN107" s="101">
        <f>IFERROR(VLOOKUP($B107,'LOD 300 - COLO3'!$B:AG,32,FALSE),"N/A")</f>
        <v>1</v>
      </c>
      <c r="EO107" s="102">
        <f>IFERROR(VLOOKUP($B107,'LOD 300 - COLO3'!$B:AJ,35,FALSE),"N/A")</f>
        <v>1</v>
      </c>
      <c r="EP107" s="100">
        <f>IFERROR(VLOOKUP($B107,'LOD 300 - COLO3'!$B:AM,38,FALSE),"N/A")</f>
        <v>1</v>
      </c>
      <c r="EQ107" s="100">
        <f>IFERROR(VLOOKUP($B107,'LOD 300 - COLO3'!$B:AP,41,FALSE),"N/A")</f>
        <v>1</v>
      </c>
      <c r="ER107" s="100">
        <f>IFERROR(VLOOKUP($B107,'LOD 300 - COLO3'!$B:AS,44,FALSE),"N/A")</f>
        <v>1</v>
      </c>
      <c r="ES107" s="100">
        <f>IFERROR(VLOOKUP($B107,'LOD 300 - COLO3'!$B:AV,47,FALSE),"N/A")</f>
        <v>1</v>
      </c>
      <c r="ET107" s="100">
        <f>IFERROR(VLOOKUP($B107,'LOD 300 - COLO3'!$B:AY,50,FALSE),"N/A")</f>
        <v>1</v>
      </c>
      <c r="EU107" s="100">
        <f>IFERROR(VLOOKUP($B107,'LOD 300 - COLO3'!$B:BB,53,FALSE),"N/A")</f>
        <v>1</v>
      </c>
      <c r="EV107" s="100">
        <f>IFERROR(VLOOKUP($B107,'LOD 300 - COLO3'!$B:BE,56,FALSE),"N/A")</f>
        <v>1</v>
      </c>
      <c r="EW107" s="100">
        <f>IFERROR(VLOOKUP($B107,'LOD 300 - COLO3'!$B:BL,59,FALSE),"N/A")</f>
        <v>1</v>
      </c>
      <c r="EX107" s="100">
        <f>IFERROR(VLOOKUP($B107,'LOD 300 - COLO3'!$B:BO,62,FALSE),"N/A")</f>
        <v>1</v>
      </c>
      <c r="EY107" s="103">
        <f>IFERROR(__xludf.DUMMYFUNCTION("IFERROR(
  MAX(FILTER(EI107:EX107, ISNUMBER(EI107:EX107))),
  EX107
)"),1.0)</f>
        <v>1</v>
      </c>
      <c r="EZ107" s="104">
        <f>IFERROR(VLOOKUP($B107,'LOD 300 - COLO4'!$B:BT,17,FALSE),"N/A")</f>
        <v>0</v>
      </c>
      <c r="FA107" s="103">
        <f>IFERROR(__xludf.DUMMYFUNCTION("IFERROR(
  MAX(FILTER(EZ107, ISNUMBER(EZ107))),
  EZ107
)"),0.0)</f>
        <v>0</v>
      </c>
      <c r="FB107" s="121" t="str">
        <f>IFERROR(VLOOKUP($B107,'LOD 300 - SITE'!$B:S,18,FALSE),"N/A")</f>
        <v>N/A</v>
      </c>
      <c r="FC107" s="122" t="str">
        <f>IFERROR(VLOOKUP($B107,'LOD 300 - SITE'!$B:V,21,FALSE),"N/A")</f>
        <v>N/A</v>
      </c>
      <c r="FD107" s="122" t="str">
        <f>IFERROR(VLOOKUP($B107,'LOD 300 - SITE'!$B:Y,24,FALSE),"N/A")</f>
        <v>N/A</v>
      </c>
      <c r="FE107" s="122" t="str">
        <f>IFERROR(VLOOKUP($B107,'LOD 300 - SITE'!$B:AB,27,FALSE),"N/A")</f>
        <v>N/A</v>
      </c>
      <c r="FF107" s="122" t="str">
        <f>IFERROR(VLOOKUP($B107,'LOD 300 - SITE'!$B:AE,30,FALSE),"N/A")</f>
        <v>N/A</v>
      </c>
      <c r="FG107" s="122" t="str">
        <f>IFERROR(VLOOKUP($B107,'LOD 300 - SITE'!$B:AH,33,FALSE),"N/A")</f>
        <v>N/A</v>
      </c>
      <c r="FH107" s="122" t="str">
        <f>IFERROR(VLOOKUP($B107,'LOD 300 - SITE'!$B:AK,36,FALSE),"N/A")</f>
        <v>N/A</v>
      </c>
      <c r="FI107" s="122" t="str">
        <f>IFERROR(VLOOKUP($B107,'LOD 300 - SITE'!$B:AN,39,FALSE),"N/A")</f>
        <v>N/A</v>
      </c>
      <c r="FJ107" s="122" t="str">
        <f>IFERROR(VLOOKUP($B107,'LOD 300 - SITE'!$B:AQ,42,FALSE),"N/A")</f>
        <v>N/A</v>
      </c>
      <c r="FK107" s="122" t="str">
        <f>IFERROR(VLOOKUP($B107,'LOD 300 - SITE'!$B:AT,45,FALSE),"N/A")</f>
        <v>N/A</v>
      </c>
      <c r="FL107" s="123" t="str">
        <f>IFERROR(VLOOKUP($B107,'LOD 300 - SITE'!$B:AW,48,FALSE),"N/A")</f>
        <v>N/A</v>
      </c>
      <c r="FM107" s="87" t="str">
        <f>IFERROR(VLOOKUP($B107,'LOD 300 - SITE'!$B:AZ,51,FALSE),"N/A")</f>
        <v>N/A</v>
      </c>
      <c r="FN107" s="94" t="str">
        <f>IFERROR(VLOOKUP($B107,'LOD 300 - SITE'!$B:BC,54,FALSE),"N/A")</f>
        <v>N/A</v>
      </c>
      <c r="FO107" s="95" t="str">
        <f>IFERROR(VLOOKUP($B107,'LOD 300 - SITE'!$B:BF,57,FALSE),"N/A")</f>
        <v>N/A</v>
      </c>
      <c r="FP107" s="86" t="str">
        <f>IFERROR(VLOOKUP($B107,'LOD 300 - SITE'!$B:BI,60,FALSE),"N/A")</f>
        <v>N/A</v>
      </c>
      <c r="FQ107" s="86" t="str">
        <f>IFERROR(VLOOKUP($B107,'LOD 300 - SITE'!$B:BL,63,FALSE),"N/A")</f>
        <v>N/A</v>
      </c>
      <c r="FR107" s="86" t="str">
        <f>IFERROR(VLOOKUP($B107,'LOD 300 - SITE'!$B:BO,66,FALSE),"N/A")</f>
        <v>N/A</v>
      </c>
      <c r="FS107" s="86" t="str">
        <f>IFERROR(VLOOKUP($B107,'LOD 300 - SITE'!$B:BR,69,FALSE),"N/A")</f>
        <v>N/A</v>
      </c>
      <c r="FT107" s="86" t="str">
        <f>IFERROR(VLOOKUP($B107,'LOD 300 - SITE'!$B:BU,72,FALSE),"N/A")</f>
        <v>N/A</v>
      </c>
      <c r="FU107" s="86" t="str">
        <f>IFERROR(VLOOKUP($B107,'LOD 300 - SITE'!$B:BX,75,FALSE),"N/A")</f>
        <v>N/A</v>
      </c>
      <c r="FV107" s="86" t="str">
        <f>IFERROR(VLOOKUP($B107,'LOD 300 - SITE'!$B:CA,78,FALSE),"N/A")</f>
        <v>N/A</v>
      </c>
      <c r="FW107" s="87" t="str">
        <f>IFERROR(VLOOKUP($B107,'LOD 300 - SITE'!$B:CD,81,FALSE),"N/A")</f>
        <v>N/A</v>
      </c>
      <c r="FX107" s="108" t="str">
        <f>IFERROR(VLOOKUP($B107,'LOD 300 - SITE'!$B:CG,84,FALSE),"N/A")</f>
        <v>N/A</v>
      </c>
      <c r="FY107" s="108" t="str">
        <f>IFERROR(VLOOKUP($B107,'LOD 300 - SITE'!$B:CJ,87,FALSE),"N/A")</f>
        <v>N/A</v>
      </c>
      <c r="FZ107" s="108" t="str">
        <f>IFERROR(VLOOKUP($B107,'LOD 300 - SITE'!$B:CM,90,FALSE),"N/A")</f>
        <v>N/A</v>
      </c>
      <c r="GA107" s="108" t="str">
        <f>IFERROR(VLOOKUP($B107,'LOD 300 - SITE'!$B:CP,93,FALSE),"N/A")</f>
        <v>N/A</v>
      </c>
      <c r="GB107" s="108" t="str">
        <f>IFERROR(VLOOKUP($B107,'LOD 300 - SITE'!$B:CS,96,FALSE),"N/A")</f>
        <v>N/A</v>
      </c>
      <c r="GC107" s="109" t="str">
        <f>IFERROR(VLOOKUP($B107,'LOD 300 - SITE'!$B:CV,99,FALSE),"N/A")</f>
        <v>N/A</v>
      </c>
      <c r="GD107" s="87" t="str">
        <f>IFERROR(VLOOKUP($B107,'LOD 300 - SITE'!$B:CY,102,FALSE),"N/A")</f>
        <v>N/A</v>
      </c>
      <c r="GE107" s="87" t="str">
        <f>IFERROR(VLOOKUP($B107,'LOD 300 - SITE'!$B:DB,105,FALSE),"N/A")</f>
        <v>N/A</v>
      </c>
      <c r="GF107" s="87" t="str">
        <f>IFERROR(VLOOKUP($B107,'LOD 300 - SITE'!$B:DE,108,FALSE),"N/A")</f>
        <v>N/A</v>
      </c>
      <c r="GG107" s="87" t="str">
        <f>IFERROR(VLOOKUP($B107,'LOD 300 - SITE'!$B:DH,111,FALSE),"N/A")</f>
        <v>N/A</v>
      </c>
      <c r="GH107" s="87" t="str">
        <f>IFERROR(VLOOKUP($B107,'LOD 300 - SITE'!$B:DK,114,FALSE),"N/A")</f>
        <v>N/A</v>
      </c>
      <c r="GI107" s="87" t="str">
        <f>IFERROR(VLOOKUP($B107,'LOD 300 - SITE'!$B:DN,117,FALSE),"N/A")</f>
        <v>N/A</v>
      </c>
      <c r="GJ107" s="87" t="str">
        <f>IFERROR(VLOOKUP($B107,'LOD 300 - SITE'!$B:DQ,120,FALSE),"N/A")</f>
        <v>N/A</v>
      </c>
      <c r="GK107" s="87" t="str">
        <f>IFERROR(VLOOKUP($B107,'LOD 300 - SITE'!$B:DT,123,FALSE),"N/A")</f>
        <v>N/A</v>
      </c>
      <c r="GL107" s="87" t="str">
        <f>IFERROR(VLOOKUP($B107,'LOD 300 - SITE'!$B:DW,126,FALSE),"N/A")</f>
        <v>N/A</v>
      </c>
      <c r="GM107" s="110" t="str">
        <f>IFERROR(__xludf.DUMMYFUNCTION("IFERROR(
  MAX(FILTER(FB107:GL107, ISNUMBER(FB107:GL107))),
  GL107
)"),"N/A")</f>
        <v>N/A</v>
      </c>
      <c r="GN107" s="111"/>
      <c r="GO107" s="111"/>
      <c r="GP107" s="111"/>
    </row>
    <row r="108" ht="15.0" customHeight="1" outlineLevel="1">
      <c r="A108" s="60">
        <v>111.0</v>
      </c>
      <c r="B108" s="140" t="s">
        <v>324</v>
      </c>
      <c r="C108" s="70" t="s">
        <v>324</v>
      </c>
      <c r="D108" s="525" t="s">
        <v>7</v>
      </c>
      <c r="E108" s="146" t="s">
        <v>317</v>
      </c>
      <c r="F108" s="13">
        <v>1125.0</v>
      </c>
      <c r="G108" s="72" t="s">
        <v>317</v>
      </c>
      <c r="H108" s="139">
        <v>1125.0</v>
      </c>
      <c r="I108" s="74" t="str">
        <f>IFERROR(VLOOKUP(C105:C247,'R22 RELATÓRIO ACC'!B:F,5,FALSE),"NOT PUBLISHED")</f>
        <v>V7</v>
      </c>
      <c r="J108" s="74" t="str">
        <f>IFERROR(VLOOKUP(C105:C247,'R22 RELATÓRIO ACC'!B:P,15,FALSE),"NOT PUBLISHED")</f>
        <v>05/12/2025</v>
      </c>
      <c r="K108" s="141" t="str">
        <f>IFERROR(VLOOKUP(B105:B295,'RELATÓRIO ACC'!B:F,5,FALSE),"NOT PUBLISHED")</f>
        <v>V1</v>
      </c>
      <c r="L108" s="142" t="str">
        <f>IFERROR(VLOOKUP(B105:B295,'RELATÓRIO ACC'!B:P,15,FALSE),"NOT PUBLISHED")</f>
        <v>21/05/2026</v>
      </c>
      <c r="M108" s="76" t="str">
        <f>IF(OR($D108="UTLS",$D108="GUAR",$D108="STIR",$D108="PUMP",$D108="SITE"),
   VLOOKUP($B108,'LOD 300 - SITE'!B:M,12,FALSE),
   VLOOKUP($B108,'LOD 300 - ADMN'!B:M,12,FALSE)
)</f>
        <v>N/A</v>
      </c>
      <c r="N108" s="76" t="str">
        <f>IF(OR($D108="UTLS",$D108="GUAR",$D108="STIR",$D108="PUMP",$D108="SITE"),
   VLOOKUP($B108,'LOD 300 - SITE'!B:N,13,FALSE),
   VLOOKUP($B108,'LOD 300 - ADMN'!B:N,13,FALSE)
)</f>
        <v>N/A</v>
      </c>
      <c r="O108" s="78" t="str">
        <f>IF(OR($D108="UTLS",$D108="GUAR",$D108="STIR",$D108="PUMP",$D108="SITE"),
   VLOOKUP($B108,'LOD 300 - SITE'!B:O,14,FALSE),
   VLOOKUP($B108,'LOD 300 - ADMN'!B:O,14,FALSE)
)</f>
        <v>N/A</v>
      </c>
      <c r="P108" s="79" t="str">
        <f>IF(OR($D108="C345",$D108="C12A",$D108="DATA"),
   VLOOKUP($B108,'LOD 300 - COLO3'!B:M,12,FALSE),"N/A")</f>
        <v>N/A</v>
      </c>
      <c r="Q108" s="76" t="str">
        <f>IF(OR($D108="C345",$D108="C12A",$D108="DATA"),
   VLOOKUP($B108,'LOD 300 - COLO3'!B:N,13,FALSE),"N/A")</f>
        <v>N/A</v>
      </c>
      <c r="R108" s="76" t="str">
        <f>IF(OR($D108="C345",$D108="C12A",$D108="DATA"),
   VLOOKUP($B108,'LOD 300 - COLO3'!B:O,14,FALSE),"N/A")</f>
        <v>N/A</v>
      </c>
      <c r="S108" s="79" t="str">
        <f>IF(OR($D108="C345",$D108="C12A",$D108="DATA"),
   VLOOKUP($B108,'LOD 300 - COLO4'!B:M,12,FALSE),"N/A")</f>
        <v>N/A</v>
      </c>
      <c r="T108" s="76" t="str">
        <f>IF(OR($D108="C345",$D108="C12A",$D108="DATA"),
   VLOOKUP($B108,'LOD 300 - COLO4'!B:T,13,FALSE),"N/A")</f>
        <v>N/A</v>
      </c>
      <c r="U108" s="76" t="str">
        <f>IF(OR($D108="C345",$D108="C12A",$D108="DATA"),
   VLOOKUP($B108,'LOD 300 - COLO4'!B:U,17,FALSE),"N/A")</f>
        <v>N/A</v>
      </c>
      <c r="V108" s="126"/>
      <c r="W108" s="116" t="str">
        <f>IFERROR(VLOOKUP($B108,'LOD 300 - ADMN'!$B:S,18,FALSE),"N/A")</f>
        <v>N/A</v>
      </c>
      <c r="X108" s="117" t="str">
        <f>IFERROR(VLOOKUP($B108,'LOD 300 - ADMN'!$B:V,21,FALSE),"N/A")</f>
        <v>N/A</v>
      </c>
      <c r="Y108" s="117" t="str">
        <f>IFERROR(VLOOKUP($B108,'LOD 300 - ADMN'!$B:Y,24,FALSE),"N/A")</f>
        <v>N/A</v>
      </c>
      <c r="Z108" s="117" t="str">
        <f>IFERROR(VLOOKUP($B108,'LOD 300 - ADMN'!$B:AB,27,FALSE),"N/A")</f>
        <v>N/A</v>
      </c>
      <c r="AA108" s="117" t="str">
        <f>IFERROR(VLOOKUP($B108,'LOD 300 - ADMN'!$B:AE,30,FALSE),"N/A")</f>
        <v>N/A</v>
      </c>
      <c r="AB108" s="118" t="str">
        <f>IFERROR(VLOOKUP($B108,'LOD 300 - ADMN'!$B:AH,33,FALSE),"N/A")</f>
        <v>N/A</v>
      </c>
      <c r="AC108" s="118" t="str">
        <f>IFERROR(VLOOKUP($B108,'LOD 300 - ADMN'!$B:AK,36,FALSE),"N/A")</f>
        <v>N/A</v>
      </c>
      <c r="AD108" s="117" t="str">
        <f>IFERROR(VLOOKUP($B108,'LOD 300 - ADMN'!$B:AN,39,FALSE),"N/A")</f>
        <v>N/A</v>
      </c>
      <c r="AE108" s="117" t="str">
        <f>IFERROR(VLOOKUP($B108,'LOD 300 - ADMN'!$B:AQ,42,FALSE),"N/A")</f>
        <v>N/A</v>
      </c>
      <c r="AF108" s="117" t="str">
        <f>IFERROR(VLOOKUP($B108,'LOD 300 - ADMN'!$B:AT,45,FALSE),"N/A")</f>
        <v>N/A</v>
      </c>
      <c r="AG108" s="117" t="str">
        <f>IFERROR(VLOOKUP($B108,'LOD 300 - ADMN'!$B:AW,48,FALSE),"N/A")</f>
        <v>N/A</v>
      </c>
      <c r="AH108" s="117" t="str">
        <f>IFERROR(VLOOKUP($B108,'LOD 300 - ADMN'!$B:AZ,51,FALSE),"N/A")</f>
        <v>N/A</v>
      </c>
      <c r="AI108" s="119" t="str">
        <f>IFERROR(VLOOKUP($B108,'LOD 300 - ADMN'!$B:BC,54,FALSE),"N/A")</f>
        <v>N/A</v>
      </c>
      <c r="AJ108" s="86" t="str">
        <f>IFERROR(VLOOKUP($B108,'LOD 300 - ADMN'!$B:BF,57,FALSE),"N/A")</f>
        <v>N/A</v>
      </c>
      <c r="AK108" s="87" t="str">
        <f>IFERROR(VLOOKUP($B108,'LOD 300 - ADMN'!$B:EP,60,FALSE),"N/A")</f>
        <v>N/A</v>
      </c>
      <c r="AL108" s="86" t="str">
        <f>IFERROR(VLOOKUP($B108,'LOD 300 - ADMN'!$B:EQ,63,FALSE),"N/A")</f>
        <v>N/A</v>
      </c>
      <c r="AM108" s="86" t="str">
        <f>IFERROR(VLOOKUP($B108,'LOD 300 - ADMN'!$B:BO,66,FALSE),"N/A")</f>
        <v>N/A</v>
      </c>
      <c r="AN108" s="86" t="str">
        <f>IFERROR(VLOOKUP($B108,'LOD 300 - ADMN'!$B:BR,69,FALSE),"N/A")</f>
        <v>N/A</v>
      </c>
      <c r="AO108" s="86" t="str">
        <f>IFERROR(VLOOKUP($B108,'LOD 300 - ADMN'!$B:BU,72,FALSE),"N/A")</f>
        <v>N/A</v>
      </c>
      <c r="AP108" s="86" t="str">
        <f>IFERROR(VLOOKUP($B108,'LOD 300 - ADMN'!$B:BX,75,FALSE),"N/A")</f>
        <v>N/A</v>
      </c>
      <c r="AQ108" s="86" t="str">
        <f>IFERROR(VLOOKUP($B108,'LOD 300 - ADMN'!$B:CA,78,FALSE),"N/A")</f>
        <v>N/A</v>
      </c>
      <c r="AR108" s="86" t="str">
        <f>IFERROR(VLOOKUP($B108,'LOD 300 - ADMN'!$B:CD,81,FALSE),"N/A")</f>
        <v>N/A</v>
      </c>
      <c r="AS108" s="86" t="str">
        <f>IFERROR(VLOOKUP($B108,'LOD 300 - ADMN'!$B:CG,84,FALSE),"N/A")</f>
        <v>N/A</v>
      </c>
      <c r="AT108" s="86" t="str">
        <f>IFERROR(VLOOKUP($B108,'LOD 300 - ADMN'!$B:CJ,87,FALSE),"N/A")</f>
        <v>N/A</v>
      </c>
      <c r="AU108" s="88" t="str">
        <f>IFERROR(VLOOKUP($B108,'LOD 300 - ADMN'!$B:CM,90,FALSE),"N/A")</f>
        <v>N/A</v>
      </c>
      <c r="AV108" s="88" t="str">
        <f>IFERROR(VLOOKUP($B108,'LOD 300 - ADMN'!$B:CP,93,FALSE),"N/A")</f>
        <v>N/A</v>
      </c>
      <c r="AW108" s="88" t="str">
        <f>IFERROR(VLOOKUP($B108,'LOD 300 - ADMN'!$B:CS,96,FALSE),"N/A")</f>
        <v>N/A</v>
      </c>
      <c r="AX108" s="88" t="str">
        <f>IFERROR(VLOOKUP($B108,'LOD 300 - ADMN'!$B:CV,99,FALSE),"N/A")</f>
        <v>N/A</v>
      </c>
      <c r="AY108" s="88" t="str">
        <f>IFERROR(VLOOKUP($B108,'LOD 300 - ADMN'!$B:CY,102,FALSE),"N/A")</f>
        <v>N/A</v>
      </c>
      <c r="AZ108" s="89" t="str">
        <f>IFERROR(VLOOKUP($B108,'LOD 300 - ADMN'!$B:DB,105,FALSE),"N/A")</f>
        <v>N/A</v>
      </c>
      <c r="BA108" s="87" t="str">
        <f>IFERROR(VLOOKUP($B108,'LOD 300 - ADMN'!$B:DE,108,FALSE),"N/A")</f>
        <v>N/A</v>
      </c>
      <c r="BB108" s="87" t="str">
        <f>IFERROR(VLOOKUP($B108,'LOD 300 - ADMN'!$B:DH,111,FALSE),"N/A")</f>
        <v>N/A</v>
      </c>
      <c r="BC108" s="87" t="str">
        <f>IFERROR(VLOOKUP($B108,'LOD 300 - ADMN'!$B:DK,114,FALSE),"N/A")</f>
        <v>N/A</v>
      </c>
      <c r="BD108" s="87" t="str">
        <f>IFERROR(VLOOKUP($B108,'LOD 300 - ADMN'!$B:DN,117,FALSE),"N/A")</f>
        <v>N/A</v>
      </c>
      <c r="BE108" s="87" t="str">
        <f>IFERROR(VLOOKUP($B108,'LOD 300 - ADMN'!$B:DQ,120,FALSE),"N/A")</f>
        <v>N/A</v>
      </c>
      <c r="BF108" s="87" t="str">
        <f>IFERROR(VLOOKUP($B108,'LOD 300 - ADMN'!$B:DT,123,FALSE),"N/A")</f>
        <v>N/A</v>
      </c>
      <c r="BG108" s="87" t="str">
        <f>IFERROR(VLOOKUP($B108,'LOD 300 - ADMN'!$B:DW,126,FALSE),"N/A")</f>
        <v>N/A</v>
      </c>
      <c r="BH108" s="87" t="str">
        <f>IFERROR(VLOOKUP($B108,'LOD 300 - ADMN'!$B:DZ,129,FALSE),"N/A")</f>
        <v>N/A</v>
      </c>
      <c r="BI108" s="87" t="str">
        <f>IFERROR(VLOOKUP($B108,'LOD 300 - ADMN'!$B:EC,132,FALSE),"N/A")</f>
        <v>N/A</v>
      </c>
      <c r="BJ108" s="90" t="str">
        <f>IFERROR(__xludf.DUMMYFUNCTION("IFERROR(
  MAX(FILTER(X108:BI108, ISNUMBER(X108:BI108))),
  BI108
)"),"N/A")</f>
        <v>N/A</v>
      </c>
      <c r="BK108" s="91" t="str">
        <f>IFERROR(VLOOKUP($B108,'LOD 300 - COLO1'!$B:S,18,FALSE),"N/A")</f>
        <v>N/A</v>
      </c>
      <c r="BL108" s="92" t="str">
        <f>IFERROR(VLOOKUP($B108,'LOD 300 - COLO1'!$B:V,21,FALSE),"N/A")</f>
        <v>N/A</v>
      </c>
      <c r="BM108" s="92" t="str">
        <f>IFERROR(VLOOKUP($B108,'LOD 300 - COLO1'!$B:Y,24,FALSE),"N/A")</f>
        <v>N/A</v>
      </c>
      <c r="BN108" s="92" t="str">
        <f>IFERROR(VLOOKUP($B108,'LOD 300 - COLO1'!$B:AB,27,FALSE),"N/A")</f>
        <v>N/A</v>
      </c>
      <c r="BO108" s="92" t="str">
        <f>IFERROR(VLOOKUP($B108,'LOD 300 - COLO1'!$B:AE,30,FALSE),"N/A")</f>
        <v>N/A</v>
      </c>
      <c r="BP108" s="92" t="str">
        <f>IFERROR(VLOOKUP($B108,'LOD 300 - COLO1'!$B:AH,33,FALSE),"N/A")</f>
        <v>N/A</v>
      </c>
      <c r="BQ108" s="92" t="str">
        <f>IFERROR(VLOOKUP($B108,'LOD 300 - COLO1'!$B:AK,36,FALSE),"N/A")</f>
        <v>N/A</v>
      </c>
      <c r="BR108" s="92" t="str">
        <f>IFERROR(VLOOKUP($B108,'LOD 300 - COLO1'!$B:AN,39,FALSE),"N/A")</f>
        <v>N/A</v>
      </c>
      <c r="BS108" s="92" t="str">
        <f>IFERROR(VLOOKUP($B108,'LOD 300 - COLO1'!$B:AQ,42,FALSE),"N/A")</f>
        <v>N/A</v>
      </c>
      <c r="BT108" s="92" t="str">
        <f>IFERROR(VLOOKUP($B108,'LOD 300 - COLO1'!$B:AT,45,FALSE),"N/A")</f>
        <v>N/A</v>
      </c>
      <c r="BU108" s="92" t="str">
        <f>IFERROR(VLOOKUP($B108,'LOD 300 - COLO1'!$B:AW,48,FALSE),"N/A")</f>
        <v>N/A</v>
      </c>
      <c r="BV108" s="92" t="str">
        <f>IFERROR(VLOOKUP($B108,'LOD 300 - COLO1'!$B:AZ,51,FALSE),"N/A")</f>
        <v>N/A</v>
      </c>
      <c r="BW108" s="92" t="str">
        <f>IFERROR(VLOOKUP($B108,'LOD 300 - COLO1'!$B:BC,54,FALSE),"N/A")</f>
        <v>N/A</v>
      </c>
      <c r="BX108" s="94" t="str">
        <f>IFERROR(VLOOKUP($B108,'LOD 300 - COLO1'!$B:BF,57,FALSE),"N/A")</f>
        <v>N/A</v>
      </c>
      <c r="BY108" s="94" t="str">
        <f>IFERROR(VLOOKUP($B108,'LOD 300 - COLO1'!$B:BI,60,FALSE),"N/A")</f>
        <v>N/A</v>
      </c>
      <c r="BZ108" s="95" t="str">
        <f>IFERROR(VLOOKUP($B108,'LOD 300 - COLO1'!$B:BL,63,FALSE),"N/A")</f>
        <v>N/A</v>
      </c>
      <c r="CA108" s="86" t="str">
        <f>IFERROR(VLOOKUP($B108,'LOD 300 - COLO1'!$B:BO,66,FALSE),"N/A")</f>
        <v>N/A</v>
      </c>
      <c r="CB108" s="86" t="str">
        <f>IFERROR(VLOOKUP($B108,'LOD 300 - COLO1'!$B:BR,69,FALSE),"N/A")</f>
        <v>N/A</v>
      </c>
      <c r="CC108" s="86" t="str">
        <f>IFERROR(VLOOKUP($B108,'LOD 300 - COLO1'!$B:BU,72,FALSE),"N/A")</f>
        <v>N/A</v>
      </c>
      <c r="CD108" s="86" t="str">
        <f>IFERROR(VLOOKUP($B108,'LOD 300 - COLO1'!$B:BX,75,FALSE),"N/A")</f>
        <v>N/A</v>
      </c>
      <c r="CE108" s="86" t="str">
        <f>IFERROR(VLOOKUP($B108,'LOD 300 - COLO1'!$B:CA,78,FALSE),"N/A")</f>
        <v>N/A</v>
      </c>
      <c r="CF108" s="87" t="str">
        <f>IFERROR(VLOOKUP($B108,'LOD 300 - COLO1'!$B:CD,81,FALSE),"N/A")</f>
        <v>N/A</v>
      </c>
      <c r="CG108" s="86" t="str">
        <f>IFERROR(VLOOKUP($B108,'LOD 300 - COLO1'!$B:CG,84,FALSE),"N/A")</f>
        <v>N/A</v>
      </c>
      <c r="CH108" s="87" t="str">
        <f>IFERROR(VLOOKUP($B108,'LOD 300 - COLO1'!$B:CJ,87,FALSE),"N/A")</f>
        <v>N/A</v>
      </c>
      <c r="CI108" s="88" t="str">
        <f>IFERROR(VLOOKUP($B108,'LOD 300 - COLO1'!$B:CM,90,FALSE),"N/A")</f>
        <v>N/A</v>
      </c>
      <c r="CJ108" s="88" t="str">
        <f>IFERROR(VLOOKUP($B108,'LOD 300 - COLO1'!$B:CP,93,FALSE),"N/A")</f>
        <v>N/A</v>
      </c>
      <c r="CK108" s="88" t="str">
        <f>IFERROR(VLOOKUP($B108,'LOD 300 - COLO1'!$B:CS,96,FALSE),"N/A")</f>
        <v>N/A</v>
      </c>
      <c r="CL108" s="88" t="str">
        <f>IFERROR(VLOOKUP($B108,'LOD 300 - COLO1'!$B:CV,99,FALSE),"N/A")</f>
        <v>N/A</v>
      </c>
      <c r="CM108" s="88" t="str">
        <f>IFERROR(VLOOKUP($B108,'LOD 300 - COLO1'!$B:CY,102,FALSE),"N/A")</f>
        <v>N/A</v>
      </c>
      <c r="CN108" s="89" t="str">
        <f>IFERROR(VLOOKUP($B108,'LOD 300 - COLO1'!$B:DB,105,FALSE),"N/A")</f>
        <v>N/A</v>
      </c>
      <c r="CO108" s="87" t="str">
        <f>IFERROR(VLOOKUP($B108,'LOD 300 - COLO1'!$B:EE,108,FALSE),"N/A")</f>
        <v>N/A</v>
      </c>
      <c r="CP108" s="87" t="str">
        <f>IFERROR(VLOOKUP($B108,'LOD 300 - COLO1'!$B:EH,111,FALSE),"N/A")</f>
        <v>N/A</v>
      </c>
      <c r="CQ108" s="87" t="str">
        <f>IFERROR(VLOOKUP($B108,'LOD 300 - COLO1'!$B:EK,114,FALSE),"N/A")</f>
        <v>N/A</v>
      </c>
      <c r="CR108" s="87" t="str">
        <f>IFERROR(VLOOKUP($B108,'LOD 300 - COLO1'!$B:EN,117,FALSE),"N/A")</f>
        <v>N/A</v>
      </c>
      <c r="CS108" s="87" t="str">
        <f>IFERROR(VLOOKUP($B108,'LOD 300 - COLO1'!$B:EQ,120,FALSE),"N/A")</f>
        <v>N/A</v>
      </c>
      <c r="CT108" s="87" t="str">
        <f>IFERROR(VLOOKUP($B108,'LOD 300 - COLO1'!$B:ET,123,FALSE),"N/A")</f>
        <v>N/A</v>
      </c>
      <c r="CU108" s="87" t="str">
        <f>IFERROR(VLOOKUP($B108,'LOD 300 - COLO1'!$B:EW,126,FALSE),"N/A")</f>
        <v>N/A</v>
      </c>
      <c r="CV108" s="87" t="str">
        <f>IFERROR(VLOOKUP($B108,'LOD 300 - COLO1'!$B:EZ,129,FALSE),"N/A")</f>
        <v>N/A</v>
      </c>
      <c r="CW108" s="87" t="str">
        <f>IFERROR(VLOOKUP($B108,'LOD 300 - COLO1'!$B:FC,132,FALSE),"N/A")</f>
        <v>N/A</v>
      </c>
      <c r="CX108" s="96" t="str">
        <f>IFERROR(__xludf.DUMMYFUNCTION("IFERROR(
  MAX(FILTER(BK108:CW108, ISNUMBER(BK108:CW108))),
  CW108
)"),"N/A")</f>
        <v>N/A</v>
      </c>
      <c r="CY108" s="104" t="str">
        <f>IFERROR(VLOOKUP($B108,'LOD 300 - COLO2'!$B:S,18,FALSE),"N/A")</f>
        <v>N/A</v>
      </c>
      <c r="CZ108" s="117" t="str">
        <f>IFERROR(VLOOKUP($B108,'LOD 300 - COLO2'!$B:V,21,FALSE),"N/A")</f>
        <v>N/A</v>
      </c>
      <c r="DA108" s="117" t="str">
        <f>IFERROR(VLOOKUP($B108,'LOD 300 - COLO2'!$B:Y,24,FALSE),"N/A")</f>
        <v>N/A</v>
      </c>
      <c r="DB108" s="117" t="str">
        <f>IFERROR(VLOOKUP($B108,'LOD 300 - COLO2'!$B:AB,27,FALSE),"N/A")</f>
        <v>N/A</v>
      </c>
      <c r="DC108" s="117" t="str">
        <f>IFERROR(VLOOKUP($B108,'LOD 300 - COLO2'!$B:AE,30,FALSE),"N/A")</f>
        <v>N/A</v>
      </c>
      <c r="DD108" s="117" t="str">
        <f>IFERROR(VLOOKUP($B108,'LOD 300 - COLO2'!$B:AH,33,FALSE),"N/A")</f>
        <v>N/A</v>
      </c>
      <c r="DE108" s="117" t="str">
        <f>IFERROR(VLOOKUP($B108,'LOD 300 - COLO2'!$B:AK,36,FALSE),"N/A")</f>
        <v>N/A</v>
      </c>
      <c r="DF108" s="117" t="str">
        <f>IFERROR(VLOOKUP($B108,'LOD 300 - COLO2'!$B:AN,39,FALSE),"N/A")</f>
        <v>N/A</v>
      </c>
      <c r="DG108" s="119" t="str">
        <f>IFERROR(VLOOKUP($B108,'LOD 300 - COLO2'!$B:AQ,42,FALSE),"N/A")</f>
        <v>N/A</v>
      </c>
      <c r="DH108" s="87" t="str">
        <f>IFERROR(VLOOKUP($B108,'LOD 300 - COLO2'!$B:AT,45,FALSE),"N/A")</f>
        <v>N/A</v>
      </c>
      <c r="DI108" s="94" t="str">
        <f>IFERROR(VLOOKUP($B108,'LOD 300 - COLO2'!$B:AW,48,FALSE),"N/A")</f>
        <v>N/A</v>
      </c>
      <c r="DJ108" s="95" t="str">
        <f>IFERROR(VLOOKUP($B108,'LOD 300 - COLO2'!$B:AZ,51,FALSE),"N/A")</f>
        <v>N/A</v>
      </c>
      <c r="DK108" s="86" t="str">
        <f>IFERROR(VLOOKUP($B108,'LOD 300 - COLO2'!$B:BC,54,FALSE),"N/A")</f>
        <v>N/A</v>
      </c>
      <c r="DL108" s="86" t="str">
        <f>IFERROR(VLOOKUP($B108,'LOD 300 - COLO2'!$B:BF,57,FALSE),"N/A")</f>
        <v>N/A</v>
      </c>
      <c r="DM108" s="86" t="str">
        <f>IFERROR(VLOOKUP($B108,'LOD 300 - COLO2'!$B:BI,60,FALSE),"N/A")</f>
        <v>N/A</v>
      </c>
      <c r="DN108" s="86" t="str">
        <f>IFERROR(VLOOKUP($B108,'LOD 300 - COLO2'!$B:BL,63,FALSE),"N/A")</f>
        <v>N/A</v>
      </c>
      <c r="DO108" s="86" t="str">
        <f>IFERROR(VLOOKUP($B108,'LOD 300 - COLO2'!$B:BO,66,FALSE),"N/A")</f>
        <v>N/A</v>
      </c>
      <c r="DP108" s="87" t="str">
        <f>IFERROR(VLOOKUP($B108,'LOD 300 - COLO2'!$B:BR,69,FALSE),"N/A")</f>
        <v>N/A</v>
      </c>
      <c r="DQ108" s="87" t="str">
        <f>IFERROR(VLOOKUP($B108,'LOD 300 - COLO2'!$B:BU,72,FALSE),"N/A")</f>
        <v>N/A</v>
      </c>
      <c r="DR108" s="87" t="str">
        <f>IFERROR(VLOOKUP($B108,'LOD 300 - COLO2'!$B:BX,75,FALSE),"N/A")</f>
        <v>N/A</v>
      </c>
      <c r="DS108" s="98" t="str">
        <f>IFERROR(VLOOKUP($B108,'LOD 300 - COLO2'!$B:CA,78,FALSE),"N/A")</f>
        <v>N/A</v>
      </c>
      <c r="DT108" s="98" t="str">
        <f>IFERROR(VLOOKUP($B108,'LOD 300 - COLO2'!$B:CD,81,FALSE),"N/A")</f>
        <v>N/A</v>
      </c>
      <c r="DU108" s="98" t="str">
        <f>IFERROR(VLOOKUP($B108,'LOD 300 - COLO2'!$B:CG,84,FALSE),"N/A")</f>
        <v>N/A</v>
      </c>
      <c r="DV108" s="98" t="str">
        <f>IFERROR(VLOOKUP($B108,'LOD 300 - COLO2'!$B:CJ,87,FALSE),"N/A")</f>
        <v>N/A</v>
      </c>
      <c r="DW108" s="98" t="str">
        <f>IFERROR(VLOOKUP($B108,'LOD 300 - COLO2'!$B:CM,90,FALSE),"N/A")</f>
        <v>N/A</v>
      </c>
      <c r="DX108" s="98" t="str">
        <f>IFERROR(VLOOKUP($B108,'LOD 300 - COLO2'!$B:CP,93,FALSE),"N/A")</f>
        <v>N/A</v>
      </c>
      <c r="DY108" s="87" t="str">
        <f>IFERROR(VLOOKUP($B108,'LOD 300 - COLO2'!$B:CS,96,FALSE),"N/A")</f>
        <v>N/A</v>
      </c>
      <c r="DZ108" s="87" t="str">
        <f>IFERROR(VLOOKUP($B108,'LOD 300 - COLO2'!$B:CV,99,FALSE),"N/A")</f>
        <v>N/A</v>
      </c>
      <c r="EA108" s="87" t="str">
        <f>IFERROR(VLOOKUP($B108,'LOD 300 - COLO2'!$B:DB,105,FALSE),"N/A")</f>
        <v>N/A</v>
      </c>
      <c r="EB108" s="87" t="str">
        <f>IFERROR(VLOOKUP($B108,'LOD 300 - COLO2'!$B:DB,105,FALSE),"N/A")</f>
        <v>N/A</v>
      </c>
      <c r="EC108" s="87" t="str">
        <f>IFERROR(VLOOKUP($B108,'LOD 300 - COLO2'!$B:DE,108,FALSE),"N/A")</f>
        <v>N/A</v>
      </c>
      <c r="ED108" s="87" t="str">
        <f>IFERROR(VLOOKUP($B108,'LOD 300 - COLO2'!$B:DH,111,FALSE),"N/A")</f>
        <v>N/A</v>
      </c>
      <c r="EE108" s="87" t="str">
        <f>IFERROR(VLOOKUP($B108,'LOD 300 - COLO2'!$B:DK,114,FALSE),"N/A")</f>
        <v>N/A</v>
      </c>
      <c r="EF108" s="87" t="str">
        <f>IFERROR(VLOOKUP($B108,'LOD 300 - COLO2'!$B:DN,117,FALSE),"N/A")</f>
        <v>N/A</v>
      </c>
      <c r="EG108" s="87" t="str">
        <f>IFERROR(VLOOKUP($B108,'LOD 300 - COLO2'!$B:DQ,120,FALSE),"N/A")</f>
        <v>N/A</v>
      </c>
      <c r="EH108" s="99" t="str">
        <f>IFERROR(__xludf.DUMMYFUNCTION("IFERROR(
  MAX(FILTER(CZ108:EG108, ISNUMBER(CZ108:EG108))),
  EG108
)"),"N/A")</f>
        <v>N/A</v>
      </c>
      <c r="EI108" s="100" t="str">
        <f>IFERROR(VLOOKUP($B108,'LOD 300 - COLO3'!$B:R,17,FALSE),"N/A")</f>
        <v>N/A</v>
      </c>
      <c r="EJ108" s="101" t="str">
        <f>IFERROR(VLOOKUP($B108,'LOD 300 - COLO3'!$B:U,20,FALSE),"N/A")</f>
        <v>N/A</v>
      </c>
      <c r="EK108" s="101" t="str">
        <f>IFERROR(VLOOKUP($B108,'LOD 300 - COLO3'!$B:X,23,FALSE),"N/A")</f>
        <v>N/A</v>
      </c>
      <c r="EL108" s="101" t="str">
        <f>IFERROR(VLOOKUP($B108,'LOD 300 - COLO3'!$B:AA,26,FALSE),"N/A")</f>
        <v>N/A</v>
      </c>
      <c r="EM108" s="101" t="str">
        <f>IFERROR(VLOOKUP($B108,'LOD 300 - COLO3'!$B:AD,29,FALSE),"N/A")</f>
        <v>N/A</v>
      </c>
      <c r="EN108" s="101" t="str">
        <f>IFERROR(VLOOKUP($B108,'LOD 300 - COLO3'!$B:AG,32,FALSE),"N/A")</f>
        <v>N/A</v>
      </c>
      <c r="EO108" s="102" t="str">
        <f>IFERROR(VLOOKUP($B108,'LOD 300 - COLO3'!$B:AJ,35,FALSE),"N/A")</f>
        <v>N/A</v>
      </c>
      <c r="EP108" s="100" t="str">
        <f>IFERROR(VLOOKUP($B108,'LOD 300 - COLO3'!$B:AM,38,FALSE),"N/A")</f>
        <v>N/A</v>
      </c>
      <c r="EQ108" s="100" t="str">
        <f>IFERROR(VLOOKUP($B108,'LOD 300 - COLO3'!$B:AP,41,FALSE),"N/A")</f>
        <v>N/A</v>
      </c>
      <c r="ER108" s="100" t="str">
        <f>IFERROR(VLOOKUP($B108,'LOD 300 - COLO3'!$B:AS,44,FALSE),"N/A")</f>
        <v>N/A</v>
      </c>
      <c r="ES108" s="100" t="str">
        <f>IFERROR(VLOOKUP($B108,'LOD 300 - COLO3'!$B:AV,47,FALSE),"N/A")</f>
        <v>N/A</v>
      </c>
      <c r="ET108" s="100" t="str">
        <f>IFERROR(VLOOKUP($B108,'LOD 300 - COLO3'!$B:AY,50,FALSE),"N/A")</f>
        <v>N/A</v>
      </c>
      <c r="EU108" s="100" t="str">
        <f>IFERROR(VLOOKUP($B108,'LOD 300 - COLO3'!$B:BB,53,FALSE),"N/A")</f>
        <v>N/A</v>
      </c>
      <c r="EV108" s="100" t="str">
        <f>IFERROR(VLOOKUP($B108,'LOD 300 - COLO3'!$B:BE,56,FALSE),"N/A")</f>
        <v>N/A</v>
      </c>
      <c r="EW108" s="100" t="str">
        <f>IFERROR(VLOOKUP($B108,'LOD 300 - COLO3'!$B:BL,59,FALSE),"N/A")</f>
        <v>N/A</v>
      </c>
      <c r="EX108" s="100" t="str">
        <f>IFERROR(VLOOKUP($B108,'LOD 300 - COLO3'!$B:BO,62,FALSE),"N/A")</f>
        <v>N/A</v>
      </c>
      <c r="EY108" s="103" t="str">
        <f>IFERROR(__xludf.DUMMYFUNCTION("IFERROR(
  MAX(FILTER(EI108:EX108, ISNUMBER(EI108:EX108))),
  EX108
)"),"N/A")</f>
        <v>N/A</v>
      </c>
      <c r="EZ108" s="104">
        <f>IFERROR(VLOOKUP($B108,'LOD 300 - COLO4'!$B:BT,17,FALSE),"N/A")</f>
        <v>0</v>
      </c>
      <c r="FA108" s="103">
        <f>IFERROR(__xludf.DUMMYFUNCTION("IFERROR(
  MAX(FILTER(EZ108, ISNUMBER(EZ108))),
  EZ108
)"),0.0)</f>
        <v>0</v>
      </c>
      <c r="FB108" s="121" t="str">
        <f>IFERROR(VLOOKUP($B108,'LOD 300 - SITE'!$B:S,18,FALSE),"N/A")</f>
        <v>N/A</v>
      </c>
      <c r="FC108" s="122" t="str">
        <f>IFERROR(VLOOKUP($B108,'LOD 300 - SITE'!$B:V,21,FALSE),"N/A")</f>
        <v>N/A</v>
      </c>
      <c r="FD108" s="122" t="str">
        <f>IFERROR(VLOOKUP($B108,'LOD 300 - SITE'!$B:Y,24,FALSE),"N/A")</f>
        <v>N/A</v>
      </c>
      <c r="FE108" s="122" t="str">
        <f>IFERROR(VLOOKUP($B108,'LOD 300 - SITE'!$B:AB,27,FALSE),"N/A")</f>
        <v>N/A</v>
      </c>
      <c r="FF108" s="122" t="str">
        <f>IFERROR(VLOOKUP($B108,'LOD 300 - SITE'!$B:AE,30,FALSE),"N/A")</f>
        <v>N/A</v>
      </c>
      <c r="FG108" s="122" t="str">
        <f>IFERROR(VLOOKUP($B108,'LOD 300 - SITE'!$B:AH,33,FALSE),"N/A")</f>
        <v>N/A</v>
      </c>
      <c r="FH108" s="122" t="str">
        <f>IFERROR(VLOOKUP($B108,'LOD 300 - SITE'!$B:AK,36,FALSE),"N/A")</f>
        <v>N/A</v>
      </c>
      <c r="FI108" s="122" t="str">
        <f>IFERROR(VLOOKUP($B108,'LOD 300 - SITE'!$B:AN,39,FALSE),"N/A")</f>
        <v>N/A</v>
      </c>
      <c r="FJ108" s="122" t="str">
        <f>IFERROR(VLOOKUP($B108,'LOD 300 - SITE'!$B:AQ,42,FALSE),"N/A")</f>
        <v>N/A</v>
      </c>
      <c r="FK108" s="122" t="str">
        <f>IFERROR(VLOOKUP($B108,'LOD 300 - SITE'!$B:AT,45,FALSE),"N/A")</f>
        <v>N/A</v>
      </c>
      <c r="FL108" s="123" t="str">
        <f>IFERROR(VLOOKUP($B108,'LOD 300 - SITE'!$B:AW,48,FALSE),"N/A")</f>
        <v>N/A</v>
      </c>
      <c r="FM108" s="87" t="str">
        <f>IFERROR(VLOOKUP($B108,'LOD 300 - SITE'!$B:AZ,51,FALSE),"N/A")</f>
        <v>N/A</v>
      </c>
      <c r="FN108" s="94" t="str">
        <f>IFERROR(VLOOKUP($B108,'LOD 300 - SITE'!$B:BC,54,FALSE),"N/A")</f>
        <v>N/A</v>
      </c>
      <c r="FO108" s="95" t="str">
        <f>IFERROR(VLOOKUP($B108,'LOD 300 - SITE'!$B:BF,57,FALSE),"N/A")</f>
        <v>N/A</v>
      </c>
      <c r="FP108" s="86" t="str">
        <f>IFERROR(VLOOKUP($B108,'LOD 300 - SITE'!$B:BI,60,FALSE),"N/A")</f>
        <v>N/A</v>
      </c>
      <c r="FQ108" s="86" t="str">
        <f>IFERROR(VLOOKUP($B108,'LOD 300 - SITE'!$B:BL,63,FALSE),"N/A")</f>
        <v>N/A</v>
      </c>
      <c r="FR108" s="86" t="str">
        <f>IFERROR(VLOOKUP($B108,'LOD 300 - SITE'!$B:BO,66,FALSE),"N/A")</f>
        <v>N/A</v>
      </c>
      <c r="FS108" s="86" t="str">
        <f>IFERROR(VLOOKUP($B108,'LOD 300 - SITE'!$B:BR,69,FALSE),"N/A")</f>
        <v>N/A</v>
      </c>
      <c r="FT108" s="86" t="str">
        <f>IFERROR(VLOOKUP($B108,'LOD 300 - SITE'!$B:BU,72,FALSE),"N/A")</f>
        <v>N/A</v>
      </c>
      <c r="FU108" s="86" t="str">
        <f>IFERROR(VLOOKUP($B108,'LOD 300 - SITE'!$B:BX,75,FALSE),"N/A")</f>
        <v>N/A</v>
      </c>
      <c r="FV108" s="86" t="str">
        <f>IFERROR(VLOOKUP($B108,'LOD 300 - SITE'!$B:CA,78,FALSE),"N/A")</f>
        <v>N/A</v>
      </c>
      <c r="FW108" s="87" t="str">
        <f>IFERROR(VLOOKUP($B108,'LOD 300 - SITE'!$B:CD,81,FALSE),"N/A")</f>
        <v>N/A</v>
      </c>
      <c r="FX108" s="108" t="str">
        <f>IFERROR(VLOOKUP($B108,'LOD 300 - SITE'!$B:CG,84,FALSE),"N/A")</f>
        <v>N/A</v>
      </c>
      <c r="FY108" s="108" t="str">
        <f>IFERROR(VLOOKUP($B108,'LOD 300 - SITE'!$B:CJ,87,FALSE),"N/A")</f>
        <v>N/A</v>
      </c>
      <c r="FZ108" s="108" t="str">
        <f>IFERROR(VLOOKUP($B108,'LOD 300 - SITE'!$B:CM,90,FALSE),"N/A")</f>
        <v>N/A</v>
      </c>
      <c r="GA108" s="108" t="str">
        <f>IFERROR(VLOOKUP($B108,'LOD 300 - SITE'!$B:CP,93,FALSE),"N/A")</f>
        <v>N/A</v>
      </c>
      <c r="GB108" s="108" t="str">
        <f>IFERROR(VLOOKUP($B108,'LOD 300 - SITE'!$B:CS,96,FALSE),"N/A")</f>
        <v>N/A</v>
      </c>
      <c r="GC108" s="109" t="str">
        <f>IFERROR(VLOOKUP($B108,'LOD 300 - SITE'!$B:CV,99,FALSE),"N/A")</f>
        <v>N/A</v>
      </c>
      <c r="GD108" s="87" t="str">
        <f>IFERROR(VLOOKUP($B108,'LOD 300 - SITE'!$B:CY,102,FALSE),"N/A")</f>
        <v>N/A</v>
      </c>
      <c r="GE108" s="87" t="str">
        <f>IFERROR(VLOOKUP($B108,'LOD 300 - SITE'!$B:DB,105,FALSE),"N/A")</f>
        <v>N/A</v>
      </c>
      <c r="GF108" s="87" t="str">
        <f>IFERROR(VLOOKUP($B108,'LOD 300 - SITE'!$B:DE,108,FALSE),"N/A")</f>
        <v>N/A</v>
      </c>
      <c r="GG108" s="87" t="str">
        <f>IFERROR(VLOOKUP($B108,'LOD 300 - SITE'!$B:DH,111,FALSE),"N/A")</f>
        <v>N/A</v>
      </c>
      <c r="GH108" s="87" t="str">
        <f>IFERROR(VLOOKUP($B108,'LOD 300 - SITE'!$B:DK,114,FALSE),"N/A")</f>
        <v>N/A</v>
      </c>
      <c r="GI108" s="87" t="str">
        <f>IFERROR(VLOOKUP($B108,'LOD 300 - SITE'!$B:DN,117,FALSE),"N/A")</f>
        <v>N/A</v>
      </c>
      <c r="GJ108" s="87" t="str">
        <f>IFERROR(VLOOKUP($B108,'LOD 300 - SITE'!$B:DQ,120,FALSE),"N/A")</f>
        <v>N/A</v>
      </c>
      <c r="GK108" s="87" t="str">
        <f>IFERROR(VLOOKUP($B108,'LOD 300 - SITE'!$B:DT,123,FALSE),"N/A")</f>
        <v>N/A</v>
      </c>
      <c r="GL108" s="87" t="str">
        <f>IFERROR(VLOOKUP($B108,'LOD 300 - SITE'!$B:DW,126,FALSE),"N/A")</f>
        <v>N/A</v>
      </c>
      <c r="GM108" s="110" t="str">
        <f>IFERROR(__xludf.DUMMYFUNCTION("IFERROR(
  MAX(FILTER(FB108:GL108, ISNUMBER(FB108:GL108))),
  GL108
)"),"N/A")</f>
        <v>N/A</v>
      </c>
      <c r="GN108" s="111"/>
      <c r="GO108" s="111"/>
      <c r="GP108" s="111"/>
    </row>
    <row r="109" ht="15.0" customHeight="1" outlineLevel="1">
      <c r="A109" s="60">
        <v>112.0</v>
      </c>
      <c r="B109" s="140" t="s">
        <v>325</v>
      </c>
      <c r="C109" s="70" t="s">
        <v>325</v>
      </c>
      <c r="D109" s="525" t="s">
        <v>326</v>
      </c>
      <c r="E109" s="146" t="s">
        <v>317</v>
      </c>
      <c r="F109" s="13">
        <v>1125.0</v>
      </c>
      <c r="G109" s="72" t="s">
        <v>317</v>
      </c>
      <c r="H109" s="139">
        <v>1125.0</v>
      </c>
      <c r="I109" s="74" t="str">
        <f>IFERROR(VLOOKUP(C106:C248,'R22 RELATÓRIO ACC'!B:F,5,FALSE),"NOT PUBLISHED")</f>
        <v>V6</v>
      </c>
      <c r="J109" s="74" t="str">
        <f>IFERROR(VLOOKUP(C106:C248,'R22 RELATÓRIO ACC'!B:P,15,FALSE),"NOT PUBLISHED")</f>
        <v>07/11/2025</v>
      </c>
      <c r="K109" s="141" t="str">
        <f>IFERROR(VLOOKUP(B106:B296,'RELATÓRIO ACC'!B:F,5,FALSE),"NOT PUBLISHED")</f>
        <v>V1</v>
      </c>
      <c r="L109" s="142" t="str">
        <f>IFERROR(VLOOKUP(B106:B296,'RELATÓRIO ACC'!B:P,15,FALSE),"NOT PUBLISHED")</f>
        <v>21/05/2026</v>
      </c>
      <c r="M109" s="76" t="str">
        <f>IF(OR($D109="UTLS",$D109="GUAR",$D109="STIR",$D109="PUMP",$D109="SITE"),
   VLOOKUP($B109,'LOD 300 - SITE'!B:M,12,FALSE),
   VLOOKUP($B109,'LOD 300 - ADMN'!B:M,12,FALSE)
)</f>
        <v>N/A</v>
      </c>
      <c r="N109" s="76" t="str">
        <f>IF(OR($D109="UTLS",$D109="GUAR",$D109="STIR",$D109="PUMP",$D109="SITE"),
   VLOOKUP($B109,'LOD 300 - SITE'!B:N,13,FALSE),
   VLOOKUP($B109,'LOD 300 - ADMN'!B:N,13,FALSE)
)</f>
        <v>N/A</v>
      </c>
      <c r="O109" s="78" t="str">
        <f>IF(OR($D109="UTLS",$D109="GUAR",$D109="STIR",$D109="PUMP",$D109="SITE"),
   VLOOKUP($B109,'LOD 300 - SITE'!B:O,14,FALSE),
   VLOOKUP($B109,'LOD 300 - ADMN'!B:O,14,FALSE)
)</f>
        <v>N/A</v>
      </c>
      <c r="P109" s="79" t="str">
        <f>IF(OR($D109="C345",$D109="C12A",$D109="DATA"),
   VLOOKUP($B109,'LOD 300 - COLO3'!B:M,12,FALSE),"N/A")</f>
        <v>N/A</v>
      </c>
      <c r="Q109" s="76" t="str">
        <f>IF(OR($D109="C345",$D109="C12A",$D109="DATA"),
   VLOOKUP($B109,'LOD 300 - COLO3'!B:N,13,FALSE),"N/A")</f>
        <v>N/A</v>
      </c>
      <c r="R109" s="76" t="str">
        <f>IF(OR($D109="C345",$D109="C12A",$D109="DATA"),
   VLOOKUP($B109,'LOD 300 - COLO3'!B:O,14,FALSE),"N/A")</f>
        <v>N/A</v>
      </c>
      <c r="S109" s="79" t="str">
        <f>IF(OR($D109="C345",$D109="C12A",$D109="DATA"),
   VLOOKUP($B109,'LOD 300 - COLO4'!B:M,12,FALSE),"N/A")</f>
        <v>N/A</v>
      </c>
      <c r="T109" s="76" t="str">
        <f>IF(OR($D109="C345",$D109="C12A",$D109="DATA"),
   VLOOKUP($B109,'LOD 300 - COLO4'!B:T,13,FALSE),"N/A")</f>
        <v>N/A</v>
      </c>
      <c r="U109" s="76" t="str">
        <f>IF(OR($D109="C345",$D109="C12A",$D109="DATA"),
   VLOOKUP($B109,'LOD 300 - COLO4'!B:U,17,FALSE),"N/A")</f>
        <v>N/A</v>
      </c>
      <c r="V109" s="126"/>
      <c r="W109" s="116" t="str">
        <f>IFERROR(VLOOKUP($B109,'LOD 300 - ADMN'!$B:S,18,FALSE),"N/A")</f>
        <v>N/A</v>
      </c>
      <c r="X109" s="117" t="str">
        <f>IFERROR(VLOOKUP($B109,'LOD 300 - ADMN'!$B:V,21,FALSE),"N/A")</f>
        <v>N/A</v>
      </c>
      <c r="Y109" s="117" t="str">
        <f>IFERROR(VLOOKUP($B109,'LOD 300 - ADMN'!$B:Y,24,FALSE),"N/A")</f>
        <v>N/A</v>
      </c>
      <c r="Z109" s="117" t="str">
        <f>IFERROR(VLOOKUP($B109,'LOD 300 - ADMN'!$B:AB,27,FALSE),"N/A")</f>
        <v>N/A</v>
      </c>
      <c r="AA109" s="117" t="str">
        <f>IFERROR(VLOOKUP($B109,'LOD 300 - ADMN'!$B:AE,30,FALSE),"N/A")</f>
        <v>N/A</v>
      </c>
      <c r="AB109" s="118" t="str">
        <f>IFERROR(VLOOKUP($B109,'LOD 300 - ADMN'!$B:AH,33,FALSE),"N/A")</f>
        <v>N/A</v>
      </c>
      <c r="AC109" s="118" t="str">
        <f>IFERROR(VLOOKUP($B109,'LOD 300 - ADMN'!$B:AK,36,FALSE),"N/A")</f>
        <v>N/A</v>
      </c>
      <c r="AD109" s="117" t="str">
        <f>IFERROR(VLOOKUP($B109,'LOD 300 - ADMN'!$B:AN,39,FALSE),"N/A")</f>
        <v>N/A</v>
      </c>
      <c r="AE109" s="117" t="str">
        <f>IFERROR(VLOOKUP($B109,'LOD 300 - ADMN'!$B:AQ,42,FALSE),"N/A")</f>
        <v>N/A</v>
      </c>
      <c r="AF109" s="117" t="str">
        <f>IFERROR(VLOOKUP($B109,'LOD 300 - ADMN'!$B:AT,45,FALSE),"N/A")</f>
        <v>N/A</v>
      </c>
      <c r="AG109" s="117" t="str">
        <f>IFERROR(VLOOKUP($B109,'LOD 300 - ADMN'!$B:AW,48,FALSE),"N/A")</f>
        <v>N/A</v>
      </c>
      <c r="AH109" s="117" t="str">
        <f>IFERROR(VLOOKUP($B109,'LOD 300 - ADMN'!$B:AZ,51,FALSE),"N/A")</f>
        <v>N/A</v>
      </c>
      <c r="AI109" s="119" t="str">
        <f>IFERROR(VLOOKUP($B109,'LOD 300 - ADMN'!$B:BC,54,FALSE),"N/A")</f>
        <v>N/A</v>
      </c>
      <c r="AJ109" s="86" t="str">
        <f>IFERROR(VLOOKUP($B109,'LOD 300 - ADMN'!$B:BF,57,FALSE),"N/A")</f>
        <v>N/A</v>
      </c>
      <c r="AK109" s="87" t="str">
        <f>IFERROR(VLOOKUP($B109,'LOD 300 - ADMN'!$B:EP,60,FALSE),"N/A")</f>
        <v>N/A</v>
      </c>
      <c r="AL109" s="86" t="str">
        <f>IFERROR(VLOOKUP($B109,'LOD 300 - ADMN'!$B:EQ,63,FALSE),"N/A")</f>
        <v>N/A</v>
      </c>
      <c r="AM109" s="86" t="str">
        <f>IFERROR(VLOOKUP($B109,'LOD 300 - ADMN'!$B:BO,66,FALSE),"N/A")</f>
        <v>N/A</v>
      </c>
      <c r="AN109" s="86" t="str">
        <f>IFERROR(VLOOKUP($B109,'LOD 300 - ADMN'!$B:BR,69,FALSE),"N/A")</f>
        <v>N/A</v>
      </c>
      <c r="AO109" s="86" t="str">
        <f>IFERROR(VLOOKUP($B109,'LOD 300 - ADMN'!$B:BU,72,FALSE),"N/A")</f>
        <v>N/A</v>
      </c>
      <c r="AP109" s="86" t="str">
        <f>IFERROR(VLOOKUP($B109,'LOD 300 - ADMN'!$B:BX,75,FALSE),"N/A")</f>
        <v>N/A</v>
      </c>
      <c r="AQ109" s="86" t="str">
        <f>IFERROR(VLOOKUP($B109,'LOD 300 - ADMN'!$B:CA,78,FALSE),"N/A")</f>
        <v>N/A</v>
      </c>
      <c r="AR109" s="86" t="str">
        <f>IFERROR(VLOOKUP($B109,'LOD 300 - ADMN'!$B:CD,81,FALSE),"N/A")</f>
        <v>N/A</v>
      </c>
      <c r="AS109" s="86" t="str">
        <f>IFERROR(VLOOKUP($B109,'LOD 300 - ADMN'!$B:CG,84,FALSE),"N/A")</f>
        <v>N/A</v>
      </c>
      <c r="AT109" s="86" t="str">
        <f>IFERROR(VLOOKUP($B109,'LOD 300 - ADMN'!$B:CJ,87,FALSE),"N/A")</f>
        <v>N/A</v>
      </c>
      <c r="AU109" s="88" t="str">
        <f>IFERROR(VLOOKUP($B109,'LOD 300 - ADMN'!$B:CM,90,FALSE),"N/A")</f>
        <v>N/A</v>
      </c>
      <c r="AV109" s="88" t="str">
        <f>IFERROR(VLOOKUP($B109,'LOD 300 - ADMN'!$B:CP,93,FALSE),"N/A")</f>
        <v>N/A</v>
      </c>
      <c r="AW109" s="88" t="str">
        <f>IFERROR(VLOOKUP($B109,'LOD 300 - ADMN'!$B:CS,96,FALSE),"N/A")</f>
        <v>N/A</v>
      </c>
      <c r="AX109" s="88" t="str">
        <f>IFERROR(VLOOKUP($B109,'LOD 300 - ADMN'!$B:CV,99,FALSE),"N/A")</f>
        <v>N/A</v>
      </c>
      <c r="AY109" s="88" t="str">
        <f>IFERROR(VLOOKUP($B109,'LOD 300 - ADMN'!$B:CY,102,FALSE),"N/A")</f>
        <v>N/A</v>
      </c>
      <c r="AZ109" s="89" t="str">
        <f>IFERROR(VLOOKUP($B109,'LOD 300 - ADMN'!$B:DB,105,FALSE),"N/A")</f>
        <v>N/A</v>
      </c>
      <c r="BA109" s="87" t="str">
        <f>IFERROR(VLOOKUP($B109,'LOD 300 - ADMN'!$B:DE,108,FALSE),"N/A")</f>
        <v>N/A</v>
      </c>
      <c r="BB109" s="87" t="str">
        <f>IFERROR(VLOOKUP($B109,'LOD 300 - ADMN'!$B:DH,111,FALSE),"N/A")</f>
        <v>N/A</v>
      </c>
      <c r="BC109" s="87" t="str">
        <f>IFERROR(VLOOKUP($B109,'LOD 300 - ADMN'!$B:DK,114,FALSE),"N/A")</f>
        <v>N/A</v>
      </c>
      <c r="BD109" s="87" t="str">
        <f>IFERROR(VLOOKUP($B109,'LOD 300 - ADMN'!$B:DN,117,FALSE),"N/A")</f>
        <v>N/A</v>
      </c>
      <c r="BE109" s="87" t="str">
        <f>IFERROR(VLOOKUP($B109,'LOD 300 - ADMN'!$B:DQ,120,FALSE),"N/A")</f>
        <v>N/A</v>
      </c>
      <c r="BF109" s="87" t="str">
        <f>IFERROR(VLOOKUP($B109,'LOD 300 - ADMN'!$B:DT,123,FALSE),"N/A")</f>
        <v>N/A</v>
      </c>
      <c r="BG109" s="87" t="str">
        <f>IFERROR(VLOOKUP($B109,'LOD 300 - ADMN'!$B:DW,126,FALSE),"N/A")</f>
        <v>N/A</v>
      </c>
      <c r="BH109" s="87" t="str">
        <f>IFERROR(VLOOKUP($B109,'LOD 300 - ADMN'!$B:DZ,129,FALSE),"N/A")</f>
        <v>N/A</v>
      </c>
      <c r="BI109" s="87" t="str">
        <f>IFERROR(VLOOKUP($B109,'LOD 300 - ADMN'!$B:EC,132,FALSE),"N/A")</f>
        <v>N/A</v>
      </c>
      <c r="BJ109" s="90" t="str">
        <f>IFERROR(__xludf.DUMMYFUNCTION("IFERROR(
  MAX(FILTER(X109:BI109, ISNUMBER(X109:BI109))),
  BI109
)"),"N/A")</f>
        <v>N/A</v>
      </c>
      <c r="BK109" s="91" t="str">
        <f>IFERROR(VLOOKUP($B109,'LOD 300 - COLO1'!$B:S,18,FALSE),"N/A")</f>
        <v>N/A</v>
      </c>
      <c r="BL109" s="92" t="str">
        <f>IFERROR(VLOOKUP($B109,'LOD 300 - COLO1'!$B:V,21,FALSE),"N/A")</f>
        <v>N/A</v>
      </c>
      <c r="BM109" s="92" t="str">
        <f>IFERROR(VLOOKUP($B109,'LOD 300 - COLO1'!$B:Y,24,FALSE),"N/A")</f>
        <v>N/A</v>
      </c>
      <c r="BN109" s="92" t="str">
        <f>IFERROR(VLOOKUP($B109,'LOD 300 - COLO1'!$B:AB,27,FALSE),"N/A")</f>
        <v>N/A</v>
      </c>
      <c r="BO109" s="92" t="str">
        <f>IFERROR(VLOOKUP($B109,'LOD 300 - COLO1'!$B:AE,30,FALSE),"N/A")</f>
        <v>N/A</v>
      </c>
      <c r="BP109" s="92" t="str">
        <f>IFERROR(VLOOKUP($B109,'LOD 300 - COLO1'!$B:AH,33,FALSE),"N/A")</f>
        <v>N/A</v>
      </c>
      <c r="BQ109" s="92" t="str">
        <f>IFERROR(VLOOKUP($B109,'LOD 300 - COLO1'!$B:AK,36,FALSE),"N/A")</f>
        <v>N/A</v>
      </c>
      <c r="BR109" s="92" t="str">
        <f>IFERROR(VLOOKUP($B109,'LOD 300 - COLO1'!$B:AN,39,FALSE),"N/A")</f>
        <v>N/A</v>
      </c>
      <c r="BS109" s="92" t="str">
        <f>IFERROR(VLOOKUP($B109,'LOD 300 - COLO1'!$B:AQ,42,FALSE),"N/A")</f>
        <v>N/A</v>
      </c>
      <c r="BT109" s="92" t="str">
        <f>IFERROR(VLOOKUP($B109,'LOD 300 - COLO1'!$B:AT,45,FALSE),"N/A")</f>
        <v>N/A</v>
      </c>
      <c r="BU109" s="92" t="str">
        <f>IFERROR(VLOOKUP($B109,'LOD 300 - COLO1'!$B:AW,48,FALSE),"N/A")</f>
        <v>N/A</v>
      </c>
      <c r="BV109" s="92" t="str">
        <f>IFERROR(VLOOKUP($B109,'LOD 300 - COLO1'!$B:AZ,51,FALSE),"N/A")</f>
        <v>N/A</v>
      </c>
      <c r="BW109" s="92" t="str">
        <f>IFERROR(VLOOKUP($B109,'LOD 300 - COLO1'!$B:BC,54,FALSE),"N/A")</f>
        <v>N/A</v>
      </c>
      <c r="BX109" s="94" t="str">
        <f>IFERROR(VLOOKUP($B109,'LOD 300 - COLO1'!$B:BF,57,FALSE),"N/A")</f>
        <v>N/A</v>
      </c>
      <c r="BY109" s="94" t="str">
        <f>IFERROR(VLOOKUP($B109,'LOD 300 - COLO1'!$B:BI,60,FALSE),"N/A")</f>
        <v>N/A</v>
      </c>
      <c r="BZ109" s="95" t="str">
        <f>IFERROR(VLOOKUP($B109,'LOD 300 - COLO1'!$B:BL,63,FALSE),"N/A")</f>
        <v>N/A</v>
      </c>
      <c r="CA109" s="86" t="str">
        <f>IFERROR(VLOOKUP($B109,'LOD 300 - COLO1'!$B:BO,66,FALSE),"N/A")</f>
        <v>N/A</v>
      </c>
      <c r="CB109" s="86" t="str">
        <f>IFERROR(VLOOKUP($B109,'LOD 300 - COLO1'!$B:BR,69,FALSE),"N/A")</f>
        <v>N/A</v>
      </c>
      <c r="CC109" s="86" t="str">
        <f>IFERROR(VLOOKUP($B109,'LOD 300 - COLO1'!$B:BU,72,FALSE),"N/A")</f>
        <v>N/A</v>
      </c>
      <c r="CD109" s="86" t="str">
        <f>IFERROR(VLOOKUP($B109,'LOD 300 - COLO1'!$B:BX,75,FALSE),"N/A")</f>
        <v>N/A</v>
      </c>
      <c r="CE109" s="86" t="str">
        <f>IFERROR(VLOOKUP($B109,'LOD 300 - COLO1'!$B:CA,78,FALSE),"N/A")</f>
        <v>N/A</v>
      </c>
      <c r="CF109" s="87" t="str">
        <f>IFERROR(VLOOKUP($B109,'LOD 300 - COLO1'!$B:CD,81,FALSE),"N/A")</f>
        <v>N/A</v>
      </c>
      <c r="CG109" s="86" t="str">
        <f>IFERROR(VLOOKUP($B109,'LOD 300 - COLO1'!$B:CG,84,FALSE),"N/A")</f>
        <v>N/A</v>
      </c>
      <c r="CH109" s="87" t="str">
        <f>IFERROR(VLOOKUP($B109,'LOD 300 - COLO1'!$B:CJ,87,FALSE),"N/A")</f>
        <v>N/A</v>
      </c>
      <c r="CI109" s="88" t="str">
        <f>IFERROR(VLOOKUP($B109,'LOD 300 - COLO1'!$B:CM,90,FALSE),"N/A")</f>
        <v>N/A</v>
      </c>
      <c r="CJ109" s="88" t="str">
        <f>IFERROR(VLOOKUP($B109,'LOD 300 - COLO1'!$B:CP,93,FALSE),"N/A")</f>
        <v>N/A</v>
      </c>
      <c r="CK109" s="88" t="str">
        <f>IFERROR(VLOOKUP($B109,'LOD 300 - COLO1'!$B:CS,96,FALSE),"N/A")</f>
        <v>N/A</v>
      </c>
      <c r="CL109" s="88" t="str">
        <f>IFERROR(VLOOKUP($B109,'LOD 300 - COLO1'!$B:CV,99,FALSE),"N/A")</f>
        <v>N/A</v>
      </c>
      <c r="CM109" s="88" t="str">
        <f>IFERROR(VLOOKUP($B109,'LOD 300 - COLO1'!$B:CY,102,FALSE),"N/A")</f>
        <v>N/A</v>
      </c>
      <c r="CN109" s="89" t="str">
        <f>IFERROR(VLOOKUP($B109,'LOD 300 - COLO1'!$B:DB,105,FALSE),"N/A")</f>
        <v>N/A</v>
      </c>
      <c r="CO109" s="87" t="str">
        <f>IFERROR(VLOOKUP($B109,'LOD 300 - COLO1'!$B:EE,108,FALSE),"N/A")</f>
        <v>N/A</v>
      </c>
      <c r="CP109" s="87" t="str">
        <f>IFERROR(VLOOKUP($B109,'LOD 300 - COLO1'!$B:EH,111,FALSE),"N/A")</f>
        <v>N/A</v>
      </c>
      <c r="CQ109" s="87" t="str">
        <f>IFERROR(VLOOKUP($B109,'LOD 300 - COLO1'!$B:EK,114,FALSE),"N/A")</f>
        <v>N/A</v>
      </c>
      <c r="CR109" s="87" t="str">
        <f>IFERROR(VLOOKUP($B109,'LOD 300 - COLO1'!$B:EN,117,FALSE),"N/A")</f>
        <v>N/A</v>
      </c>
      <c r="CS109" s="87" t="str">
        <f>IFERROR(VLOOKUP($B109,'LOD 300 - COLO1'!$B:EQ,120,FALSE),"N/A")</f>
        <v>N/A</v>
      </c>
      <c r="CT109" s="87" t="str">
        <f>IFERROR(VLOOKUP($B109,'LOD 300 - COLO1'!$B:ET,123,FALSE),"N/A")</f>
        <v>N/A</v>
      </c>
      <c r="CU109" s="87" t="str">
        <f>IFERROR(VLOOKUP($B109,'LOD 300 - COLO1'!$B:EW,126,FALSE),"N/A")</f>
        <v>N/A</v>
      </c>
      <c r="CV109" s="87" t="str">
        <f>IFERROR(VLOOKUP($B109,'LOD 300 - COLO1'!$B:EZ,129,FALSE),"N/A")</f>
        <v>N/A</v>
      </c>
      <c r="CW109" s="87" t="str">
        <f>IFERROR(VLOOKUP($B109,'LOD 300 - COLO1'!$B:FC,132,FALSE),"N/A")</f>
        <v>N/A</v>
      </c>
      <c r="CX109" s="96" t="str">
        <f>IFERROR(__xludf.DUMMYFUNCTION("IFERROR(
  MAX(FILTER(BK109:CW109, ISNUMBER(BK109:CW109))),
  CW109
)"),"N/A")</f>
        <v>N/A</v>
      </c>
      <c r="CY109" s="104" t="str">
        <f>IFERROR(VLOOKUP($B109,'LOD 300 - COLO2'!$B:S,18,FALSE),"N/A")</f>
        <v>N/A</v>
      </c>
      <c r="CZ109" s="117" t="str">
        <f>IFERROR(VLOOKUP($B109,'LOD 300 - COLO2'!$B:V,21,FALSE),"N/A")</f>
        <v>N/A</v>
      </c>
      <c r="DA109" s="117" t="str">
        <f>IFERROR(VLOOKUP($B109,'LOD 300 - COLO2'!$B:Y,24,FALSE),"N/A")</f>
        <v>N/A</v>
      </c>
      <c r="DB109" s="117" t="str">
        <f>IFERROR(VLOOKUP($B109,'LOD 300 - COLO2'!$B:AB,27,FALSE),"N/A")</f>
        <v>N/A</v>
      </c>
      <c r="DC109" s="117" t="str">
        <f>IFERROR(VLOOKUP($B109,'LOD 300 - COLO2'!$B:AE,30,FALSE),"N/A")</f>
        <v>N/A</v>
      </c>
      <c r="DD109" s="117" t="str">
        <f>IFERROR(VLOOKUP($B109,'LOD 300 - COLO2'!$B:AH,33,FALSE),"N/A")</f>
        <v>N/A</v>
      </c>
      <c r="DE109" s="117" t="str">
        <f>IFERROR(VLOOKUP($B109,'LOD 300 - COLO2'!$B:AK,36,FALSE),"N/A")</f>
        <v>N/A</v>
      </c>
      <c r="DF109" s="117" t="str">
        <f>IFERROR(VLOOKUP($B109,'LOD 300 - COLO2'!$B:AN,39,FALSE),"N/A")</f>
        <v>N/A</v>
      </c>
      <c r="DG109" s="119" t="str">
        <f>IFERROR(VLOOKUP($B109,'LOD 300 - COLO2'!$B:AQ,42,FALSE),"N/A")</f>
        <v>N/A</v>
      </c>
      <c r="DH109" s="87" t="str">
        <f>IFERROR(VLOOKUP($B109,'LOD 300 - COLO2'!$B:AT,45,FALSE),"N/A")</f>
        <v>N/A</v>
      </c>
      <c r="DI109" s="94" t="str">
        <f>IFERROR(VLOOKUP($B109,'LOD 300 - COLO2'!$B:AW,48,FALSE),"N/A")</f>
        <v>N/A</v>
      </c>
      <c r="DJ109" s="95" t="str">
        <f>IFERROR(VLOOKUP($B109,'LOD 300 - COLO2'!$B:AZ,51,FALSE),"N/A")</f>
        <v>N/A</v>
      </c>
      <c r="DK109" s="86" t="str">
        <f>IFERROR(VLOOKUP($B109,'LOD 300 - COLO2'!$B:BC,54,FALSE),"N/A")</f>
        <v>N/A</v>
      </c>
      <c r="DL109" s="86" t="str">
        <f>IFERROR(VLOOKUP($B109,'LOD 300 - COLO2'!$B:BF,57,FALSE),"N/A")</f>
        <v>N/A</v>
      </c>
      <c r="DM109" s="86" t="str">
        <f>IFERROR(VLOOKUP($B109,'LOD 300 - COLO2'!$B:BI,60,FALSE),"N/A")</f>
        <v>N/A</v>
      </c>
      <c r="DN109" s="86" t="str">
        <f>IFERROR(VLOOKUP($B109,'LOD 300 - COLO2'!$B:BL,63,FALSE),"N/A")</f>
        <v>N/A</v>
      </c>
      <c r="DO109" s="86" t="str">
        <f>IFERROR(VLOOKUP($B109,'LOD 300 - COLO2'!$B:BO,66,FALSE),"N/A")</f>
        <v>N/A</v>
      </c>
      <c r="DP109" s="87" t="str">
        <f>IFERROR(VLOOKUP($B109,'LOD 300 - COLO2'!$B:BR,69,FALSE),"N/A")</f>
        <v>N/A</v>
      </c>
      <c r="DQ109" s="87" t="str">
        <f>IFERROR(VLOOKUP($B109,'LOD 300 - COLO2'!$B:BU,72,FALSE),"N/A")</f>
        <v>N/A</v>
      </c>
      <c r="DR109" s="87" t="str">
        <f>IFERROR(VLOOKUP($B109,'LOD 300 - COLO2'!$B:BX,75,FALSE),"N/A")</f>
        <v>N/A</v>
      </c>
      <c r="DS109" s="98" t="str">
        <f>IFERROR(VLOOKUP($B109,'LOD 300 - COLO2'!$B:CA,78,FALSE),"N/A")</f>
        <v>N/A</v>
      </c>
      <c r="DT109" s="98" t="str">
        <f>IFERROR(VLOOKUP($B109,'LOD 300 - COLO2'!$B:CD,81,FALSE),"N/A")</f>
        <v>N/A</v>
      </c>
      <c r="DU109" s="98" t="str">
        <f>IFERROR(VLOOKUP($B109,'LOD 300 - COLO2'!$B:CG,84,FALSE),"N/A")</f>
        <v>N/A</v>
      </c>
      <c r="DV109" s="98" t="str">
        <f>IFERROR(VLOOKUP($B109,'LOD 300 - COLO2'!$B:CJ,87,FALSE),"N/A")</f>
        <v>N/A</v>
      </c>
      <c r="DW109" s="98" t="str">
        <f>IFERROR(VLOOKUP($B109,'LOD 300 - COLO2'!$B:CM,90,FALSE),"N/A")</f>
        <v>N/A</v>
      </c>
      <c r="DX109" s="98" t="str">
        <f>IFERROR(VLOOKUP($B109,'LOD 300 - COLO2'!$B:CP,93,FALSE),"N/A")</f>
        <v>N/A</v>
      </c>
      <c r="DY109" s="87" t="str">
        <f>IFERROR(VLOOKUP($B109,'LOD 300 - COLO2'!$B:CS,96,FALSE),"N/A")</f>
        <v>N/A</v>
      </c>
      <c r="DZ109" s="87" t="str">
        <f>IFERROR(VLOOKUP($B109,'LOD 300 - COLO2'!$B:CV,99,FALSE),"N/A")</f>
        <v>N/A</v>
      </c>
      <c r="EA109" s="87" t="str">
        <f>IFERROR(VLOOKUP($B109,'LOD 300 - COLO2'!$B:DB,105,FALSE),"N/A")</f>
        <v>N/A</v>
      </c>
      <c r="EB109" s="87" t="str">
        <f>IFERROR(VLOOKUP($B109,'LOD 300 - COLO2'!$B:DB,105,FALSE),"N/A")</f>
        <v>N/A</v>
      </c>
      <c r="EC109" s="87" t="str">
        <f>IFERROR(VLOOKUP($B109,'LOD 300 - COLO2'!$B:DE,108,FALSE),"N/A")</f>
        <v>N/A</v>
      </c>
      <c r="ED109" s="87" t="str">
        <f>IFERROR(VLOOKUP($B109,'LOD 300 - COLO2'!$B:DH,111,FALSE),"N/A")</f>
        <v>N/A</v>
      </c>
      <c r="EE109" s="87" t="str">
        <f>IFERROR(VLOOKUP($B109,'LOD 300 - COLO2'!$B:DK,114,FALSE),"N/A")</f>
        <v>N/A</v>
      </c>
      <c r="EF109" s="87" t="str">
        <f>IFERROR(VLOOKUP($B109,'LOD 300 - COLO2'!$B:DN,117,FALSE),"N/A")</f>
        <v>N/A</v>
      </c>
      <c r="EG109" s="87" t="str">
        <f>IFERROR(VLOOKUP($B109,'LOD 300 - COLO2'!$B:DQ,120,FALSE),"N/A")</f>
        <v>N/A</v>
      </c>
      <c r="EH109" s="99" t="str">
        <f>IFERROR(__xludf.DUMMYFUNCTION("IFERROR(
  MAX(FILTER(CZ109:EG109, ISNUMBER(CZ109:EG109))),
  EG109
)"),"N/A")</f>
        <v>N/A</v>
      </c>
      <c r="EI109" s="100" t="str">
        <f>IFERROR(VLOOKUP($B109,'LOD 300 - COLO3'!$B:R,17,FALSE),"N/A")</f>
        <v>N/A</v>
      </c>
      <c r="EJ109" s="101" t="str">
        <f>IFERROR(VLOOKUP($B109,'LOD 300 - COLO3'!$B:U,20,FALSE),"N/A")</f>
        <v>N/A</v>
      </c>
      <c r="EK109" s="101" t="str">
        <f>IFERROR(VLOOKUP($B109,'LOD 300 - COLO3'!$B:X,23,FALSE),"N/A")</f>
        <v>N/A</v>
      </c>
      <c r="EL109" s="101" t="str">
        <f>IFERROR(VLOOKUP($B109,'LOD 300 - COLO3'!$B:AA,26,FALSE),"N/A")</f>
        <v>N/A</v>
      </c>
      <c r="EM109" s="101" t="str">
        <f>IFERROR(VLOOKUP($B109,'LOD 300 - COLO3'!$B:AD,29,FALSE),"N/A")</f>
        <v>N/A</v>
      </c>
      <c r="EN109" s="101" t="str">
        <f>IFERROR(VLOOKUP($B109,'LOD 300 - COLO3'!$B:AG,32,FALSE),"N/A")</f>
        <v>N/A</v>
      </c>
      <c r="EO109" s="102" t="str">
        <f>IFERROR(VLOOKUP($B109,'LOD 300 - COLO3'!$B:AJ,35,FALSE),"N/A")</f>
        <v>N/A</v>
      </c>
      <c r="EP109" s="100" t="str">
        <f>IFERROR(VLOOKUP($B109,'LOD 300 - COLO3'!$B:AM,38,FALSE),"N/A")</f>
        <v>N/A</v>
      </c>
      <c r="EQ109" s="100" t="str">
        <f>IFERROR(VLOOKUP($B109,'LOD 300 - COLO3'!$B:AP,41,FALSE),"N/A")</f>
        <v>N/A</v>
      </c>
      <c r="ER109" s="100" t="str">
        <f>IFERROR(VLOOKUP($B109,'LOD 300 - COLO3'!$B:AS,44,FALSE),"N/A")</f>
        <v>N/A</v>
      </c>
      <c r="ES109" s="100" t="str">
        <f>IFERROR(VLOOKUP($B109,'LOD 300 - COLO3'!$B:AV,47,FALSE),"N/A")</f>
        <v>N/A</v>
      </c>
      <c r="ET109" s="100" t="str">
        <f>IFERROR(VLOOKUP($B109,'LOD 300 - COLO3'!$B:AY,50,FALSE),"N/A")</f>
        <v>N/A</v>
      </c>
      <c r="EU109" s="100" t="str">
        <f>IFERROR(VLOOKUP($B109,'LOD 300 - COLO3'!$B:BB,53,FALSE),"N/A")</f>
        <v>N/A</v>
      </c>
      <c r="EV109" s="100" t="str">
        <f>IFERROR(VLOOKUP($B109,'LOD 300 - COLO3'!$B:BE,56,FALSE),"N/A")</f>
        <v>N/A</v>
      </c>
      <c r="EW109" s="100" t="str">
        <f>IFERROR(VLOOKUP($B109,'LOD 300 - COLO3'!$B:BL,59,FALSE),"N/A")</f>
        <v>N/A</v>
      </c>
      <c r="EX109" s="100" t="str">
        <f>IFERROR(VLOOKUP($B109,'LOD 300 - COLO3'!$B:BO,62,FALSE),"N/A")</f>
        <v>N/A</v>
      </c>
      <c r="EY109" s="103" t="str">
        <f>IFERROR(__xludf.DUMMYFUNCTION("IFERROR(
  MAX(FILTER(EI109:EX109, ISNUMBER(EI109:EX109))),
  EX109
)"),"N/A")</f>
        <v>N/A</v>
      </c>
      <c r="EZ109" s="104">
        <f>IFERROR(VLOOKUP($B109,'LOD 300 - COLO4'!$B:BT,17,FALSE),"N/A")</f>
        <v>0</v>
      </c>
      <c r="FA109" s="103">
        <f>IFERROR(__xludf.DUMMYFUNCTION("IFERROR(
  MAX(FILTER(EZ109, ISNUMBER(EZ109))),
  EZ109
)"),0.0)</f>
        <v>0</v>
      </c>
      <c r="FB109" s="121" t="str">
        <f>IFERROR(VLOOKUP($B109,'LOD 300 - SITE'!$B:S,18,FALSE),"N/A")</f>
        <v>N/A</v>
      </c>
      <c r="FC109" s="122" t="str">
        <f>IFERROR(VLOOKUP($B109,'LOD 300 - SITE'!$B:V,21,FALSE),"N/A")</f>
        <v>N/A</v>
      </c>
      <c r="FD109" s="122" t="str">
        <f>IFERROR(VLOOKUP($B109,'LOD 300 - SITE'!$B:Y,24,FALSE),"N/A")</f>
        <v>N/A</v>
      </c>
      <c r="FE109" s="122" t="str">
        <f>IFERROR(VLOOKUP($B109,'LOD 300 - SITE'!$B:AB,27,FALSE),"N/A")</f>
        <v>N/A</v>
      </c>
      <c r="FF109" s="122" t="str">
        <f>IFERROR(VLOOKUP($B109,'LOD 300 - SITE'!$B:AE,30,FALSE),"N/A")</f>
        <v>N/A</v>
      </c>
      <c r="FG109" s="122" t="str">
        <f>IFERROR(VLOOKUP($B109,'LOD 300 - SITE'!$B:AH,33,FALSE),"N/A")</f>
        <v>N/A</v>
      </c>
      <c r="FH109" s="122" t="str">
        <f>IFERROR(VLOOKUP($B109,'LOD 300 - SITE'!$B:AK,36,FALSE),"N/A")</f>
        <v>N/A</v>
      </c>
      <c r="FI109" s="122" t="str">
        <f>IFERROR(VLOOKUP($B109,'LOD 300 - SITE'!$B:AN,39,FALSE),"N/A")</f>
        <v>N/A</v>
      </c>
      <c r="FJ109" s="122" t="str">
        <f>IFERROR(VLOOKUP($B109,'LOD 300 - SITE'!$B:AQ,42,FALSE),"N/A")</f>
        <v>N/A</v>
      </c>
      <c r="FK109" s="122" t="str">
        <f>IFERROR(VLOOKUP($B109,'LOD 300 - SITE'!$B:AT,45,FALSE),"N/A")</f>
        <v>N/A</v>
      </c>
      <c r="FL109" s="123" t="str">
        <f>IFERROR(VLOOKUP($B109,'LOD 300 - SITE'!$B:AW,48,FALSE),"N/A")</f>
        <v>N/A</v>
      </c>
      <c r="FM109" s="87" t="str">
        <f>IFERROR(VLOOKUP($B109,'LOD 300 - SITE'!$B:AZ,51,FALSE),"N/A")</f>
        <v>N/A</v>
      </c>
      <c r="FN109" s="94" t="str">
        <f>IFERROR(VLOOKUP($B109,'LOD 300 - SITE'!$B:BC,54,FALSE),"N/A")</f>
        <v>N/A</v>
      </c>
      <c r="FO109" s="95" t="str">
        <f>IFERROR(VLOOKUP($B109,'LOD 300 - SITE'!$B:BF,57,FALSE),"N/A")</f>
        <v>N/A</v>
      </c>
      <c r="FP109" s="86" t="str">
        <f>IFERROR(VLOOKUP($B109,'LOD 300 - SITE'!$B:BI,60,FALSE),"N/A")</f>
        <v>N/A</v>
      </c>
      <c r="FQ109" s="86" t="str">
        <f>IFERROR(VLOOKUP($B109,'LOD 300 - SITE'!$B:BL,63,FALSE),"N/A")</f>
        <v>N/A</v>
      </c>
      <c r="FR109" s="86" t="str">
        <f>IFERROR(VLOOKUP($B109,'LOD 300 - SITE'!$B:BO,66,FALSE),"N/A")</f>
        <v>N/A</v>
      </c>
      <c r="FS109" s="86" t="str">
        <f>IFERROR(VLOOKUP($B109,'LOD 300 - SITE'!$B:BR,69,FALSE),"N/A")</f>
        <v>N/A</v>
      </c>
      <c r="FT109" s="86" t="str">
        <f>IFERROR(VLOOKUP($B109,'LOD 300 - SITE'!$B:BU,72,FALSE),"N/A")</f>
        <v>N/A</v>
      </c>
      <c r="FU109" s="86" t="str">
        <f>IFERROR(VLOOKUP($B109,'LOD 300 - SITE'!$B:BX,75,FALSE),"N/A")</f>
        <v>N/A</v>
      </c>
      <c r="FV109" s="86" t="str">
        <f>IFERROR(VLOOKUP($B109,'LOD 300 - SITE'!$B:CA,78,FALSE),"N/A")</f>
        <v>N/A</v>
      </c>
      <c r="FW109" s="87" t="str">
        <f>IFERROR(VLOOKUP($B109,'LOD 300 - SITE'!$B:CD,81,FALSE),"N/A")</f>
        <v>N/A</v>
      </c>
      <c r="FX109" s="108" t="str">
        <f>IFERROR(VLOOKUP($B109,'LOD 300 - SITE'!$B:CG,84,FALSE),"N/A")</f>
        <v>N/A</v>
      </c>
      <c r="FY109" s="108" t="str">
        <f>IFERROR(VLOOKUP($B109,'LOD 300 - SITE'!$B:CJ,87,FALSE),"N/A")</f>
        <v>N/A</v>
      </c>
      <c r="FZ109" s="108" t="str">
        <f>IFERROR(VLOOKUP($B109,'LOD 300 - SITE'!$B:CM,90,FALSE),"N/A")</f>
        <v>N/A</v>
      </c>
      <c r="GA109" s="108" t="str">
        <f>IFERROR(VLOOKUP($B109,'LOD 300 - SITE'!$B:CP,93,FALSE),"N/A")</f>
        <v>N/A</v>
      </c>
      <c r="GB109" s="108" t="str">
        <f>IFERROR(VLOOKUP($B109,'LOD 300 - SITE'!$B:CS,96,FALSE),"N/A")</f>
        <v>N/A</v>
      </c>
      <c r="GC109" s="109" t="str">
        <f>IFERROR(VLOOKUP($B109,'LOD 300 - SITE'!$B:CV,99,FALSE),"N/A")</f>
        <v>N/A</v>
      </c>
      <c r="GD109" s="87" t="str">
        <f>IFERROR(VLOOKUP($B109,'LOD 300 - SITE'!$B:CY,102,FALSE),"N/A")</f>
        <v>N/A</v>
      </c>
      <c r="GE109" s="87" t="str">
        <f>IFERROR(VLOOKUP($B109,'LOD 300 - SITE'!$B:DB,105,FALSE),"N/A")</f>
        <v>N/A</v>
      </c>
      <c r="GF109" s="87" t="str">
        <f>IFERROR(VLOOKUP($B109,'LOD 300 - SITE'!$B:DE,108,FALSE),"N/A")</f>
        <v>N/A</v>
      </c>
      <c r="GG109" s="87" t="str">
        <f>IFERROR(VLOOKUP($B109,'LOD 300 - SITE'!$B:DH,111,FALSE),"N/A")</f>
        <v>N/A</v>
      </c>
      <c r="GH109" s="87" t="str">
        <f>IFERROR(VLOOKUP($B109,'LOD 300 - SITE'!$B:DK,114,FALSE),"N/A")</f>
        <v>N/A</v>
      </c>
      <c r="GI109" s="87" t="str">
        <f>IFERROR(VLOOKUP($B109,'LOD 300 - SITE'!$B:DN,117,FALSE),"N/A")</f>
        <v>N/A</v>
      </c>
      <c r="GJ109" s="87" t="str">
        <f>IFERROR(VLOOKUP($B109,'LOD 300 - SITE'!$B:DQ,120,FALSE),"N/A")</f>
        <v>N/A</v>
      </c>
      <c r="GK109" s="87" t="str">
        <f>IFERROR(VLOOKUP($B109,'LOD 300 - SITE'!$B:DT,123,FALSE),"N/A")</f>
        <v>N/A</v>
      </c>
      <c r="GL109" s="87" t="str">
        <f>IFERROR(VLOOKUP($B109,'LOD 300 - SITE'!$B:DW,126,FALSE),"N/A")</f>
        <v>N/A</v>
      </c>
      <c r="GM109" s="110" t="str">
        <f>IFERROR(__xludf.DUMMYFUNCTION("IFERROR(
  MAX(FILTER(FB109:GL109, ISNUMBER(FB109:GL109))),
  GL109
)"),"N/A")</f>
        <v>N/A</v>
      </c>
      <c r="GN109" s="111"/>
      <c r="GO109" s="111"/>
      <c r="GP109" s="111"/>
    </row>
    <row r="110" ht="15.0" customHeight="1" outlineLevel="1">
      <c r="A110" s="60">
        <v>113.0</v>
      </c>
      <c r="B110" s="140" t="s">
        <v>327</v>
      </c>
      <c r="C110" s="70" t="s">
        <v>327</v>
      </c>
      <c r="D110" s="71" t="s">
        <v>245</v>
      </c>
      <c r="E110" s="146" t="s">
        <v>317</v>
      </c>
      <c r="F110" s="13">
        <v>1125.0</v>
      </c>
      <c r="G110" s="72" t="s">
        <v>317</v>
      </c>
      <c r="H110" s="139">
        <v>1125.0</v>
      </c>
      <c r="I110" s="74" t="str">
        <f>IFERROR(VLOOKUP(C107:C249,'R22 RELATÓRIO ACC'!B:F,5,FALSE),"NOT PUBLISHED")</f>
        <v>V6</v>
      </c>
      <c r="J110" s="74" t="str">
        <f>IFERROR(VLOOKUP(C107:C249,'R22 RELATÓRIO ACC'!B:P,15,FALSE),"NOT PUBLISHED")</f>
        <v>11/02/2026</v>
      </c>
      <c r="K110" s="141" t="str">
        <f>IFERROR(VLOOKUP(B107:B297,'RELATÓRIO ACC'!B:F,5,FALSE),"NOT PUBLISHED")</f>
        <v>V1</v>
      </c>
      <c r="L110" s="142" t="str">
        <f>IFERROR(VLOOKUP(B107:B297,'RELATÓRIO ACC'!B:P,15,FALSE),"NOT PUBLISHED")</f>
        <v>21/05/2026</v>
      </c>
      <c r="M110" s="76" t="str">
        <f>IF(OR($D110="UTLS",$D110="GUAR",$D110="STIR",$D110="PUMP",$D110="SITE"),
   VLOOKUP($B110,'LOD 300 - SITE'!B:M,12,FALSE),
   VLOOKUP($B110,'LOD 300 - ADMN'!B:M,12,FALSE)
)</f>
        <v>V4</v>
      </c>
      <c r="N110" s="80">
        <f>IF(OR($D110="UTLS",$D110="GUAR",$D110="STIR",$D110="PUMP",$D110="SITE"),
   VLOOKUP($B110,'LOD 300 - SITE'!B:N,13,FALSE),
   VLOOKUP($B110,'LOD 300 - ADMN'!B:N,13,FALSE)
)</f>
        <v>45856</v>
      </c>
      <c r="O110" s="114" t="str">
        <f>IF(OR($D110="UTLS",$D110="GUAR",$D110="STIR",$D110="PUMP",$D110="SITE"),
   VLOOKUP($B110,'LOD 300 - SITE'!B:O,14,FALSE),
   VLOOKUP($B110,'LOD 300 - ADMN'!B:O,14,FALSE)
)</f>
        <v>R22</v>
      </c>
      <c r="P110" s="79" t="str">
        <f>IF(OR($D110="C345",$D110="C12A",$D110="DATA"),
   VLOOKUP($B110,'LOD 300 - COLO3'!B:M,12,FALSE),"N/A")</f>
        <v>N/A</v>
      </c>
      <c r="Q110" s="76" t="str">
        <f>IF(OR($D110="C345",$D110="C12A",$D110="DATA"),
   VLOOKUP($B110,'LOD 300 - COLO3'!B:N,13,FALSE),"N/A")</f>
        <v>N/A</v>
      </c>
      <c r="R110" s="76" t="str">
        <f>IF(OR($D110="C345",$D110="C12A",$D110="DATA"),
   VLOOKUP($B110,'LOD 300 - COLO3'!B:O,14,FALSE),"N/A")</f>
        <v>N/A</v>
      </c>
      <c r="S110" s="79" t="str">
        <f>IF(OR($D110="C345",$D110="C12A",$D110="DATA"),
   VLOOKUP($B110,'LOD 300 - COLO4'!B:M,12,FALSE),"N/A")</f>
        <v>N/A</v>
      </c>
      <c r="T110" s="76" t="str">
        <f>IF(OR($D110="C345",$D110="C12A",$D110="DATA"),
   VLOOKUP($B110,'LOD 300 - COLO4'!B:T,13,FALSE),"N/A")</f>
        <v>N/A</v>
      </c>
      <c r="U110" s="76" t="str">
        <f>IF(OR($D110="C345",$D110="C12A",$D110="DATA"),
   VLOOKUP($B110,'LOD 300 - COLO4'!B:U,17,FALSE),"N/A")</f>
        <v>N/A</v>
      </c>
      <c r="V110" s="126" t="s">
        <v>102</v>
      </c>
      <c r="W110" s="116" t="str">
        <f>IFERROR(VLOOKUP($B110,'LOD 300 - ADMN'!$B:S,18,FALSE),"N/A")</f>
        <v>N/A</v>
      </c>
      <c r="X110" s="117" t="str">
        <f>IFERROR(VLOOKUP($B110,'LOD 300 - ADMN'!$B:V,21,FALSE),"N/A")</f>
        <v>N/A</v>
      </c>
      <c r="Y110" s="117" t="str">
        <f>IFERROR(VLOOKUP($B110,'LOD 300 - ADMN'!$B:Y,24,FALSE),"N/A")</f>
        <v>N/A</v>
      </c>
      <c r="Z110" s="117" t="str">
        <f>IFERROR(VLOOKUP($B110,'LOD 300 - ADMN'!$B:AB,27,FALSE),"N/A")</f>
        <v>N/A</v>
      </c>
      <c r="AA110" s="117" t="str">
        <f>IFERROR(VLOOKUP($B110,'LOD 300 - ADMN'!$B:AE,30,FALSE),"N/A")</f>
        <v>N/A</v>
      </c>
      <c r="AB110" s="118" t="str">
        <f>IFERROR(VLOOKUP($B110,'LOD 300 - ADMN'!$B:AH,33,FALSE),"N/A")</f>
        <v>N/A</v>
      </c>
      <c r="AC110" s="118" t="str">
        <f>IFERROR(VLOOKUP($B110,'LOD 300 - ADMN'!$B:AK,36,FALSE),"N/A")</f>
        <v>N/A</v>
      </c>
      <c r="AD110" s="117" t="str">
        <f>IFERROR(VLOOKUP($B110,'LOD 300 - ADMN'!$B:AN,39,FALSE),"N/A")</f>
        <v>N/A</v>
      </c>
      <c r="AE110" s="117" t="str">
        <f>IFERROR(VLOOKUP($B110,'LOD 300 - ADMN'!$B:AQ,42,FALSE),"N/A")</f>
        <v>N/A</v>
      </c>
      <c r="AF110" s="117" t="str">
        <f>IFERROR(VLOOKUP($B110,'LOD 300 - ADMN'!$B:AT,45,FALSE),"N/A")</f>
        <v>N/A</v>
      </c>
      <c r="AG110" s="117" t="str">
        <f>IFERROR(VLOOKUP($B110,'LOD 300 - ADMN'!$B:AW,48,FALSE),"N/A")</f>
        <v>N/A</v>
      </c>
      <c r="AH110" s="117" t="str">
        <f>IFERROR(VLOOKUP($B110,'LOD 300 - ADMN'!$B:AZ,51,FALSE),"N/A")</f>
        <v>N/A</v>
      </c>
      <c r="AI110" s="119" t="str">
        <f>IFERROR(VLOOKUP($B110,'LOD 300 - ADMN'!$B:BC,54,FALSE),"N/A")</f>
        <v>N/A</v>
      </c>
      <c r="AJ110" s="86" t="str">
        <f>IFERROR(VLOOKUP($B110,'LOD 300 - ADMN'!$B:BF,57,FALSE),"N/A")</f>
        <v>N/A</v>
      </c>
      <c r="AK110" s="87" t="str">
        <f>IFERROR(VLOOKUP($B110,'LOD 300 - ADMN'!$B:EP,60,FALSE),"N/A")</f>
        <v>N/A</v>
      </c>
      <c r="AL110" s="86" t="str">
        <f>IFERROR(VLOOKUP($B110,'LOD 300 - ADMN'!$B:EQ,63,FALSE),"N/A")</f>
        <v>N/A</v>
      </c>
      <c r="AM110" s="86" t="str">
        <f>IFERROR(VLOOKUP($B110,'LOD 300 - ADMN'!$B:BO,66,FALSE),"N/A")</f>
        <v>N/A</v>
      </c>
      <c r="AN110" s="86" t="str">
        <f>IFERROR(VLOOKUP($B110,'LOD 300 - ADMN'!$B:BR,69,FALSE),"N/A")</f>
        <v>N/A</v>
      </c>
      <c r="AO110" s="86" t="str">
        <f>IFERROR(VLOOKUP($B110,'LOD 300 - ADMN'!$B:BU,72,FALSE),"N/A")</f>
        <v>N/A</v>
      </c>
      <c r="AP110" s="86" t="str">
        <f>IFERROR(VLOOKUP($B110,'LOD 300 - ADMN'!$B:BX,75,FALSE),"N/A")</f>
        <v>N/A</v>
      </c>
      <c r="AQ110" s="86" t="str">
        <f>IFERROR(VLOOKUP($B110,'LOD 300 - ADMN'!$B:CA,78,FALSE),"N/A")</f>
        <v>N/A</v>
      </c>
      <c r="AR110" s="86" t="str">
        <f>IFERROR(VLOOKUP($B110,'LOD 300 - ADMN'!$B:CD,81,FALSE),"N/A")</f>
        <v>N/A</v>
      </c>
      <c r="AS110" s="86" t="str">
        <f>IFERROR(VLOOKUP($B110,'LOD 300 - ADMN'!$B:CG,84,FALSE),"N/A")</f>
        <v>N/A</v>
      </c>
      <c r="AT110" s="86" t="str">
        <f>IFERROR(VLOOKUP($B110,'LOD 300 - ADMN'!$B:CJ,87,FALSE),"N/A")</f>
        <v>N/A</v>
      </c>
      <c r="AU110" s="88" t="str">
        <f>IFERROR(VLOOKUP($B110,'LOD 300 - ADMN'!$B:CM,90,FALSE),"N/A")</f>
        <v>N/A</v>
      </c>
      <c r="AV110" s="88" t="str">
        <f>IFERROR(VLOOKUP($B110,'LOD 300 - ADMN'!$B:CP,93,FALSE),"N/A")</f>
        <v>N/A</v>
      </c>
      <c r="AW110" s="88" t="str">
        <f>IFERROR(VLOOKUP($B110,'LOD 300 - ADMN'!$B:CS,96,FALSE),"N/A")</f>
        <v>N/A</v>
      </c>
      <c r="AX110" s="88" t="str">
        <f>IFERROR(VLOOKUP($B110,'LOD 300 - ADMN'!$B:CV,99,FALSE),"N/A")</f>
        <v>N/A</v>
      </c>
      <c r="AY110" s="88" t="str">
        <f>IFERROR(VLOOKUP($B110,'LOD 300 - ADMN'!$B:CY,102,FALSE),"N/A")</f>
        <v>N/A</v>
      </c>
      <c r="AZ110" s="89" t="str">
        <f>IFERROR(VLOOKUP($B110,'LOD 300 - ADMN'!$B:DB,105,FALSE),"N/A")</f>
        <v>N/A</v>
      </c>
      <c r="BA110" s="87" t="str">
        <f>IFERROR(VLOOKUP($B110,'LOD 300 - ADMN'!$B:DE,108,FALSE),"N/A")</f>
        <v>N/A</v>
      </c>
      <c r="BB110" s="87" t="str">
        <f>IFERROR(VLOOKUP($B110,'LOD 300 - ADMN'!$B:DH,111,FALSE),"N/A")</f>
        <v>N/A</v>
      </c>
      <c r="BC110" s="87" t="str">
        <f>IFERROR(VLOOKUP($B110,'LOD 300 - ADMN'!$B:DK,114,FALSE),"N/A")</f>
        <v>N/A</v>
      </c>
      <c r="BD110" s="87" t="str">
        <f>IFERROR(VLOOKUP($B110,'LOD 300 - ADMN'!$B:DN,117,FALSE),"N/A")</f>
        <v>N/A</v>
      </c>
      <c r="BE110" s="87" t="str">
        <f>IFERROR(VLOOKUP($B110,'LOD 300 - ADMN'!$B:DQ,120,FALSE),"N/A")</f>
        <v>N/A</v>
      </c>
      <c r="BF110" s="87" t="str">
        <f>IFERROR(VLOOKUP($B110,'LOD 300 - ADMN'!$B:DT,123,FALSE),"N/A")</f>
        <v>N/A</v>
      </c>
      <c r="BG110" s="87" t="str">
        <f>IFERROR(VLOOKUP($B110,'LOD 300 - ADMN'!$B:DW,126,FALSE),"N/A")</f>
        <v>N/A</v>
      </c>
      <c r="BH110" s="87" t="str">
        <f>IFERROR(VLOOKUP($B110,'LOD 300 - ADMN'!$B:DZ,129,FALSE),"N/A")</f>
        <v>N/A</v>
      </c>
      <c r="BI110" s="87" t="str">
        <f>IFERROR(VLOOKUP($B110,'LOD 300 - ADMN'!$B:EC,132,FALSE),"N/A")</f>
        <v>N/A</v>
      </c>
      <c r="BJ110" s="90" t="str">
        <f>IFERROR(__xludf.DUMMYFUNCTION("IFERROR(
  MAX(FILTER(X110:BI110, ISNUMBER(X110:BI110))),
  BI110
)"),"N/A")</f>
        <v>N/A</v>
      </c>
      <c r="BK110" s="91" t="str">
        <f>IFERROR(VLOOKUP($B110,'LOD 300 - COLO1'!$B:S,18,FALSE),"N/A")</f>
        <v>N/A</v>
      </c>
      <c r="BL110" s="92" t="str">
        <f>IFERROR(VLOOKUP($B110,'LOD 300 - COLO1'!$B:V,21,FALSE),"N/A")</f>
        <v>N/A</v>
      </c>
      <c r="BM110" s="92" t="str">
        <f>IFERROR(VLOOKUP($B110,'LOD 300 - COLO1'!$B:Y,24,FALSE),"N/A")</f>
        <v>N/A</v>
      </c>
      <c r="BN110" s="92" t="str">
        <f>IFERROR(VLOOKUP($B110,'LOD 300 - COLO1'!$B:AB,27,FALSE),"N/A")</f>
        <v>N/A</v>
      </c>
      <c r="BO110" s="92" t="str">
        <f>IFERROR(VLOOKUP($B110,'LOD 300 - COLO1'!$B:AE,30,FALSE),"N/A")</f>
        <v>N/A</v>
      </c>
      <c r="BP110" s="92" t="str">
        <f>IFERROR(VLOOKUP($B110,'LOD 300 - COLO1'!$B:AH,33,FALSE),"N/A")</f>
        <v>N/A</v>
      </c>
      <c r="BQ110" s="92" t="str">
        <f>IFERROR(VLOOKUP($B110,'LOD 300 - COLO1'!$B:AK,36,FALSE),"N/A")</f>
        <v>N/A</v>
      </c>
      <c r="BR110" s="92" t="str">
        <f>IFERROR(VLOOKUP($B110,'LOD 300 - COLO1'!$B:AN,39,FALSE),"N/A")</f>
        <v>N/A</v>
      </c>
      <c r="BS110" s="92" t="str">
        <f>IFERROR(VLOOKUP($B110,'LOD 300 - COLO1'!$B:AQ,42,FALSE),"N/A")</f>
        <v>N/A</v>
      </c>
      <c r="BT110" s="92" t="str">
        <f>IFERROR(VLOOKUP($B110,'LOD 300 - COLO1'!$B:AT,45,FALSE),"N/A")</f>
        <v>N/A</v>
      </c>
      <c r="BU110" s="92" t="str">
        <f>IFERROR(VLOOKUP($B110,'LOD 300 - COLO1'!$B:AW,48,FALSE),"N/A")</f>
        <v>N/A</v>
      </c>
      <c r="BV110" s="92" t="str">
        <f>IFERROR(VLOOKUP($B110,'LOD 300 - COLO1'!$B:AZ,51,FALSE),"N/A")</f>
        <v>N/A</v>
      </c>
      <c r="BW110" s="92" t="str">
        <f>IFERROR(VLOOKUP($B110,'LOD 300 - COLO1'!$B:BC,54,FALSE),"N/A")</f>
        <v>N/A</v>
      </c>
      <c r="BX110" s="94" t="str">
        <f>IFERROR(VLOOKUP($B110,'LOD 300 - COLO1'!$B:BF,57,FALSE),"N/A")</f>
        <v>N/A</v>
      </c>
      <c r="BY110" s="94" t="str">
        <f>IFERROR(VLOOKUP($B110,'LOD 300 - COLO1'!$B:BI,60,FALSE),"N/A")</f>
        <v>N/A</v>
      </c>
      <c r="BZ110" s="95" t="str">
        <f>IFERROR(VLOOKUP($B110,'LOD 300 - COLO1'!$B:BL,63,FALSE),"N/A")</f>
        <v>N/A</v>
      </c>
      <c r="CA110" s="86" t="str">
        <f>IFERROR(VLOOKUP($B110,'LOD 300 - COLO1'!$B:BO,66,FALSE),"N/A")</f>
        <v>N/A</v>
      </c>
      <c r="CB110" s="86" t="str">
        <f>IFERROR(VLOOKUP($B110,'LOD 300 - COLO1'!$B:BR,69,FALSE),"N/A")</f>
        <v>N/A</v>
      </c>
      <c r="CC110" s="86" t="str">
        <f>IFERROR(VLOOKUP($B110,'LOD 300 - COLO1'!$B:BU,72,FALSE),"N/A")</f>
        <v>N/A</v>
      </c>
      <c r="CD110" s="86" t="str">
        <f>IFERROR(VLOOKUP($B110,'LOD 300 - COLO1'!$B:BX,75,FALSE),"N/A")</f>
        <v>N/A</v>
      </c>
      <c r="CE110" s="86" t="str">
        <f>IFERROR(VLOOKUP($B110,'LOD 300 - COLO1'!$B:CA,78,FALSE),"N/A")</f>
        <v>N/A</v>
      </c>
      <c r="CF110" s="87" t="str">
        <f>IFERROR(VLOOKUP($B110,'LOD 300 - COLO1'!$B:CD,81,FALSE),"N/A")</f>
        <v>N/A</v>
      </c>
      <c r="CG110" s="86" t="str">
        <f>IFERROR(VLOOKUP($B110,'LOD 300 - COLO1'!$B:CG,84,FALSE),"N/A")</f>
        <v>N/A</v>
      </c>
      <c r="CH110" s="87" t="str">
        <f>IFERROR(VLOOKUP($B110,'LOD 300 - COLO1'!$B:CJ,87,FALSE),"N/A")</f>
        <v>N/A</v>
      </c>
      <c r="CI110" s="88" t="str">
        <f>IFERROR(VLOOKUP($B110,'LOD 300 - COLO1'!$B:CM,90,FALSE),"N/A")</f>
        <v>N/A</v>
      </c>
      <c r="CJ110" s="88" t="str">
        <f>IFERROR(VLOOKUP($B110,'LOD 300 - COLO1'!$B:CP,93,FALSE),"N/A")</f>
        <v>N/A</v>
      </c>
      <c r="CK110" s="88" t="str">
        <f>IFERROR(VLOOKUP($B110,'LOD 300 - COLO1'!$B:CS,96,FALSE),"N/A")</f>
        <v>N/A</v>
      </c>
      <c r="CL110" s="88" t="str">
        <f>IFERROR(VLOOKUP($B110,'LOD 300 - COLO1'!$B:CV,99,FALSE),"N/A")</f>
        <v>N/A</v>
      </c>
      <c r="CM110" s="88" t="str">
        <f>IFERROR(VLOOKUP($B110,'LOD 300 - COLO1'!$B:CY,102,FALSE),"N/A")</f>
        <v>N/A</v>
      </c>
      <c r="CN110" s="89" t="str">
        <f>IFERROR(VLOOKUP($B110,'LOD 300 - COLO1'!$B:DB,105,FALSE),"N/A")</f>
        <v>N/A</v>
      </c>
      <c r="CO110" s="87" t="str">
        <f>IFERROR(VLOOKUP($B110,'LOD 300 - COLO1'!$B:EE,108,FALSE),"N/A")</f>
        <v>N/A</v>
      </c>
      <c r="CP110" s="87" t="str">
        <f>IFERROR(VLOOKUP($B110,'LOD 300 - COLO1'!$B:EH,111,FALSE),"N/A")</f>
        <v>N/A</v>
      </c>
      <c r="CQ110" s="87" t="str">
        <f>IFERROR(VLOOKUP($B110,'LOD 300 - COLO1'!$B:EK,114,FALSE),"N/A")</f>
        <v>N/A</v>
      </c>
      <c r="CR110" s="87" t="str">
        <f>IFERROR(VLOOKUP($B110,'LOD 300 - COLO1'!$B:EN,117,FALSE),"N/A")</f>
        <v>N/A</v>
      </c>
      <c r="CS110" s="87" t="str">
        <f>IFERROR(VLOOKUP($B110,'LOD 300 - COLO1'!$B:EQ,120,FALSE),"N/A")</f>
        <v>N/A</v>
      </c>
      <c r="CT110" s="87" t="str">
        <f>IFERROR(VLOOKUP($B110,'LOD 300 - COLO1'!$B:ET,123,FALSE),"N/A")</f>
        <v>N/A</v>
      </c>
      <c r="CU110" s="87" t="str">
        <f>IFERROR(VLOOKUP($B110,'LOD 300 - COLO1'!$B:EW,126,FALSE),"N/A")</f>
        <v>N/A</v>
      </c>
      <c r="CV110" s="87" t="str">
        <f>IFERROR(VLOOKUP($B110,'LOD 300 - COLO1'!$B:EZ,129,FALSE),"N/A")</f>
        <v>N/A</v>
      </c>
      <c r="CW110" s="87" t="str">
        <f>IFERROR(VLOOKUP($B110,'LOD 300 - COLO1'!$B:FC,132,FALSE),"N/A")</f>
        <v>N/A</v>
      </c>
      <c r="CX110" s="96" t="str">
        <f>IFERROR(__xludf.DUMMYFUNCTION("IFERROR(
  MAX(FILTER(BK110:CW110, ISNUMBER(BK110:CW110))),
  CW110
)"),"N/A")</f>
        <v>N/A</v>
      </c>
      <c r="CY110" s="104" t="str">
        <f>IFERROR(VLOOKUP($B110,'LOD 300 - COLO2'!$B:S,18,FALSE),"N/A")</f>
        <v>N/A</v>
      </c>
      <c r="CZ110" s="117" t="str">
        <f>IFERROR(VLOOKUP($B110,'LOD 300 - COLO2'!$B:V,21,FALSE),"N/A")</f>
        <v>N/A</v>
      </c>
      <c r="DA110" s="117" t="str">
        <f>IFERROR(VLOOKUP($B110,'LOD 300 - COLO2'!$B:Y,24,FALSE),"N/A")</f>
        <v>N/A</v>
      </c>
      <c r="DB110" s="117" t="str">
        <f>IFERROR(VLOOKUP($B110,'LOD 300 - COLO2'!$B:AB,27,FALSE),"N/A")</f>
        <v>N/A</v>
      </c>
      <c r="DC110" s="117" t="str">
        <f>IFERROR(VLOOKUP($B110,'LOD 300 - COLO2'!$B:AE,30,FALSE),"N/A")</f>
        <v>N/A</v>
      </c>
      <c r="DD110" s="117" t="str">
        <f>IFERROR(VLOOKUP($B110,'LOD 300 - COLO2'!$B:AH,33,FALSE),"N/A")</f>
        <v>N/A</v>
      </c>
      <c r="DE110" s="117" t="str">
        <f>IFERROR(VLOOKUP($B110,'LOD 300 - COLO2'!$B:AK,36,FALSE),"N/A")</f>
        <v>N/A</v>
      </c>
      <c r="DF110" s="117" t="str">
        <f>IFERROR(VLOOKUP($B110,'LOD 300 - COLO2'!$B:AN,39,FALSE),"N/A")</f>
        <v>N/A</v>
      </c>
      <c r="DG110" s="119" t="str">
        <f>IFERROR(VLOOKUP($B110,'LOD 300 - COLO2'!$B:AQ,42,FALSE),"N/A")</f>
        <v>N/A</v>
      </c>
      <c r="DH110" s="87" t="str">
        <f>IFERROR(VLOOKUP($B110,'LOD 300 - COLO2'!$B:AT,45,FALSE),"N/A")</f>
        <v>N/A</v>
      </c>
      <c r="DI110" s="94" t="str">
        <f>IFERROR(VLOOKUP($B110,'LOD 300 - COLO2'!$B:AW,48,FALSE),"N/A")</f>
        <v>N/A</v>
      </c>
      <c r="DJ110" s="95" t="str">
        <f>IFERROR(VLOOKUP($B110,'LOD 300 - COLO2'!$B:AZ,51,FALSE),"N/A")</f>
        <v>N/A</v>
      </c>
      <c r="DK110" s="86" t="str">
        <f>IFERROR(VLOOKUP($B110,'LOD 300 - COLO2'!$B:BC,54,FALSE),"N/A")</f>
        <v>N/A</v>
      </c>
      <c r="DL110" s="86" t="str">
        <f>IFERROR(VLOOKUP($B110,'LOD 300 - COLO2'!$B:BF,57,FALSE),"N/A")</f>
        <v>N/A</v>
      </c>
      <c r="DM110" s="86" t="str">
        <f>IFERROR(VLOOKUP($B110,'LOD 300 - COLO2'!$B:BI,60,FALSE),"N/A")</f>
        <v>N/A</v>
      </c>
      <c r="DN110" s="86" t="str">
        <f>IFERROR(VLOOKUP($B110,'LOD 300 - COLO2'!$B:BL,63,FALSE),"N/A")</f>
        <v>N/A</v>
      </c>
      <c r="DO110" s="86" t="str">
        <f>IFERROR(VLOOKUP($B110,'LOD 300 - COLO2'!$B:BO,66,FALSE),"N/A")</f>
        <v>N/A</v>
      </c>
      <c r="DP110" s="87" t="str">
        <f>IFERROR(VLOOKUP($B110,'LOD 300 - COLO2'!$B:BR,69,FALSE),"N/A")</f>
        <v>N/A</v>
      </c>
      <c r="DQ110" s="87" t="str">
        <f>IFERROR(VLOOKUP($B110,'LOD 300 - COLO2'!$B:BU,72,FALSE),"N/A")</f>
        <v>N/A</v>
      </c>
      <c r="DR110" s="87" t="str">
        <f>IFERROR(VLOOKUP($B110,'LOD 300 - COLO2'!$B:BX,75,FALSE),"N/A")</f>
        <v>N/A</v>
      </c>
      <c r="DS110" s="98" t="str">
        <f>IFERROR(VLOOKUP($B110,'LOD 300 - COLO2'!$B:CA,78,FALSE),"N/A")</f>
        <v>N/A</v>
      </c>
      <c r="DT110" s="98" t="str">
        <f>IFERROR(VLOOKUP($B110,'LOD 300 - COLO2'!$B:CD,81,FALSE),"N/A")</f>
        <v>N/A</v>
      </c>
      <c r="DU110" s="98" t="str">
        <f>IFERROR(VLOOKUP($B110,'LOD 300 - COLO2'!$B:CG,84,FALSE),"N/A")</f>
        <v>N/A</v>
      </c>
      <c r="DV110" s="98" t="str">
        <f>IFERROR(VLOOKUP($B110,'LOD 300 - COLO2'!$B:CJ,87,FALSE),"N/A")</f>
        <v>N/A</v>
      </c>
      <c r="DW110" s="98" t="str">
        <f>IFERROR(VLOOKUP($B110,'LOD 300 - COLO2'!$B:CM,90,FALSE),"N/A")</f>
        <v>N/A</v>
      </c>
      <c r="DX110" s="98" t="str">
        <f>IFERROR(VLOOKUP($B110,'LOD 300 - COLO2'!$B:CP,93,FALSE),"N/A")</f>
        <v>N/A</v>
      </c>
      <c r="DY110" s="87" t="str">
        <f>IFERROR(VLOOKUP($B110,'LOD 300 - COLO2'!$B:CS,96,FALSE),"N/A")</f>
        <v>N/A</v>
      </c>
      <c r="DZ110" s="87" t="str">
        <f>IFERROR(VLOOKUP($B110,'LOD 300 - COLO2'!$B:CV,99,FALSE),"N/A")</f>
        <v>N/A</v>
      </c>
      <c r="EA110" s="87" t="str">
        <f>IFERROR(VLOOKUP($B110,'LOD 300 - COLO2'!$B:DB,105,FALSE),"N/A")</f>
        <v>N/A</v>
      </c>
      <c r="EB110" s="87" t="str">
        <f>IFERROR(VLOOKUP($B110,'LOD 300 - COLO2'!$B:DB,105,FALSE),"N/A")</f>
        <v>N/A</v>
      </c>
      <c r="EC110" s="87" t="str">
        <f>IFERROR(VLOOKUP($B110,'LOD 300 - COLO2'!$B:DE,108,FALSE),"N/A")</f>
        <v>N/A</v>
      </c>
      <c r="ED110" s="87" t="str">
        <f>IFERROR(VLOOKUP($B110,'LOD 300 - COLO2'!$B:DH,111,FALSE),"N/A")</f>
        <v>N/A</v>
      </c>
      <c r="EE110" s="87" t="str">
        <f>IFERROR(VLOOKUP($B110,'LOD 300 - COLO2'!$B:DK,114,FALSE),"N/A")</f>
        <v>N/A</v>
      </c>
      <c r="EF110" s="87" t="str">
        <f>IFERROR(VLOOKUP($B110,'LOD 300 - COLO2'!$B:DN,117,FALSE),"N/A")</f>
        <v>N/A</v>
      </c>
      <c r="EG110" s="87" t="str">
        <f>IFERROR(VLOOKUP($B110,'LOD 300 - COLO2'!$B:DQ,120,FALSE),"N/A")</f>
        <v>N/A</v>
      </c>
      <c r="EH110" s="99" t="str">
        <f>IFERROR(__xludf.DUMMYFUNCTION("IFERROR(
  MAX(FILTER(CZ110:EG110, ISNUMBER(CZ110:EG110))),
  EG110
)"),"N/A")</f>
        <v>N/A</v>
      </c>
      <c r="EI110" s="100" t="str">
        <f>IFERROR(VLOOKUP($B110,'LOD 300 - COLO3'!$B:R,17,FALSE),"N/A")</f>
        <v>N/A</v>
      </c>
      <c r="EJ110" s="101" t="str">
        <f>IFERROR(VLOOKUP($B110,'LOD 300 - COLO3'!$B:U,20,FALSE),"N/A")</f>
        <v>N/A</v>
      </c>
      <c r="EK110" s="101" t="str">
        <f>IFERROR(VLOOKUP($B110,'LOD 300 - COLO3'!$B:X,23,FALSE),"N/A")</f>
        <v>N/A</v>
      </c>
      <c r="EL110" s="101" t="str">
        <f>IFERROR(VLOOKUP($B110,'LOD 300 - COLO3'!$B:AA,26,FALSE),"N/A")</f>
        <v>N/A</v>
      </c>
      <c r="EM110" s="101" t="str">
        <f>IFERROR(VLOOKUP($B110,'LOD 300 - COLO3'!$B:AD,29,FALSE),"N/A")</f>
        <v>N/A</v>
      </c>
      <c r="EN110" s="101" t="str">
        <f>IFERROR(VLOOKUP($B110,'LOD 300 - COLO3'!$B:AG,32,FALSE),"N/A")</f>
        <v>N/A</v>
      </c>
      <c r="EO110" s="102" t="str">
        <f>IFERROR(VLOOKUP($B110,'LOD 300 - COLO3'!$B:AJ,35,FALSE),"N/A")</f>
        <v>N/A</v>
      </c>
      <c r="EP110" s="100" t="str">
        <f>IFERROR(VLOOKUP($B110,'LOD 300 - COLO3'!$B:AM,38,FALSE),"N/A")</f>
        <v>N/A</v>
      </c>
      <c r="EQ110" s="100" t="str">
        <f>IFERROR(VLOOKUP($B110,'LOD 300 - COLO3'!$B:AP,41,FALSE),"N/A")</f>
        <v>N/A</v>
      </c>
      <c r="ER110" s="100" t="str">
        <f>IFERROR(VLOOKUP($B110,'LOD 300 - COLO3'!$B:AS,44,FALSE),"N/A")</f>
        <v>N/A</v>
      </c>
      <c r="ES110" s="100" t="str">
        <f>IFERROR(VLOOKUP($B110,'LOD 300 - COLO3'!$B:AV,47,FALSE),"N/A")</f>
        <v>N/A</v>
      </c>
      <c r="ET110" s="100" t="str">
        <f>IFERROR(VLOOKUP($B110,'LOD 300 - COLO3'!$B:AY,50,FALSE),"N/A")</f>
        <v>N/A</v>
      </c>
      <c r="EU110" s="100" t="str">
        <f>IFERROR(VLOOKUP($B110,'LOD 300 - COLO3'!$B:BB,53,FALSE),"N/A")</f>
        <v>N/A</v>
      </c>
      <c r="EV110" s="100" t="str">
        <f>IFERROR(VLOOKUP($B110,'LOD 300 - COLO3'!$B:BE,56,FALSE),"N/A")</f>
        <v>N/A</v>
      </c>
      <c r="EW110" s="100" t="str">
        <f>IFERROR(VLOOKUP($B110,'LOD 300 - COLO3'!$B:BL,59,FALSE),"N/A")</f>
        <v>N/A</v>
      </c>
      <c r="EX110" s="100" t="str">
        <f>IFERROR(VLOOKUP($B110,'LOD 300 - COLO3'!$B:BO,62,FALSE),"N/A")</f>
        <v>N/A</v>
      </c>
      <c r="EY110" s="103" t="str">
        <f>IFERROR(__xludf.DUMMYFUNCTION("IFERROR(
  MAX(FILTER(EI110:EX110, ISNUMBER(EI110:EX110))),
  EX110
)"),"N/A")</f>
        <v>N/A</v>
      </c>
      <c r="EZ110" s="104" t="str">
        <f>IFERROR(VLOOKUP($B110,'LOD 300 - COLO4'!$B:BT,17,FALSE),"N/A")</f>
        <v>N/A</v>
      </c>
      <c r="FA110" s="103" t="str">
        <f>IFERROR(__xludf.DUMMYFUNCTION("IFERROR(
  MAX(FILTER(EZ110, ISNUMBER(EZ110))),
  EZ110
)"),"N/A")</f>
        <v>N/A</v>
      </c>
      <c r="FB110" s="121">
        <f>IFERROR(VLOOKUP($B110,'LOD 300 - SITE'!$B:S,18,FALSE),"N/A")</f>
        <v>0.95</v>
      </c>
      <c r="FC110" s="122">
        <f>IFERROR(VLOOKUP($B110,'LOD 300 - SITE'!$B:V,21,FALSE),"N/A")</f>
        <v>0.99</v>
      </c>
      <c r="FD110" s="122">
        <f>IFERROR(VLOOKUP($B110,'LOD 300 - SITE'!$B:Y,24,FALSE),"N/A")</f>
        <v>1</v>
      </c>
      <c r="FE110" s="122">
        <f>IFERROR(VLOOKUP($B110,'LOD 300 - SITE'!$B:AB,27,FALSE),"N/A")</f>
        <v>1</v>
      </c>
      <c r="FF110" s="122">
        <f>IFERROR(VLOOKUP($B110,'LOD 300 - SITE'!$B:AE,30,FALSE),"N/A")</f>
        <v>1</v>
      </c>
      <c r="FG110" s="122">
        <f>IFERROR(VLOOKUP($B110,'LOD 300 - SITE'!$B:AH,33,FALSE),"N/A")</f>
        <v>1</v>
      </c>
      <c r="FH110" s="122">
        <f>IFERROR(VLOOKUP($B110,'LOD 300 - SITE'!$B:AK,36,FALSE),"N/A")</f>
        <v>1</v>
      </c>
      <c r="FI110" s="122">
        <f>IFERROR(VLOOKUP($B110,'LOD 300 - SITE'!$B:AN,39,FALSE),"N/A")</f>
        <v>1</v>
      </c>
      <c r="FJ110" s="122">
        <f>IFERROR(VLOOKUP($B110,'LOD 300 - SITE'!$B:AQ,42,FALSE),"N/A")</f>
        <v>1</v>
      </c>
      <c r="FK110" s="122">
        <f>IFERROR(VLOOKUP($B110,'LOD 300 - SITE'!$B:AT,45,FALSE),"N/A")</f>
        <v>1</v>
      </c>
      <c r="FL110" s="123">
        <f>IFERROR(VLOOKUP($B110,'LOD 300 - SITE'!$B:AW,48,FALSE),"N/A")</f>
        <v>1</v>
      </c>
      <c r="FM110" s="87">
        <f>IFERROR(VLOOKUP($B110,'LOD 300 - SITE'!$B:AZ,51,FALSE),"N/A")</f>
        <v>1</v>
      </c>
      <c r="FN110" s="94">
        <f>IFERROR(VLOOKUP($B110,'LOD 300 - SITE'!$B:BC,54,FALSE),"N/A")</f>
        <v>1</v>
      </c>
      <c r="FO110" s="95">
        <f>IFERROR(VLOOKUP($B110,'LOD 300 - SITE'!$B:BF,57,FALSE),"N/A")</f>
        <v>1</v>
      </c>
      <c r="FP110" s="86">
        <f>IFERROR(VLOOKUP($B110,'LOD 300 - SITE'!$B:BI,60,FALSE),"N/A")</f>
        <v>1</v>
      </c>
      <c r="FQ110" s="86">
        <f>IFERROR(VLOOKUP($B110,'LOD 300 - SITE'!$B:BL,63,FALSE),"N/A")</f>
        <v>1</v>
      </c>
      <c r="FR110" s="86">
        <f>IFERROR(VLOOKUP($B110,'LOD 300 - SITE'!$B:BO,66,FALSE),"N/A")</f>
        <v>1</v>
      </c>
      <c r="FS110" s="86">
        <f>IFERROR(VLOOKUP($B110,'LOD 300 - SITE'!$B:BR,69,FALSE),"N/A")</f>
        <v>1</v>
      </c>
      <c r="FT110" s="86">
        <f>IFERROR(VLOOKUP($B110,'LOD 300 - SITE'!$B:BU,72,FALSE),"N/A")</f>
        <v>1</v>
      </c>
      <c r="FU110" s="86">
        <f>IFERROR(VLOOKUP($B110,'LOD 300 - SITE'!$B:BX,75,FALSE),"N/A")</f>
        <v>1</v>
      </c>
      <c r="FV110" s="86">
        <f>IFERROR(VLOOKUP($B110,'LOD 300 - SITE'!$B:CA,78,FALSE),"N/A")</f>
        <v>1</v>
      </c>
      <c r="FW110" s="87">
        <f>IFERROR(VLOOKUP($B110,'LOD 300 - SITE'!$B:CD,81,FALSE),"N/A")</f>
        <v>1</v>
      </c>
      <c r="FX110" s="108">
        <f>IFERROR(VLOOKUP($B110,'LOD 300 - SITE'!$B:CG,84,FALSE),"N/A")</f>
        <v>1</v>
      </c>
      <c r="FY110" s="108">
        <f>IFERROR(VLOOKUP($B110,'LOD 300 - SITE'!$B:CJ,87,FALSE),"N/A")</f>
        <v>1</v>
      </c>
      <c r="FZ110" s="108">
        <f>IFERROR(VLOOKUP($B110,'LOD 300 - SITE'!$B:CM,90,FALSE),"N/A")</f>
        <v>1</v>
      </c>
      <c r="GA110" s="108">
        <f>IFERROR(VLOOKUP($B110,'LOD 300 - SITE'!$B:CP,93,FALSE),"N/A")</f>
        <v>1</v>
      </c>
      <c r="GB110" s="108">
        <f>IFERROR(VLOOKUP($B110,'LOD 300 - SITE'!$B:CS,96,FALSE),"N/A")</f>
        <v>1</v>
      </c>
      <c r="GC110" s="109">
        <f>IFERROR(VLOOKUP($B110,'LOD 300 - SITE'!$B:CV,99,FALSE),"N/A")</f>
        <v>1</v>
      </c>
      <c r="GD110" s="87">
        <f>IFERROR(VLOOKUP($B110,'LOD 300 - SITE'!$B:CY,102,FALSE),"N/A")</f>
        <v>1</v>
      </c>
      <c r="GE110" s="87">
        <f>IFERROR(VLOOKUP($B110,'LOD 300 - SITE'!$B:DB,105,FALSE),"N/A")</f>
        <v>1</v>
      </c>
      <c r="GF110" s="87">
        <f>IFERROR(VLOOKUP($B110,'LOD 300 - SITE'!$B:DE,108,FALSE),"N/A")</f>
        <v>1</v>
      </c>
      <c r="GG110" s="87">
        <f>IFERROR(VLOOKUP($B110,'LOD 300 - SITE'!$B:DH,111,FALSE),"N/A")</f>
        <v>1</v>
      </c>
      <c r="GH110" s="87">
        <f>IFERROR(VLOOKUP($B110,'LOD 300 - SITE'!$B:DK,114,FALSE),"N/A")</f>
        <v>1</v>
      </c>
      <c r="GI110" s="87">
        <f>IFERROR(VLOOKUP($B110,'LOD 300 - SITE'!$B:DN,117,FALSE),"N/A")</f>
        <v>1</v>
      </c>
      <c r="GJ110" s="87">
        <f>IFERROR(VLOOKUP($B110,'LOD 300 - SITE'!$B:DQ,120,FALSE),"N/A")</f>
        <v>1</v>
      </c>
      <c r="GK110" s="87">
        <f>IFERROR(VLOOKUP($B110,'LOD 300 - SITE'!$B:DT,123,FALSE),"N/A")</f>
        <v>1</v>
      </c>
      <c r="GL110" s="87">
        <f>IFERROR(VLOOKUP($B110,'LOD 300 - SITE'!$B:DW,126,FALSE),"N/A")</f>
        <v>1</v>
      </c>
      <c r="GM110" s="110">
        <f>IFERROR(__xludf.DUMMYFUNCTION("IFERROR(
  MAX(FILTER(FB110:GL110, ISNUMBER(FB110:GL110))),
  GL110
)"),1.0)</f>
        <v>1</v>
      </c>
      <c r="GN110" s="68"/>
      <c r="GO110" s="68"/>
      <c r="GP110" s="68"/>
    </row>
    <row r="111" outlineLevel="1">
      <c r="A111" s="60">
        <v>114.0</v>
      </c>
      <c r="B111" s="140" t="s">
        <v>328</v>
      </c>
      <c r="C111" s="70" t="s">
        <v>328</v>
      </c>
      <c r="D111" s="71" t="s">
        <v>127</v>
      </c>
      <c r="E111" s="526" t="s">
        <v>317</v>
      </c>
      <c r="F111" s="13">
        <v>1125.0</v>
      </c>
      <c r="G111" s="72" t="s">
        <v>317</v>
      </c>
      <c r="H111" s="139">
        <v>1125.0</v>
      </c>
      <c r="I111" s="74" t="str">
        <f>IFERROR(VLOOKUP(C108:C250,'R22 RELATÓRIO ACC'!B:F,5,FALSE),"NOT PUBLISHED")</f>
        <v>V6</v>
      </c>
      <c r="J111" s="74" t="str">
        <f>IFERROR(VLOOKUP(C108:C250,'R22 RELATÓRIO ACC'!B:P,15,FALSE),"NOT PUBLISHED")</f>
        <v>01/11/2025</v>
      </c>
      <c r="K111" s="141" t="str">
        <f>IFERROR(VLOOKUP(B108:B298,'RELATÓRIO ACC'!B:F,5,FALSE),"NOT PUBLISHED")</f>
        <v>V1</v>
      </c>
      <c r="L111" s="142" t="str">
        <f>IFERROR(VLOOKUP(B108:B298,'RELATÓRIO ACC'!B:P,15,FALSE),"NOT PUBLISHED")</f>
        <v>21/05/2026</v>
      </c>
      <c r="M111" s="76" t="str">
        <f>IF(OR($D111="UTLS",$D111="GUAR",$D111="STIR",$D111="PUMP",$D111="SITE"),
   VLOOKUP($B111,'LOD 300 - SITE'!B:M,12,FALSE),
   VLOOKUP($B111,'LOD 300 - ADMN'!B:M,12,FALSE)
)</f>
        <v>V5</v>
      </c>
      <c r="N111" s="80">
        <f>IF(OR($D111="UTLS",$D111="GUAR",$D111="STIR",$D111="PUMP",$D111="SITE"),
   VLOOKUP($B111,'LOD 300 - SITE'!B:N,13,FALSE),
   VLOOKUP($B111,'LOD 300 - ADMN'!B:N,13,FALSE)
)</f>
        <v>45856</v>
      </c>
      <c r="O111" s="114" t="str">
        <f>IF(OR($D111="UTLS",$D111="GUAR",$D111="STIR",$D111="PUMP",$D111="SITE"),
   VLOOKUP($B111,'LOD 300 - SITE'!B:O,14,FALSE),
   VLOOKUP($B111,'LOD 300 - ADMN'!B:O,14,FALSE)
)</f>
        <v>R22</v>
      </c>
      <c r="P111" s="79" t="str">
        <f>IF(OR($D111="C345",$D111="C12A",$D111="DATA"),
   VLOOKUP($B111,'LOD 300 - COLO3'!B:M,12,FALSE),"N/A")</f>
        <v>N/A</v>
      </c>
      <c r="Q111" s="76" t="str">
        <f>IF(OR($D111="C345",$D111="C12A",$D111="DATA"),
   VLOOKUP($B111,'LOD 300 - COLO3'!B:N,13,FALSE),"N/A")</f>
        <v>N/A</v>
      </c>
      <c r="R111" s="76" t="str">
        <f>IF(OR($D111="C345",$D111="C12A",$D111="DATA"),
   VLOOKUP($B111,'LOD 300 - COLO3'!B:O,14,FALSE),"N/A")</f>
        <v>N/A</v>
      </c>
      <c r="S111" s="79" t="str">
        <f>IF(OR($D111="C345",$D111="C12A",$D111="DATA"),
   VLOOKUP($B111,'LOD 300 - COLO4'!B:M,12,FALSE),"N/A")</f>
        <v>N/A</v>
      </c>
      <c r="T111" s="76" t="str">
        <f>IF(OR($D111="C345",$D111="C12A",$D111="DATA"),
   VLOOKUP($B111,'LOD 300 - COLO4'!B:T,13,FALSE),"N/A")</f>
        <v>N/A</v>
      </c>
      <c r="U111" s="76" t="str">
        <f>IF(OR($D111="C345",$D111="C12A",$D111="DATA"),
   VLOOKUP($B111,'LOD 300 - COLO4'!B:U,17,FALSE),"N/A")</f>
        <v>N/A</v>
      </c>
      <c r="V111" s="126" t="s">
        <v>102</v>
      </c>
      <c r="W111" s="116" t="str">
        <f>IFERROR(VLOOKUP($B111,'LOD 300 - ADMN'!$B:S,18,FALSE),"N/A")</f>
        <v>N/A</v>
      </c>
      <c r="X111" s="117" t="str">
        <f>IFERROR(VLOOKUP($B111,'LOD 300 - ADMN'!$B:V,21,FALSE),"N/A")</f>
        <v>N/A</v>
      </c>
      <c r="Y111" s="117" t="str">
        <f>IFERROR(VLOOKUP($B111,'LOD 300 - ADMN'!$B:Y,24,FALSE),"N/A")</f>
        <v>N/A</v>
      </c>
      <c r="Z111" s="117" t="str">
        <f>IFERROR(VLOOKUP($B111,'LOD 300 - ADMN'!$B:AB,27,FALSE),"N/A")</f>
        <v>N/A</v>
      </c>
      <c r="AA111" s="117" t="str">
        <f>IFERROR(VLOOKUP($B111,'LOD 300 - ADMN'!$B:AE,30,FALSE),"N/A")</f>
        <v>N/A</v>
      </c>
      <c r="AB111" s="118" t="str">
        <f>IFERROR(VLOOKUP($B111,'LOD 300 - ADMN'!$B:AH,33,FALSE),"N/A")</f>
        <v>N/A</v>
      </c>
      <c r="AC111" s="118" t="str">
        <f>IFERROR(VLOOKUP($B111,'LOD 300 - ADMN'!$B:AK,36,FALSE),"N/A")</f>
        <v>N/A</v>
      </c>
      <c r="AD111" s="117" t="str">
        <f>IFERROR(VLOOKUP($B111,'LOD 300 - ADMN'!$B:AN,39,FALSE),"N/A")</f>
        <v>N/A</v>
      </c>
      <c r="AE111" s="117" t="str">
        <f>IFERROR(VLOOKUP($B111,'LOD 300 - ADMN'!$B:AQ,42,FALSE),"N/A")</f>
        <v>N/A</v>
      </c>
      <c r="AF111" s="117" t="str">
        <f>IFERROR(VLOOKUP($B111,'LOD 300 - ADMN'!$B:AT,45,FALSE),"N/A")</f>
        <v>N/A</v>
      </c>
      <c r="AG111" s="117" t="str">
        <f>IFERROR(VLOOKUP($B111,'LOD 300 - ADMN'!$B:AW,48,FALSE),"N/A")</f>
        <v>N/A</v>
      </c>
      <c r="AH111" s="117" t="str">
        <f>IFERROR(VLOOKUP($B111,'LOD 300 - ADMN'!$B:AZ,51,FALSE),"N/A")</f>
        <v>N/A</v>
      </c>
      <c r="AI111" s="119" t="str">
        <f>IFERROR(VLOOKUP($B111,'LOD 300 - ADMN'!$B:BC,54,FALSE),"N/A")</f>
        <v>N/A</v>
      </c>
      <c r="AJ111" s="86" t="str">
        <f>IFERROR(VLOOKUP($B111,'LOD 300 - ADMN'!$B:BF,57,FALSE),"N/A")</f>
        <v>N/A</v>
      </c>
      <c r="AK111" s="87" t="str">
        <f>IFERROR(VLOOKUP($B111,'LOD 300 - ADMN'!$B:EP,60,FALSE),"N/A")</f>
        <v>N/A</v>
      </c>
      <c r="AL111" s="86" t="str">
        <f>IFERROR(VLOOKUP($B111,'LOD 300 - ADMN'!$B:EQ,63,FALSE),"N/A")</f>
        <v>N/A</v>
      </c>
      <c r="AM111" s="86" t="str">
        <f>IFERROR(VLOOKUP($B111,'LOD 300 - ADMN'!$B:BO,66,FALSE),"N/A")</f>
        <v>N/A</v>
      </c>
      <c r="AN111" s="86" t="str">
        <f>IFERROR(VLOOKUP($B111,'LOD 300 - ADMN'!$B:BR,69,FALSE),"N/A")</f>
        <v>N/A</v>
      </c>
      <c r="AO111" s="86" t="str">
        <f>IFERROR(VLOOKUP($B111,'LOD 300 - ADMN'!$B:BU,72,FALSE),"N/A")</f>
        <v>N/A</v>
      </c>
      <c r="AP111" s="86" t="str">
        <f>IFERROR(VLOOKUP($B111,'LOD 300 - ADMN'!$B:BX,75,FALSE),"N/A")</f>
        <v>N/A</v>
      </c>
      <c r="AQ111" s="86" t="str">
        <f>IFERROR(VLOOKUP($B111,'LOD 300 - ADMN'!$B:CA,78,FALSE),"N/A")</f>
        <v>N/A</v>
      </c>
      <c r="AR111" s="86" t="str">
        <f>IFERROR(VLOOKUP($B111,'LOD 300 - ADMN'!$B:CD,81,FALSE),"N/A")</f>
        <v>N/A</v>
      </c>
      <c r="AS111" s="86" t="str">
        <f>IFERROR(VLOOKUP($B111,'LOD 300 - ADMN'!$B:CG,84,FALSE),"N/A")</f>
        <v>N/A</v>
      </c>
      <c r="AT111" s="86" t="str">
        <f>IFERROR(VLOOKUP($B111,'LOD 300 - ADMN'!$B:CJ,87,FALSE),"N/A")</f>
        <v>N/A</v>
      </c>
      <c r="AU111" s="88" t="str">
        <f>IFERROR(VLOOKUP($B111,'LOD 300 - ADMN'!$B:CM,90,FALSE),"N/A")</f>
        <v>N/A</v>
      </c>
      <c r="AV111" s="88" t="str">
        <f>IFERROR(VLOOKUP($B111,'LOD 300 - ADMN'!$B:CP,93,FALSE),"N/A")</f>
        <v>N/A</v>
      </c>
      <c r="AW111" s="88" t="str">
        <f>IFERROR(VLOOKUP($B111,'LOD 300 - ADMN'!$B:CS,96,FALSE),"N/A")</f>
        <v>N/A</v>
      </c>
      <c r="AX111" s="88" t="str">
        <f>IFERROR(VLOOKUP($B111,'LOD 300 - ADMN'!$B:CV,99,FALSE),"N/A")</f>
        <v>N/A</v>
      </c>
      <c r="AY111" s="88" t="str">
        <f>IFERROR(VLOOKUP($B111,'LOD 300 - ADMN'!$B:CY,102,FALSE),"N/A")</f>
        <v>N/A</v>
      </c>
      <c r="AZ111" s="89" t="str">
        <f>IFERROR(VLOOKUP($B111,'LOD 300 - ADMN'!$B:DB,105,FALSE),"N/A")</f>
        <v>N/A</v>
      </c>
      <c r="BA111" s="87" t="str">
        <f>IFERROR(VLOOKUP($B111,'LOD 300 - ADMN'!$B:DE,108,FALSE),"N/A")</f>
        <v>N/A</v>
      </c>
      <c r="BB111" s="87" t="str">
        <f>IFERROR(VLOOKUP($B111,'LOD 300 - ADMN'!$B:DH,111,FALSE),"N/A")</f>
        <v>N/A</v>
      </c>
      <c r="BC111" s="87" t="str">
        <f>IFERROR(VLOOKUP($B111,'LOD 300 - ADMN'!$B:DK,114,FALSE),"N/A")</f>
        <v>N/A</v>
      </c>
      <c r="BD111" s="87" t="str">
        <f>IFERROR(VLOOKUP($B111,'LOD 300 - ADMN'!$B:DN,117,FALSE),"N/A")</f>
        <v>N/A</v>
      </c>
      <c r="BE111" s="87" t="str">
        <f>IFERROR(VLOOKUP($B111,'LOD 300 - ADMN'!$B:DQ,120,FALSE),"N/A")</f>
        <v>N/A</v>
      </c>
      <c r="BF111" s="87" t="str">
        <f>IFERROR(VLOOKUP($B111,'LOD 300 - ADMN'!$B:DT,123,FALSE),"N/A")</f>
        <v>N/A</v>
      </c>
      <c r="BG111" s="87" t="str">
        <f>IFERROR(VLOOKUP($B111,'LOD 300 - ADMN'!$B:DW,126,FALSE),"N/A")</f>
        <v>N/A</v>
      </c>
      <c r="BH111" s="87" t="str">
        <f>IFERROR(VLOOKUP($B111,'LOD 300 - ADMN'!$B:DZ,129,FALSE),"N/A")</f>
        <v>N/A</v>
      </c>
      <c r="BI111" s="87" t="str">
        <f>IFERROR(VLOOKUP($B111,'LOD 300 - ADMN'!$B:EC,132,FALSE),"N/A")</f>
        <v>N/A</v>
      </c>
      <c r="BJ111" s="90" t="str">
        <f>IFERROR(__xludf.DUMMYFUNCTION("IFERROR(
  MAX(FILTER(X111:BI111, ISNUMBER(X111:BI111))),
  BI111
)"),"N/A")</f>
        <v>N/A</v>
      </c>
      <c r="BK111" s="91" t="str">
        <f>IFERROR(VLOOKUP($B111,'LOD 300 - COLO1'!$B:S,18,FALSE),"N/A")</f>
        <v>N/A</v>
      </c>
      <c r="BL111" s="92" t="str">
        <f>IFERROR(VLOOKUP($B111,'LOD 300 - COLO1'!$B:V,21,FALSE),"N/A")</f>
        <v>N/A</v>
      </c>
      <c r="BM111" s="92" t="str">
        <f>IFERROR(VLOOKUP($B111,'LOD 300 - COLO1'!$B:Y,24,FALSE),"N/A")</f>
        <v>N/A</v>
      </c>
      <c r="BN111" s="92" t="str">
        <f>IFERROR(VLOOKUP($B111,'LOD 300 - COLO1'!$B:AB,27,FALSE),"N/A")</f>
        <v>N/A</v>
      </c>
      <c r="BO111" s="92" t="str">
        <f>IFERROR(VLOOKUP($B111,'LOD 300 - COLO1'!$B:AE,30,FALSE),"N/A")</f>
        <v>N/A</v>
      </c>
      <c r="BP111" s="92" t="str">
        <f>IFERROR(VLOOKUP($B111,'LOD 300 - COLO1'!$B:AH,33,FALSE),"N/A")</f>
        <v>N/A</v>
      </c>
      <c r="BQ111" s="92" t="str">
        <f>IFERROR(VLOOKUP($B111,'LOD 300 - COLO1'!$B:AK,36,FALSE),"N/A")</f>
        <v>N/A</v>
      </c>
      <c r="BR111" s="92" t="str">
        <f>IFERROR(VLOOKUP($B111,'LOD 300 - COLO1'!$B:AN,39,FALSE),"N/A")</f>
        <v>N/A</v>
      </c>
      <c r="BS111" s="92" t="str">
        <f>IFERROR(VLOOKUP($B111,'LOD 300 - COLO1'!$B:AQ,42,FALSE),"N/A")</f>
        <v>N/A</v>
      </c>
      <c r="BT111" s="92" t="str">
        <f>IFERROR(VLOOKUP($B111,'LOD 300 - COLO1'!$B:AT,45,FALSE),"N/A")</f>
        <v>N/A</v>
      </c>
      <c r="BU111" s="92" t="str">
        <f>IFERROR(VLOOKUP($B111,'LOD 300 - COLO1'!$B:AW,48,FALSE),"N/A")</f>
        <v>N/A</v>
      </c>
      <c r="BV111" s="92" t="str">
        <f>IFERROR(VLOOKUP($B111,'LOD 300 - COLO1'!$B:AZ,51,FALSE),"N/A")</f>
        <v>N/A</v>
      </c>
      <c r="BW111" s="92" t="str">
        <f>IFERROR(VLOOKUP($B111,'LOD 300 - COLO1'!$B:BC,54,FALSE),"N/A")</f>
        <v>N/A</v>
      </c>
      <c r="BX111" s="94" t="str">
        <f>IFERROR(VLOOKUP($B111,'LOD 300 - COLO1'!$B:BF,57,FALSE),"N/A")</f>
        <v>N/A</v>
      </c>
      <c r="BY111" s="94" t="str">
        <f>IFERROR(VLOOKUP($B111,'LOD 300 - COLO1'!$B:BI,60,FALSE),"N/A")</f>
        <v>N/A</v>
      </c>
      <c r="BZ111" s="95" t="str">
        <f>IFERROR(VLOOKUP($B111,'LOD 300 - COLO1'!$B:BL,63,FALSE),"N/A")</f>
        <v>N/A</v>
      </c>
      <c r="CA111" s="86" t="str">
        <f>IFERROR(VLOOKUP($B111,'LOD 300 - COLO1'!$B:BO,66,FALSE),"N/A")</f>
        <v>N/A</v>
      </c>
      <c r="CB111" s="86" t="str">
        <f>IFERROR(VLOOKUP($B111,'LOD 300 - COLO1'!$B:BR,69,FALSE),"N/A")</f>
        <v>N/A</v>
      </c>
      <c r="CC111" s="86" t="str">
        <f>IFERROR(VLOOKUP($B111,'LOD 300 - COLO1'!$B:BU,72,FALSE),"N/A")</f>
        <v>N/A</v>
      </c>
      <c r="CD111" s="86" t="str">
        <f>IFERROR(VLOOKUP($B111,'LOD 300 - COLO1'!$B:BX,75,FALSE),"N/A")</f>
        <v>N/A</v>
      </c>
      <c r="CE111" s="86" t="str">
        <f>IFERROR(VLOOKUP($B111,'LOD 300 - COLO1'!$B:CA,78,FALSE),"N/A")</f>
        <v>N/A</v>
      </c>
      <c r="CF111" s="87" t="str">
        <f>IFERROR(VLOOKUP($B111,'LOD 300 - COLO1'!$B:CD,81,FALSE),"N/A")</f>
        <v>N/A</v>
      </c>
      <c r="CG111" s="86" t="str">
        <f>IFERROR(VLOOKUP($B111,'LOD 300 - COLO1'!$B:CG,84,FALSE),"N/A")</f>
        <v>N/A</v>
      </c>
      <c r="CH111" s="87" t="str">
        <f>IFERROR(VLOOKUP($B111,'LOD 300 - COLO1'!$B:CJ,87,FALSE),"N/A")</f>
        <v>N/A</v>
      </c>
      <c r="CI111" s="88" t="str">
        <f>IFERROR(VLOOKUP($B111,'LOD 300 - COLO1'!$B:CM,90,FALSE),"N/A")</f>
        <v>N/A</v>
      </c>
      <c r="CJ111" s="88" t="str">
        <f>IFERROR(VLOOKUP($B111,'LOD 300 - COLO1'!$B:CP,93,FALSE),"N/A")</f>
        <v>N/A</v>
      </c>
      <c r="CK111" s="88" t="str">
        <f>IFERROR(VLOOKUP($B111,'LOD 300 - COLO1'!$B:CS,96,FALSE),"N/A")</f>
        <v>N/A</v>
      </c>
      <c r="CL111" s="88" t="str">
        <f>IFERROR(VLOOKUP($B111,'LOD 300 - COLO1'!$B:CV,99,FALSE),"N/A")</f>
        <v>N/A</v>
      </c>
      <c r="CM111" s="88" t="str">
        <f>IFERROR(VLOOKUP($B111,'LOD 300 - COLO1'!$B:CY,102,FALSE),"N/A")</f>
        <v>N/A</v>
      </c>
      <c r="CN111" s="89" t="str">
        <f>IFERROR(VLOOKUP($B111,'LOD 300 - COLO1'!$B:DB,105,FALSE),"N/A")</f>
        <v>N/A</v>
      </c>
      <c r="CO111" s="87" t="str">
        <f>IFERROR(VLOOKUP($B111,'LOD 300 - COLO1'!$B:EE,108,FALSE),"N/A")</f>
        <v>N/A</v>
      </c>
      <c r="CP111" s="87" t="str">
        <f>IFERROR(VLOOKUP($B111,'LOD 300 - COLO1'!$B:EH,111,FALSE),"N/A")</f>
        <v>N/A</v>
      </c>
      <c r="CQ111" s="87" t="str">
        <f>IFERROR(VLOOKUP($B111,'LOD 300 - COLO1'!$B:EK,114,FALSE),"N/A")</f>
        <v>N/A</v>
      </c>
      <c r="CR111" s="87" t="str">
        <f>IFERROR(VLOOKUP($B111,'LOD 300 - COLO1'!$B:EN,117,FALSE),"N/A")</f>
        <v>N/A</v>
      </c>
      <c r="CS111" s="87" t="str">
        <f>IFERROR(VLOOKUP($B111,'LOD 300 - COLO1'!$B:EQ,120,FALSE),"N/A")</f>
        <v>N/A</v>
      </c>
      <c r="CT111" s="87" t="str">
        <f>IFERROR(VLOOKUP($B111,'LOD 300 - COLO1'!$B:ET,123,FALSE),"N/A")</f>
        <v>N/A</v>
      </c>
      <c r="CU111" s="87" t="str">
        <f>IFERROR(VLOOKUP($B111,'LOD 300 - COLO1'!$B:EW,126,FALSE),"N/A")</f>
        <v>N/A</v>
      </c>
      <c r="CV111" s="87" t="str">
        <f>IFERROR(VLOOKUP($B111,'LOD 300 - COLO1'!$B:EZ,129,FALSE),"N/A")</f>
        <v>N/A</v>
      </c>
      <c r="CW111" s="87" t="str">
        <f>IFERROR(VLOOKUP($B111,'LOD 300 - COLO1'!$B:FC,132,FALSE),"N/A")</f>
        <v>N/A</v>
      </c>
      <c r="CX111" s="96" t="str">
        <f>IFERROR(__xludf.DUMMYFUNCTION("IFERROR(
  MAX(FILTER(BK111:CW111, ISNUMBER(BK111:CW111))),
  CW111
)"),"N/A")</f>
        <v>N/A</v>
      </c>
      <c r="CY111" s="104" t="str">
        <f>IFERROR(VLOOKUP($B111,'LOD 300 - COLO2'!$B:S,18,FALSE),"N/A")</f>
        <v>N/A</v>
      </c>
      <c r="CZ111" s="117" t="str">
        <f>IFERROR(VLOOKUP($B111,'LOD 300 - COLO2'!$B:V,21,FALSE),"N/A")</f>
        <v>N/A</v>
      </c>
      <c r="DA111" s="117" t="str">
        <f>IFERROR(VLOOKUP($B111,'LOD 300 - COLO2'!$B:Y,24,FALSE),"N/A")</f>
        <v>N/A</v>
      </c>
      <c r="DB111" s="117" t="str">
        <f>IFERROR(VLOOKUP($B111,'LOD 300 - COLO2'!$B:AB,27,FALSE),"N/A")</f>
        <v>N/A</v>
      </c>
      <c r="DC111" s="117" t="str">
        <f>IFERROR(VLOOKUP($B111,'LOD 300 - COLO2'!$B:AE,30,FALSE),"N/A")</f>
        <v>N/A</v>
      </c>
      <c r="DD111" s="117" t="str">
        <f>IFERROR(VLOOKUP($B111,'LOD 300 - COLO2'!$B:AH,33,FALSE),"N/A")</f>
        <v>N/A</v>
      </c>
      <c r="DE111" s="117" t="str">
        <f>IFERROR(VLOOKUP($B111,'LOD 300 - COLO2'!$B:AK,36,FALSE),"N/A")</f>
        <v>N/A</v>
      </c>
      <c r="DF111" s="117" t="str">
        <f>IFERROR(VLOOKUP($B111,'LOD 300 - COLO2'!$B:AN,39,FALSE),"N/A")</f>
        <v>N/A</v>
      </c>
      <c r="DG111" s="119" t="str">
        <f>IFERROR(VLOOKUP($B111,'LOD 300 - COLO2'!$B:AQ,42,FALSE),"N/A")</f>
        <v>N/A</v>
      </c>
      <c r="DH111" s="87" t="str">
        <f>IFERROR(VLOOKUP($B111,'LOD 300 - COLO2'!$B:AT,45,FALSE),"N/A")</f>
        <v>N/A</v>
      </c>
      <c r="DI111" s="94" t="str">
        <f>IFERROR(VLOOKUP($B111,'LOD 300 - COLO2'!$B:AW,48,FALSE),"N/A")</f>
        <v>N/A</v>
      </c>
      <c r="DJ111" s="95" t="str">
        <f>IFERROR(VLOOKUP($B111,'LOD 300 - COLO2'!$B:AZ,51,FALSE),"N/A")</f>
        <v>N/A</v>
      </c>
      <c r="DK111" s="86" t="str">
        <f>IFERROR(VLOOKUP($B111,'LOD 300 - COLO2'!$B:BC,54,FALSE),"N/A")</f>
        <v>N/A</v>
      </c>
      <c r="DL111" s="86" t="str">
        <f>IFERROR(VLOOKUP($B111,'LOD 300 - COLO2'!$B:BF,57,FALSE),"N/A")</f>
        <v>N/A</v>
      </c>
      <c r="DM111" s="86" t="str">
        <f>IFERROR(VLOOKUP($B111,'LOD 300 - COLO2'!$B:BI,60,FALSE),"N/A")</f>
        <v>N/A</v>
      </c>
      <c r="DN111" s="86" t="str">
        <f>IFERROR(VLOOKUP($B111,'LOD 300 - COLO2'!$B:BL,63,FALSE),"N/A")</f>
        <v>N/A</v>
      </c>
      <c r="DO111" s="86" t="str">
        <f>IFERROR(VLOOKUP($B111,'LOD 300 - COLO2'!$B:BO,66,FALSE),"N/A")</f>
        <v>N/A</v>
      </c>
      <c r="DP111" s="87" t="str">
        <f>IFERROR(VLOOKUP($B111,'LOD 300 - COLO2'!$B:BR,69,FALSE),"N/A")</f>
        <v>N/A</v>
      </c>
      <c r="DQ111" s="87" t="str">
        <f>IFERROR(VLOOKUP($B111,'LOD 300 - COLO2'!$B:BU,72,FALSE),"N/A")</f>
        <v>N/A</v>
      </c>
      <c r="DR111" s="87" t="str">
        <f>IFERROR(VLOOKUP($B111,'LOD 300 - COLO2'!$B:BX,75,FALSE),"N/A")</f>
        <v>N/A</v>
      </c>
      <c r="DS111" s="98" t="str">
        <f>IFERROR(VLOOKUP($B111,'LOD 300 - COLO2'!$B:CA,78,FALSE),"N/A")</f>
        <v>N/A</v>
      </c>
      <c r="DT111" s="98" t="str">
        <f>IFERROR(VLOOKUP($B111,'LOD 300 - COLO2'!$B:CD,81,FALSE),"N/A")</f>
        <v>N/A</v>
      </c>
      <c r="DU111" s="98" t="str">
        <f>IFERROR(VLOOKUP($B111,'LOD 300 - COLO2'!$B:CG,84,FALSE),"N/A")</f>
        <v>N/A</v>
      </c>
      <c r="DV111" s="98" t="str">
        <f>IFERROR(VLOOKUP($B111,'LOD 300 - COLO2'!$B:CJ,87,FALSE),"N/A")</f>
        <v>N/A</v>
      </c>
      <c r="DW111" s="98" t="str">
        <f>IFERROR(VLOOKUP($B111,'LOD 300 - COLO2'!$B:CM,90,FALSE),"N/A")</f>
        <v>N/A</v>
      </c>
      <c r="DX111" s="98" t="str">
        <f>IFERROR(VLOOKUP($B111,'LOD 300 - COLO2'!$B:CP,93,FALSE),"N/A")</f>
        <v>N/A</v>
      </c>
      <c r="DY111" s="87" t="str">
        <f>IFERROR(VLOOKUP($B111,'LOD 300 - COLO2'!$B:CS,96,FALSE),"N/A")</f>
        <v>N/A</v>
      </c>
      <c r="DZ111" s="87" t="str">
        <f>IFERROR(VLOOKUP($B111,'LOD 300 - COLO2'!$B:CV,99,FALSE),"N/A")</f>
        <v>N/A</v>
      </c>
      <c r="EA111" s="87" t="str">
        <f>IFERROR(VLOOKUP($B111,'LOD 300 - COLO2'!$B:DB,105,FALSE),"N/A")</f>
        <v>N/A</v>
      </c>
      <c r="EB111" s="87" t="str">
        <f>IFERROR(VLOOKUP($B111,'LOD 300 - COLO2'!$B:DB,105,FALSE),"N/A")</f>
        <v>N/A</v>
      </c>
      <c r="EC111" s="87" t="str">
        <f>IFERROR(VLOOKUP($B111,'LOD 300 - COLO2'!$B:DE,108,FALSE),"N/A")</f>
        <v>N/A</v>
      </c>
      <c r="ED111" s="87" t="str">
        <f>IFERROR(VLOOKUP($B111,'LOD 300 - COLO2'!$B:DH,111,FALSE),"N/A")</f>
        <v>N/A</v>
      </c>
      <c r="EE111" s="87" t="str">
        <f>IFERROR(VLOOKUP($B111,'LOD 300 - COLO2'!$B:DK,114,FALSE),"N/A")</f>
        <v>N/A</v>
      </c>
      <c r="EF111" s="87" t="str">
        <f>IFERROR(VLOOKUP($B111,'LOD 300 - COLO2'!$B:DN,117,FALSE),"N/A")</f>
        <v>N/A</v>
      </c>
      <c r="EG111" s="87" t="str">
        <f>IFERROR(VLOOKUP($B111,'LOD 300 - COLO2'!$B:DQ,120,FALSE),"N/A")</f>
        <v>N/A</v>
      </c>
      <c r="EH111" s="99" t="str">
        <f>IFERROR(__xludf.DUMMYFUNCTION("IFERROR(
  MAX(FILTER(CZ111:EG111, ISNUMBER(CZ111:EG111))),
  EG111
)"),"N/A")</f>
        <v>N/A</v>
      </c>
      <c r="EI111" s="100" t="str">
        <f>IFERROR(VLOOKUP($B111,'LOD 300 - COLO3'!$B:R,17,FALSE),"N/A")</f>
        <v>N/A</v>
      </c>
      <c r="EJ111" s="101" t="str">
        <f>IFERROR(VLOOKUP($B111,'LOD 300 - COLO3'!$B:U,20,FALSE),"N/A")</f>
        <v>N/A</v>
      </c>
      <c r="EK111" s="101" t="str">
        <f>IFERROR(VLOOKUP($B111,'LOD 300 - COLO3'!$B:X,23,FALSE),"N/A")</f>
        <v>N/A</v>
      </c>
      <c r="EL111" s="101" t="str">
        <f>IFERROR(VLOOKUP($B111,'LOD 300 - COLO3'!$B:AA,26,FALSE),"N/A")</f>
        <v>N/A</v>
      </c>
      <c r="EM111" s="101" t="str">
        <f>IFERROR(VLOOKUP($B111,'LOD 300 - COLO3'!$B:AD,29,FALSE),"N/A")</f>
        <v>N/A</v>
      </c>
      <c r="EN111" s="101" t="str">
        <f>IFERROR(VLOOKUP($B111,'LOD 300 - COLO3'!$B:AG,32,FALSE),"N/A")</f>
        <v>N/A</v>
      </c>
      <c r="EO111" s="102" t="str">
        <f>IFERROR(VLOOKUP($B111,'LOD 300 - COLO3'!$B:AJ,35,FALSE),"N/A")</f>
        <v>N/A</v>
      </c>
      <c r="EP111" s="100" t="str">
        <f>IFERROR(VLOOKUP($B111,'LOD 300 - COLO3'!$B:AM,38,FALSE),"N/A")</f>
        <v>N/A</v>
      </c>
      <c r="EQ111" s="100" t="str">
        <f>IFERROR(VLOOKUP($B111,'LOD 300 - COLO3'!$B:AP,41,FALSE),"N/A")</f>
        <v>N/A</v>
      </c>
      <c r="ER111" s="100" t="str">
        <f>IFERROR(VLOOKUP($B111,'LOD 300 - COLO3'!$B:AS,44,FALSE),"N/A")</f>
        <v>N/A</v>
      </c>
      <c r="ES111" s="100" t="str">
        <f>IFERROR(VLOOKUP($B111,'LOD 300 - COLO3'!$B:AV,47,FALSE),"N/A")</f>
        <v>N/A</v>
      </c>
      <c r="ET111" s="100" t="str">
        <f>IFERROR(VLOOKUP($B111,'LOD 300 - COLO3'!$B:AY,50,FALSE),"N/A")</f>
        <v>N/A</v>
      </c>
      <c r="EU111" s="100" t="str">
        <f>IFERROR(VLOOKUP($B111,'LOD 300 - COLO3'!$B:BB,53,FALSE),"N/A")</f>
        <v>N/A</v>
      </c>
      <c r="EV111" s="100" t="str">
        <f>IFERROR(VLOOKUP($B111,'LOD 300 - COLO3'!$B:BE,56,FALSE),"N/A")</f>
        <v>N/A</v>
      </c>
      <c r="EW111" s="100" t="str">
        <f>IFERROR(VLOOKUP($B111,'LOD 300 - COLO3'!$B:BL,59,FALSE),"N/A")</f>
        <v>N/A</v>
      </c>
      <c r="EX111" s="100" t="str">
        <f>IFERROR(VLOOKUP($B111,'LOD 300 - COLO3'!$B:BO,62,FALSE),"N/A")</f>
        <v>N/A</v>
      </c>
      <c r="EY111" s="103" t="str">
        <f>IFERROR(__xludf.DUMMYFUNCTION("IFERROR(
  MAX(FILTER(EI111:EX111, ISNUMBER(EI111:EX111))),
  EX111
)"),"N/A")</f>
        <v>N/A</v>
      </c>
      <c r="EZ111" s="104" t="str">
        <f>IFERROR(VLOOKUP($B111,'LOD 300 - COLO4'!$B:BT,17,FALSE),"N/A")</f>
        <v>N/A</v>
      </c>
      <c r="FA111" s="103" t="str">
        <f>IFERROR(__xludf.DUMMYFUNCTION("IFERROR(
  MAX(FILTER(EZ111, ISNUMBER(EZ111))),
  EZ111
)"),"N/A")</f>
        <v>N/A</v>
      </c>
      <c r="FB111" s="121">
        <f>IFERROR(VLOOKUP($B111,'LOD 300 - SITE'!$B:S,18,FALSE),"N/A")</f>
        <v>0.91</v>
      </c>
      <c r="FC111" s="122">
        <f>IFERROR(VLOOKUP($B111,'LOD 300 - SITE'!$B:V,21,FALSE),"N/A")</f>
        <v>0.98</v>
      </c>
      <c r="FD111" s="122">
        <f>IFERROR(VLOOKUP($B111,'LOD 300 - SITE'!$B:Y,24,FALSE),"N/A")</f>
        <v>1</v>
      </c>
      <c r="FE111" s="122">
        <f>IFERROR(VLOOKUP($B111,'LOD 300 - SITE'!$B:AB,27,FALSE),"N/A")</f>
        <v>1</v>
      </c>
      <c r="FF111" s="122">
        <f>IFERROR(VLOOKUP($B111,'LOD 300 - SITE'!$B:AE,30,FALSE),"N/A")</f>
        <v>1</v>
      </c>
      <c r="FG111" s="122">
        <f>IFERROR(VLOOKUP($B111,'LOD 300 - SITE'!$B:AH,33,FALSE),"N/A")</f>
        <v>1</v>
      </c>
      <c r="FH111" s="122">
        <f>IFERROR(VLOOKUP($B111,'LOD 300 - SITE'!$B:AK,36,FALSE),"N/A")</f>
        <v>1</v>
      </c>
      <c r="FI111" s="122">
        <f>IFERROR(VLOOKUP($B111,'LOD 300 - SITE'!$B:AN,39,FALSE),"N/A")</f>
        <v>1</v>
      </c>
      <c r="FJ111" s="122">
        <f>IFERROR(VLOOKUP($B111,'LOD 300 - SITE'!$B:AQ,42,FALSE),"N/A")</f>
        <v>1</v>
      </c>
      <c r="FK111" s="122">
        <f>IFERROR(VLOOKUP($B111,'LOD 300 - SITE'!$B:AT,45,FALSE),"N/A")</f>
        <v>1</v>
      </c>
      <c r="FL111" s="123">
        <f>IFERROR(VLOOKUP($B111,'LOD 300 - SITE'!$B:AW,48,FALSE),"N/A")</f>
        <v>1</v>
      </c>
      <c r="FM111" s="87">
        <f>IFERROR(VLOOKUP($B111,'LOD 300 - SITE'!$B:AZ,51,FALSE),"N/A")</f>
        <v>1</v>
      </c>
      <c r="FN111" s="94">
        <f>IFERROR(VLOOKUP($B111,'LOD 300 - SITE'!$B:BC,54,FALSE),"N/A")</f>
        <v>1</v>
      </c>
      <c r="FO111" s="95">
        <f>IFERROR(VLOOKUP($B111,'LOD 300 - SITE'!$B:BF,57,FALSE),"N/A")</f>
        <v>1</v>
      </c>
      <c r="FP111" s="86">
        <f>IFERROR(VLOOKUP($B111,'LOD 300 - SITE'!$B:BI,60,FALSE),"N/A")</f>
        <v>1</v>
      </c>
      <c r="FQ111" s="86">
        <f>IFERROR(VLOOKUP($B111,'LOD 300 - SITE'!$B:BL,63,FALSE),"N/A")</f>
        <v>1</v>
      </c>
      <c r="FR111" s="86">
        <f>IFERROR(VLOOKUP($B111,'LOD 300 - SITE'!$B:BO,66,FALSE),"N/A")</f>
        <v>1</v>
      </c>
      <c r="FS111" s="86">
        <f>IFERROR(VLOOKUP($B111,'LOD 300 - SITE'!$B:BR,69,FALSE),"N/A")</f>
        <v>1</v>
      </c>
      <c r="FT111" s="86">
        <f>IFERROR(VLOOKUP($B111,'LOD 300 - SITE'!$B:BU,72,FALSE),"N/A")</f>
        <v>1</v>
      </c>
      <c r="FU111" s="86">
        <f>IFERROR(VLOOKUP($B111,'LOD 300 - SITE'!$B:BX,75,FALSE),"N/A")</f>
        <v>1</v>
      </c>
      <c r="FV111" s="86">
        <f>IFERROR(VLOOKUP($B111,'LOD 300 - SITE'!$B:CA,78,FALSE),"N/A")</f>
        <v>1</v>
      </c>
      <c r="FW111" s="87">
        <f>IFERROR(VLOOKUP($B111,'LOD 300 - SITE'!$B:CD,81,FALSE),"N/A")</f>
        <v>1</v>
      </c>
      <c r="FX111" s="108">
        <f>IFERROR(VLOOKUP($B111,'LOD 300 - SITE'!$B:CG,84,FALSE),"N/A")</f>
        <v>1</v>
      </c>
      <c r="FY111" s="108">
        <f>IFERROR(VLOOKUP($B111,'LOD 300 - SITE'!$B:CJ,87,FALSE),"N/A")</f>
        <v>1</v>
      </c>
      <c r="FZ111" s="108">
        <f>IFERROR(VLOOKUP($B111,'LOD 300 - SITE'!$B:CM,90,FALSE),"N/A")</f>
        <v>1</v>
      </c>
      <c r="GA111" s="108">
        <f>IFERROR(VLOOKUP($B111,'LOD 300 - SITE'!$B:CP,93,FALSE),"N/A")</f>
        <v>1</v>
      </c>
      <c r="GB111" s="108">
        <f>IFERROR(VLOOKUP($B111,'LOD 300 - SITE'!$B:CS,96,FALSE),"N/A")</f>
        <v>1</v>
      </c>
      <c r="GC111" s="109">
        <f>IFERROR(VLOOKUP($B111,'LOD 300 - SITE'!$B:CV,99,FALSE),"N/A")</f>
        <v>1</v>
      </c>
      <c r="GD111" s="87">
        <f>IFERROR(VLOOKUP($B111,'LOD 300 - SITE'!$B:CY,102,FALSE),"N/A")</f>
        <v>1</v>
      </c>
      <c r="GE111" s="87">
        <f>IFERROR(VLOOKUP($B111,'LOD 300 - SITE'!$B:DB,105,FALSE),"N/A")</f>
        <v>1</v>
      </c>
      <c r="GF111" s="87">
        <f>IFERROR(VLOOKUP($B111,'LOD 300 - SITE'!$B:DE,108,FALSE),"N/A")</f>
        <v>1</v>
      </c>
      <c r="GG111" s="87">
        <f>IFERROR(VLOOKUP($B111,'LOD 300 - SITE'!$B:DH,111,FALSE),"N/A")</f>
        <v>1</v>
      </c>
      <c r="GH111" s="87">
        <f>IFERROR(VLOOKUP($B111,'LOD 300 - SITE'!$B:DK,114,FALSE),"N/A")</f>
        <v>1</v>
      </c>
      <c r="GI111" s="87">
        <f>IFERROR(VLOOKUP($B111,'LOD 300 - SITE'!$B:DN,117,FALSE),"N/A")</f>
        <v>1</v>
      </c>
      <c r="GJ111" s="87">
        <f>IFERROR(VLOOKUP($B111,'LOD 300 - SITE'!$B:DQ,120,FALSE),"N/A")</f>
        <v>1</v>
      </c>
      <c r="GK111" s="87">
        <f>IFERROR(VLOOKUP($B111,'LOD 300 - SITE'!$B:DT,123,FALSE),"N/A")</f>
        <v>1</v>
      </c>
      <c r="GL111" s="87">
        <f>IFERROR(VLOOKUP($B111,'LOD 300 - SITE'!$B:DW,126,FALSE),"N/A")</f>
        <v>1</v>
      </c>
      <c r="GM111" s="110">
        <f>IFERROR(__xludf.DUMMYFUNCTION("IFERROR(
  MAX(FILTER(FB111:GL111, ISNUMBER(FB111:GL111))),
  GL111
)"),1.0)</f>
        <v>1</v>
      </c>
      <c r="GN111" s="68"/>
      <c r="GO111" s="68"/>
      <c r="GP111" s="68"/>
    </row>
    <row r="112" outlineLevel="1">
      <c r="A112" s="60">
        <v>115.0</v>
      </c>
      <c r="B112" s="527" t="s">
        <v>329</v>
      </c>
      <c r="C112" s="528" t="s">
        <v>329</v>
      </c>
      <c r="D112" s="529" t="s">
        <v>330</v>
      </c>
      <c r="E112" s="530" t="s">
        <v>317</v>
      </c>
      <c r="F112" s="531">
        <v>1125.0</v>
      </c>
      <c r="G112" s="532" t="s">
        <v>317</v>
      </c>
      <c r="H112" s="533">
        <v>1125.0</v>
      </c>
      <c r="I112" s="534" t="str">
        <f>IFERROR(VLOOKUP(C109:C251,'R22 RELATÓRIO ACC'!B:F,5,FALSE),"NOT PUBLISHED")</f>
        <v>V3</v>
      </c>
      <c r="J112" s="534" t="str">
        <f>IFERROR(VLOOKUP(C109:C251,'R22 RELATÓRIO ACC'!B:P,15,FALSE),"NOT PUBLISHED")</f>
        <v>31/10/2025</v>
      </c>
      <c r="K112" s="535" t="str">
        <f>IFERROR(VLOOKUP(B109:B299,'RELATÓRIO ACC'!B:F,5,FALSE),"NOT PUBLISHED")</f>
        <v>V1</v>
      </c>
      <c r="L112" s="536" t="str">
        <f>IFERROR(VLOOKUP(B109:B299,'RELATÓRIO ACC'!B:P,15,FALSE),"NOT PUBLISHED")</f>
        <v>21/05/2026</v>
      </c>
      <c r="M112" s="537" t="str">
        <f>IF(OR($D112="UTLS",$D112="GUAR",$D112="STIR",$D112="PUMP",$D112="SITE"),
   VLOOKUP($B112,'LOD 300 - SITE'!B:M,12,FALSE),
   VLOOKUP($B112,'LOD 300 - ADMN'!B:M,12,FALSE)
)</f>
        <v>V2</v>
      </c>
      <c r="N112" s="538">
        <f>IF(OR($D112="UTLS",$D112="GUAR",$D112="STIR",$D112="PUMP",$D112="SITE"),
   VLOOKUP($B112,'LOD 300 - SITE'!B:N,13,FALSE),
   VLOOKUP($B112,'LOD 300 - ADMN'!B:N,13,FALSE)
)</f>
        <v>45856</v>
      </c>
      <c r="O112" s="539" t="str">
        <f>IF(OR($D112="UTLS",$D112="GUAR",$D112="STIR",$D112="PUMP",$D112="SITE"),
   VLOOKUP($B112,'LOD 300 - SITE'!B:O,14,FALSE),
   VLOOKUP($B112,'LOD 300 - ADMN'!B:O,14,FALSE)
)</f>
        <v>R22</v>
      </c>
      <c r="P112" s="540" t="str">
        <f>IF(OR($D112="C345",$D112="C12A",$D112="DATA"),
   VLOOKUP($B112,'LOD 300 - COLO3'!B:M,12,FALSE),"N/A")</f>
        <v>N/A</v>
      </c>
      <c r="Q112" s="537" t="str">
        <f>IF(OR($D112="C345",$D112="C12A",$D112="DATA"),
   VLOOKUP($B112,'LOD 300 - COLO3'!B:N,13,FALSE),"N/A")</f>
        <v>N/A</v>
      </c>
      <c r="R112" s="541" t="str">
        <f>IF(OR($D112="C345",$D112="C12A",$D112="DATA"),
   VLOOKUP($B112,'LOD 300 - COLO3'!B:O,14,FALSE),"N/A")</f>
        <v>N/A</v>
      </c>
      <c r="S112" s="79" t="str">
        <f>IF(OR($D112="C345",$D112="C12A",$D112="DATA"),
   VLOOKUP($B112,'LOD 300 - COLO4'!B:M,12,FALSE),"N/A")</f>
        <v>N/A</v>
      </c>
      <c r="T112" s="76" t="str">
        <f>IF(OR($D112="C345",$D112="C12A",$D112="DATA"),
   VLOOKUP($B112,'LOD 300 - COLO4'!B:T,13,FALSE),"N/A")</f>
        <v>N/A</v>
      </c>
      <c r="U112" s="76" t="str">
        <f>IF(OR($D112="C345",$D112="C12A",$D112="DATA"),
   VLOOKUP($B112,'LOD 300 - COLO4'!B:U,17,FALSE),"N/A")</f>
        <v>N/A</v>
      </c>
      <c r="V112" s="542" t="s">
        <v>102</v>
      </c>
      <c r="W112" s="543" t="str">
        <f>IFERROR(VLOOKUP($B112,'LOD 300 - ADMN'!$B:S,18,FALSE),"N/A")</f>
        <v>N/A</v>
      </c>
      <c r="X112" s="544" t="str">
        <f>IFERROR(VLOOKUP($B112,'LOD 300 - ADMN'!$B:V,21,FALSE),"N/A")</f>
        <v>N/A</v>
      </c>
      <c r="Y112" s="544" t="str">
        <f>IFERROR(VLOOKUP($B112,'LOD 300 - ADMN'!$B:Y,24,FALSE),"N/A")</f>
        <v>N/A</v>
      </c>
      <c r="Z112" s="544" t="str">
        <f>IFERROR(VLOOKUP($B112,'LOD 300 - ADMN'!$B:AB,27,FALSE),"N/A")</f>
        <v>N/A</v>
      </c>
      <c r="AA112" s="544" t="str">
        <f>IFERROR(VLOOKUP($B112,'LOD 300 - ADMN'!$B:AE,30,FALSE),"N/A")</f>
        <v>N/A</v>
      </c>
      <c r="AB112" s="545" t="str">
        <f>IFERROR(VLOOKUP($B112,'LOD 300 - ADMN'!$B:AH,33,FALSE),"N/A")</f>
        <v>N/A</v>
      </c>
      <c r="AC112" s="545" t="str">
        <f>IFERROR(VLOOKUP($B112,'LOD 300 - ADMN'!$B:AK,36,FALSE),"N/A")</f>
        <v>N/A</v>
      </c>
      <c r="AD112" s="544" t="str">
        <f>IFERROR(VLOOKUP($B112,'LOD 300 - ADMN'!$B:AN,39,FALSE),"N/A")</f>
        <v>N/A</v>
      </c>
      <c r="AE112" s="544" t="str">
        <f>IFERROR(VLOOKUP($B112,'LOD 300 - ADMN'!$B:AQ,42,FALSE),"N/A")</f>
        <v>N/A</v>
      </c>
      <c r="AF112" s="544" t="str">
        <f>IFERROR(VLOOKUP($B112,'LOD 300 - ADMN'!$B:AT,45,FALSE),"N/A")</f>
        <v>N/A</v>
      </c>
      <c r="AG112" s="544" t="str">
        <f>IFERROR(VLOOKUP($B112,'LOD 300 - ADMN'!$B:AW,48,FALSE),"N/A")</f>
        <v>N/A</v>
      </c>
      <c r="AH112" s="544" t="str">
        <f>IFERROR(VLOOKUP($B112,'LOD 300 - ADMN'!$B:AZ,51,FALSE),"N/A")</f>
        <v>N/A</v>
      </c>
      <c r="AI112" s="546" t="str">
        <f>IFERROR(VLOOKUP($B112,'LOD 300 - ADMN'!$B:BC,54,FALSE),"N/A")</f>
        <v>N/A</v>
      </c>
      <c r="AJ112" s="547" t="str">
        <f>IFERROR(VLOOKUP($B112,'LOD 300 - ADMN'!$B:BF,57,FALSE),"N/A")</f>
        <v>N/A</v>
      </c>
      <c r="AK112" s="548" t="str">
        <f>IFERROR(VLOOKUP($B112,'LOD 300 - ADMN'!$B:EP,60,FALSE),"N/A")</f>
        <v>N/A</v>
      </c>
      <c r="AL112" s="547" t="str">
        <f>IFERROR(VLOOKUP($B112,'LOD 300 - ADMN'!$B:EQ,63,FALSE),"N/A")</f>
        <v>N/A</v>
      </c>
      <c r="AM112" s="547" t="str">
        <f>IFERROR(VLOOKUP($B112,'LOD 300 - ADMN'!$B:BO,66,FALSE),"N/A")</f>
        <v>N/A</v>
      </c>
      <c r="AN112" s="547" t="str">
        <f>IFERROR(VLOOKUP($B112,'LOD 300 - ADMN'!$B:BR,69,FALSE),"N/A")</f>
        <v>N/A</v>
      </c>
      <c r="AO112" s="547" t="str">
        <f>IFERROR(VLOOKUP($B112,'LOD 300 - ADMN'!$B:BU,72,FALSE),"N/A")</f>
        <v>N/A</v>
      </c>
      <c r="AP112" s="547" t="str">
        <f>IFERROR(VLOOKUP($B112,'LOD 300 - ADMN'!$B:BX,75,FALSE),"N/A")</f>
        <v>N/A</v>
      </c>
      <c r="AQ112" s="547" t="str">
        <f>IFERROR(VLOOKUP($B112,'LOD 300 - ADMN'!$B:CA,78,FALSE),"N/A")</f>
        <v>N/A</v>
      </c>
      <c r="AR112" s="547" t="str">
        <f>IFERROR(VLOOKUP($B112,'LOD 300 - ADMN'!$B:CD,81,FALSE),"N/A")</f>
        <v>N/A</v>
      </c>
      <c r="AS112" s="547" t="str">
        <f>IFERROR(VLOOKUP($B112,'LOD 300 - ADMN'!$B:CG,84,FALSE),"N/A")</f>
        <v>N/A</v>
      </c>
      <c r="AT112" s="547" t="str">
        <f>IFERROR(VLOOKUP($B112,'LOD 300 - ADMN'!$B:CJ,87,FALSE),"N/A")</f>
        <v>N/A</v>
      </c>
      <c r="AU112" s="549" t="str">
        <f>IFERROR(VLOOKUP($B112,'LOD 300 - ADMN'!$B:CM,90,FALSE),"N/A")</f>
        <v>N/A</v>
      </c>
      <c r="AV112" s="549" t="str">
        <f>IFERROR(VLOOKUP($B112,'LOD 300 - ADMN'!$B:CP,93,FALSE),"N/A")</f>
        <v>N/A</v>
      </c>
      <c r="AW112" s="549" t="str">
        <f>IFERROR(VLOOKUP($B112,'LOD 300 - ADMN'!$B:CS,96,FALSE),"N/A")</f>
        <v>N/A</v>
      </c>
      <c r="AX112" s="549" t="str">
        <f>IFERROR(VLOOKUP($B112,'LOD 300 - ADMN'!$B:CV,99,FALSE),"N/A")</f>
        <v>N/A</v>
      </c>
      <c r="AY112" s="549" t="str">
        <f>IFERROR(VLOOKUP($B112,'LOD 300 - ADMN'!$B:CY,102,FALSE),"N/A")</f>
        <v>N/A</v>
      </c>
      <c r="AZ112" s="550" t="str">
        <f>IFERROR(VLOOKUP($B112,'LOD 300 - ADMN'!$B:DB,105,FALSE),"N/A")</f>
        <v>N/A</v>
      </c>
      <c r="BA112" s="548" t="str">
        <f>IFERROR(VLOOKUP($B112,'LOD 300 - ADMN'!$B:DE,108,FALSE),"N/A")</f>
        <v>N/A</v>
      </c>
      <c r="BB112" s="548" t="str">
        <f>IFERROR(VLOOKUP($B112,'LOD 300 - ADMN'!$B:DH,111,FALSE),"N/A")</f>
        <v>N/A</v>
      </c>
      <c r="BC112" s="548" t="str">
        <f>IFERROR(VLOOKUP($B112,'LOD 300 - ADMN'!$B:DK,114,FALSE),"N/A")</f>
        <v>N/A</v>
      </c>
      <c r="BD112" s="548" t="str">
        <f>IFERROR(VLOOKUP($B112,'LOD 300 - ADMN'!$B:DN,117,FALSE),"N/A")</f>
        <v>N/A</v>
      </c>
      <c r="BE112" s="548" t="str">
        <f>IFERROR(VLOOKUP($B112,'LOD 300 - ADMN'!$B:DQ,120,FALSE),"N/A")</f>
        <v>N/A</v>
      </c>
      <c r="BF112" s="548" t="str">
        <f>IFERROR(VLOOKUP($B112,'LOD 300 - ADMN'!$B:DT,123,FALSE),"N/A")</f>
        <v>N/A</v>
      </c>
      <c r="BG112" s="548" t="str">
        <f>IFERROR(VLOOKUP($B112,'LOD 300 - ADMN'!$B:DW,126,FALSE),"N/A")</f>
        <v>N/A</v>
      </c>
      <c r="BH112" s="548" t="str">
        <f>IFERROR(VLOOKUP($B112,'LOD 300 - ADMN'!$B:DZ,129,FALSE),"N/A")</f>
        <v>N/A</v>
      </c>
      <c r="BI112" s="548" t="str">
        <f>IFERROR(VLOOKUP($B112,'LOD 300 - ADMN'!$B:EC,132,FALSE),"N/A")</f>
        <v>N/A</v>
      </c>
      <c r="BJ112" s="551" t="str">
        <f>IFERROR(__xludf.DUMMYFUNCTION("IFERROR(
  MAX(FILTER(X112:BI112, ISNUMBER(X112:BI112))),
  BI112
)"),"N/A")</f>
        <v>N/A</v>
      </c>
      <c r="BK112" s="552" t="str">
        <f>IFERROR(VLOOKUP($B112,'LOD 300 - COLO1'!$B:S,18,FALSE),"N/A")</f>
        <v>N/A</v>
      </c>
      <c r="BL112" s="553" t="str">
        <f>IFERROR(VLOOKUP($B112,'LOD 300 - COLO1'!$B:V,21,FALSE),"N/A")</f>
        <v>N/A</v>
      </c>
      <c r="BM112" s="553" t="str">
        <f>IFERROR(VLOOKUP($B112,'LOD 300 - COLO1'!$B:Y,24,FALSE),"N/A")</f>
        <v>N/A</v>
      </c>
      <c r="BN112" s="553" t="str">
        <f>IFERROR(VLOOKUP($B112,'LOD 300 - COLO1'!$B:AB,27,FALSE),"N/A")</f>
        <v>N/A</v>
      </c>
      <c r="BO112" s="553" t="str">
        <f>IFERROR(VLOOKUP($B112,'LOD 300 - COLO1'!$B:AE,30,FALSE),"N/A")</f>
        <v>N/A</v>
      </c>
      <c r="BP112" s="553" t="str">
        <f>IFERROR(VLOOKUP($B112,'LOD 300 - COLO1'!$B:AH,33,FALSE),"N/A")</f>
        <v>N/A</v>
      </c>
      <c r="BQ112" s="553" t="str">
        <f>IFERROR(VLOOKUP($B112,'LOD 300 - COLO1'!$B:AK,36,FALSE),"N/A")</f>
        <v>N/A</v>
      </c>
      <c r="BR112" s="553" t="str">
        <f>IFERROR(VLOOKUP($B112,'LOD 300 - COLO1'!$B:AN,39,FALSE),"N/A")</f>
        <v>N/A</v>
      </c>
      <c r="BS112" s="553" t="str">
        <f>IFERROR(VLOOKUP($B112,'LOD 300 - COLO1'!$B:AQ,42,FALSE),"N/A")</f>
        <v>N/A</v>
      </c>
      <c r="BT112" s="553" t="str">
        <f>IFERROR(VLOOKUP($B112,'LOD 300 - COLO1'!$B:AT,45,FALSE),"N/A")</f>
        <v>N/A</v>
      </c>
      <c r="BU112" s="553" t="str">
        <f>IFERROR(VLOOKUP($B112,'LOD 300 - COLO1'!$B:AW,48,FALSE),"N/A")</f>
        <v>N/A</v>
      </c>
      <c r="BV112" s="553" t="str">
        <f>IFERROR(VLOOKUP($B112,'LOD 300 - COLO1'!$B:AZ,51,FALSE),"N/A")</f>
        <v>N/A</v>
      </c>
      <c r="BW112" s="553" t="str">
        <f>IFERROR(VLOOKUP($B112,'LOD 300 - COLO1'!$B:BC,54,FALSE),"N/A")</f>
        <v>N/A</v>
      </c>
      <c r="BX112" s="554" t="str">
        <f>IFERROR(VLOOKUP($B112,'LOD 300 - COLO1'!$B:BF,57,FALSE),"N/A")</f>
        <v>N/A</v>
      </c>
      <c r="BY112" s="554" t="str">
        <f>IFERROR(VLOOKUP($B112,'LOD 300 - COLO1'!$B:BI,60,FALSE),"N/A")</f>
        <v>N/A</v>
      </c>
      <c r="BZ112" s="555" t="str">
        <f>IFERROR(VLOOKUP($B112,'LOD 300 - COLO1'!$B:BL,63,FALSE),"N/A")</f>
        <v>N/A</v>
      </c>
      <c r="CA112" s="547" t="str">
        <f>IFERROR(VLOOKUP($B112,'LOD 300 - COLO1'!$B:BO,66,FALSE),"N/A")</f>
        <v>N/A</v>
      </c>
      <c r="CB112" s="547" t="str">
        <f>IFERROR(VLOOKUP($B112,'LOD 300 - COLO1'!$B:BR,69,FALSE),"N/A")</f>
        <v>N/A</v>
      </c>
      <c r="CC112" s="547" t="str">
        <f>IFERROR(VLOOKUP($B112,'LOD 300 - COLO1'!$B:BU,72,FALSE),"N/A")</f>
        <v>N/A</v>
      </c>
      <c r="CD112" s="547" t="str">
        <f>IFERROR(VLOOKUP($B112,'LOD 300 - COLO1'!$B:BX,75,FALSE),"N/A")</f>
        <v>N/A</v>
      </c>
      <c r="CE112" s="547" t="str">
        <f>IFERROR(VLOOKUP($B112,'LOD 300 - COLO1'!$B:CA,78,FALSE),"N/A")</f>
        <v>N/A</v>
      </c>
      <c r="CF112" s="548" t="str">
        <f>IFERROR(VLOOKUP($B112,'LOD 300 - COLO1'!$B:CD,81,FALSE),"N/A")</f>
        <v>N/A</v>
      </c>
      <c r="CG112" s="547" t="str">
        <f>IFERROR(VLOOKUP($B112,'LOD 300 - COLO1'!$B:CG,84,FALSE),"N/A")</f>
        <v>N/A</v>
      </c>
      <c r="CH112" s="548" t="str">
        <f>IFERROR(VLOOKUP($B112,'LOD 300 - COLO1'!$B:CJ,87,FALSE),"N/A")</f>
        <v>N/A</v>
      </c>
      <c r="CI112" s="549" t="str">
        <f>IFERROR(VLOOKUP($B112,'LOD 300 - COLO1'!$B:CM,90,FALSE),"N/A")</f>
        <v>N/A</v>
      </c>
      <c r="CJ112" s="549" t="str">
        <f>IFERROR(VLOOKUP($B112,'LOD 300 - COLO1'!$B:CP,93,FALSE),"N/A")</f>
        <v>N/A</v>
      </c>
      <c r="CK112" s="549" t="str">
        <f>IFERROR(VLOOKUP($B112,'LOD 300 - COLO1'!$B:CS,96,FALSE),"N/A")</f>
        <v>N/A</v>
      </c>
      <c r="CL112" s="549" t="str">
        <f>IFERROR(VLOOKUP($B112,'LOD 300 - COLO1'!$B:CV,99,FALSE),"N/A")</f>
        <v>N/A</v>
      </c>
      <c r="CM112" s="549" t="str">
        <f>IFERROR(VLOOKUP($B112,'LOD 300 - COLO1'!$B:CY,102,FALSE),"N/A")</f>
        <v>N/A</v>
      </c>
      <c r="CN112" s="550" t="str">
        <f>IFERROR(VLOOKUP($B112,'LOD 300 - COLO1'!$B:DB,105,FALSE),"N/A")</f>
        <v>N/A</v>
      </c>
      <c r="CO112" s="548" t="str">
        <f>IFERROR(VLOOKUP($B112,'LOD 300 - COLO1'!$B:EE,108,FALSE),"N/A")</f>
        <v>N/A</v>
      </c>
      <c r="CP112" s="548" t="str">
        <f>IFERROR(VLOOKUP($B112,'LOD 300 - COLO1'!$B:EH,111,FALSE),"N/A")</f>
        <v>N/A</v>
      </c>
      <c r="CQ112" s="548" t="str">
        <f>IFERROR(VLOOKUP($B112,'LOD 300 - COLO1'!$B:EK,114,FALSE),"N/A")</f>
        <v>N/A</v>
      </c>
      <c r="CR112" s="548" t="str">
        <f>IFERROR(VLOOKUP($B112,'LOD 300 - COLO1'!$B:EN,117,FALSE),"N/A")</f>
        <v>N/A</v>
      </c>
      <c r="CS112" s="548" t="str">
        <f>IFERROR(VLOOKUP($B112,'LOD 300 - COLO1'!$B:EQ,120,FALSE),"N/A")</f>
        <v>N/A</v>
      </c>
      <c r="CT112" s="548" t="str">
        <f>IFERROR(VLOOKUP($B112,'LOD 300 - COLO1'!$B:ET,123,FALSE),"N/A")</f>
        <v>N/A</v>
      </c>
      <c r="CU112" s="548" t="str">
        <f>IFERROR(VLOOKUP($B112,'LOD 300 - COLO1'!$B:EW,126,FALSE),"N/A")</f>
        <v>N/A</v>
      </c>
      <c r="CV112" s="548" t="str">
        <f>IFERROR(VLOOKUP($B112,'LOD 300 - COLO1'!$B:EZ,129,FALSE),"N/A")</f>
        <v>N/A</v>
      </c>
      <c r="CW112" s="548" t="str">
        <f>IFERROR(VLOOKUP($B112,'LOD 300 - COLO1'!$B:FC,132,FALSE),"N/A")</f>
        <v>N/A</v>
      </c>
      <c r="CX112" s="556" t="str">
        <f>IFERROR(__xludf.DUMMYFUNCTION("IFERROR(
  MAX(FILTER(BK112:CW112, ISNUMBER(BK112:CW112))),
  CW112
)"),"N/A")</f>
        <v>N/A</v>
      </c>
      <c r="CY112" s="557" t="str">
        <f>IFERROR(VLOOKUP($B112,'LOD 300 - COLO2'!$B:S,18,FALSE),"N/A")</f>
        <v>N/A</v>
      </c>
      <c r="CZ112" s="544" t="str">
        <f>IFERROR(VLOOKUP($B112,'LOD 300 - COLO2'!$B:V,21,FALSE),"N/A")</f>
        <v>N/A</v>
      </c>
      <c r="DA112" s="544" t="str">
        <f>IFERROR(VLOOKUP($B112,'LOD 300 - COLO2'!$B:Y,24,FALSE),"N/A")</f>
        <v>N/A</v>
      </c>
      <c r="DB112" s="544" t="str">
        <f>IFERROR(VLOOKUP($B112,'LOD 300 - COLO2'!$B:AB,27,FALSE),"N/A")</f>
        <v>N/A</v>
      </c>
      <c r="DC112" s="544" t="str">
        <f>IFERROR(VLOOKUP($B112,'LOD 300 - COLO2'!$B:AE,30,FALSE),"N/A")</f>
        <v>N/A</v>
      </c>
      <c r="DD112" s="544" t="str">
        <f>IFERROR(VLOOKUP($B112,'LOD 300 - COLO2'!$B:AH,33,FALSE),"N/A")</f>
        <v>N/A</v>
      </c>
      <c r="DE112" s="544" t="str">
        <f>IFERROR(VLOOKUP($B112,'LOD 300 - COLO2'!$B:AK,36,FALSE),"N/A")</f>
        <v>N/A</v>
      </c>
      <c r="DF112" s="544" t="str">
        <f>IFERROR(VLOOKUP($B112,'LOD 300 - COLO2'!$B:AN,39,FALSE),"N/A")</f>
        <v>N/A</v>
      </c>
      <c r="DG112" s="546" t="str">
        <f>IFERROR(VLOOKUP($B112,'LOD 300 - COLO2'!$B:AQ,42,FALSE),"N/A")</f>
        <v>N/A</v>
      </c>
      <c r="DH112" s="548" t="str">
        <f>IFERROR(VLOOKUP($B112,'LOD 300 - COLO2'!$B:AT,45,FALSE),"N/A")</f>
        <v>N/A</v>
      </c>
      <c r="DI112" s="554" t="str">
        <f>IFERROR(VLOOKUP($B112,'LOD 300 - COLO2'!$B:AW,48,FALSE),"N/A")</f>
        <v>N/A</v>
      </c>
      <c r="DJ112" s="555" t="str">
        <f>IFERROR(VLOOKUP($B112,'LOD 300 - COLO2'!$B:AZ,51,FALSE),"N/A")</f>
        <v>N/A</v>
      </c>
      <c r="DK112" s="547" t="str">
        <f>IFERROR(VLOOKUP($B112,'LOD 300 - COLO2'!$B:BC,54,FALSE),"N/A")</f>
        <v>N/A</v>
      </c>
      <c r="DL112" s="547" t="str">
        <f>IFERROR(VLOOKUP($B112,'LOD 300 - COLO2'!$B:BF,57,FALSE),"N/A")</f>
        <v>N/A</v>
      </c>
      <c r="DM112" s="547" t="str">
        <f>IFERROR(VLOOKUP($B112,'LOD 300 - COLO2'!$B:BI,60,FALSE),"N/A")</f>
        <v>N/A</v>
      </c>
      <c r="DN112" s="547" t="str">
        <f>IFERROR(VLOOKUP($B112,'LOD 300 - COLO2'!$B:BL,63,FALSE),"N/A")</f>
        <v>N/A</v>
      </c>
      <c r="DO112" s="547" t="str">
        <f>IFERROR(VLOOKUP($B112,'LOD 300 - COLO2'!$B:BO,66,FALSE),"N/A")</f>
        <v>N/A</v>
      </c>
      <c r="DP112" s="548" t="str">
        <f>IFERROR(VLOOKUP($B112,'LOD 300 - COLO2'!$B:BR,69,FALSE),"N/A")</f>
        <v>N/A</v>
      </c>
      <c r="DQ112" s="548" t="str">
        <f>IFERROR(VLOOKUP($B112,'LOD 300 - COLO2'!$B:BU,72,FALSE),"N/A")</f>
        <v>N/A</v>
      </c>
      <c r="DR112" s="548" t="str">
        <f>IFERROR(VLOOKUP($B112,'LOD 300 - COLO2'!$B:BX,75,FALSE),"N/A")</f>
        <v>N/A</v>
      </c>
      <c r="DS112" s="549" t="str">
        <f>IFERROR(VLOOKUP($B112,'LOD 300 - COLO2'!$B:CA,78,FALSE),"N/A")</f>
        <v>N/A</v>
      </c>
      <c r="DT112" s="549" t="str">
        <f>IFERROR(VLOOKUP($B112,'LOD 300 - COLO2'!$B:CD,81,FALSE),"N/A")</f>
        <v>N/A</v>
      </c>
      <c r="DU112" s="549" t="str">
        <f>IFERROR(VLOOKUP($B112,'LOD 300 - COLO2'!$B:CG,84,FALSE),"N/A")</f>
        <v>N/A</v>
      </c>
      <c r="DV112" s="549" t="str">
        <f>IFERROR(VLOOKUP($B112,'LOD 300 - COLO2'!$B:CJ,87,FALSE),"N/A")</f>
        <v>N/A</v>
      </c>
      <c r="DW112" s="549" t="str">
        <f>IFERROR(VLOOKUP($B112,'LOD 300 - COLO2'!$B:CM,90,FALSE),"N/A")</f>
        <v>N/A</v>
      </c>
      <c r="DX112" s="549" t="str">
        <f>IFERROR(VLOOKUP($B112,'LOD 300 - COLO2'!$B:CP,93,FALSE),"N/A")</f>
        <v>N/A</v>
      </c>
      <c r="DY112" s="548" t="str">
        <f>IFERROR(VLOOKUP($B112,'LOD 300 - COLO2'!$B:CS,96,FALSE),"N/A")</f>
        <v>N/A</v>
      </c>
      <c r="DZ112" s="548" t="str">
        <f>IFERROR(VLOOKUP($B112,'LOD 300 - COLO2'!$B:CV,99,FALSE),"N/A")</f>
        <v>N/A</v>
      </c>
      <c r="EA112" s="548" t="str">
        <f>IFERROR(VLOOKUP($B112,'LOD 300 - COLO2'!$B:DB,105,FALSE),"N/A")</f>
        <v>N/A</v>
      </c>
      <c r="EB112" s="548" t="str">
        <f>IFERROR(VLOOKUP($B112,'LOD 300 - COLO2'!$B:DB,105,FALSE),"N/A")</f>
        <v>N/A</v>
      </c>
      <c r="EC112" s="548" t="str">
        <f>IFERROR(VLOOKUP($B112,'LOD 300 - COLO2'!$B:DE,108,FALSE),"N/A")</f>
        <v>N/A</v>
      </c>
      <c r="ED112" s="548" t="str">
        <f>IFERROR(VLOOKUP($B112,'LOD 300 - COLO2'!$B:DH,111,FALSE),"N/A")</f>
        <v>N/A</v>
      </c>
      <c r="EE112" s="548" t="str">
        <f>IFERROR(VLOOKUP($B112,'LOD 300 - COLO2'!$B:DK,114,FALSE),"N/A")</f>
        <v>N/A</v>
      </c>
      <c r="EF112" s="548" t="str">
        <f>IFERROR(VLOOKUP($B112,'LOD 300 - COLO2'!$B:DN,117,FALSE),"N/A")</f>
        <v>N/A</v>
      </c>
      <c r="EG112" s="548" t="str">
        <f>IFERROR(VLOOKUP($B112,'LOD 300 - COLO2'!$B:DQ,120,FALSE),"N/A")</f>
        <v>N/A</v>
      </c>
      <c r="EH112" s="558" t="str">
        <f>IFERROR(__xludf.DUMMYFUNCTION("IFERROR(
  MAX(FILTER(CZ112:EG112, ISNUMBER(CZ112:EG112))),
  EG112
)"),"N/A")</f>
        <v>N/A</v>
      </c>
      <c r="EI112" s="559" t="str">
        <f>IFERROR(VLOOKUP($B112,'LOD 300 - COLO3'!$B:R,17,FALSE),"N/A")</f>
        <v>N/A</v>
      </c>
      <c r="EJ112" s="560" t="str">
        <f>IFERROR(VLOOKUP($B112,'LOD 300 - COLO3'!$B:U,20,FALSE),"N/A")</f>
        <v>N/A</v>
      </c>
      <c r="EK112" s="560" t="str">
        <f>IFERROR(VLOOKUP($B112,'LOD 300 - COLO3'!$B:X,23,FALSE),"N/A")</f>
        <v>N/A</v>
      </c>
      <c r="EL112" s="560" t="str">
        <f>IFERROR(VLOOKUP($B112,'LOD 300 - COLO3'!$B:AA,26,FALSE),"N/A")</f>
        <v>N/A</v>
      </c>
      <c r="EM112" s="560" t="str">
        <f>IFERROR(VLOOKUP($B112,'LOD 300 - COLO3'!$B:AD,29,FALSE),"N/A")</f>
        <v>N/A</v>
      </c>
      <c r="EN112" s="560" t="str">
        <f>IFERROR(VLOOKUP($B112,'LOD 300 - COLO3'!$B:AG,32,FALSE),"N/A")</f>
        <v>N/A</v>
      </c>
      <c r="EO112" s="561" t="str">
        <f>IFERROR(VLOOKUP($B112,'LOD 300 - COLO3'!$B:AJ,35,FALSE),"N/A")</f>
        <v>N/A</v>
      </c>
      <c r="EP112" s="559" t="str">
        <f>IFERROR(VLOOKUP($B112,'LOD 300 - COLO3'!$B:AM,38,FALSE),"N/A")</f>
        <v>N/A</v>
      </c>
      <c r="EQ112" s="559" t="str">
        <f>IFERROR(VLOOKUP($B112,'LOD 300 - COLO3'!$B:AP,41,FALSE),"N/A")</f>
        <v>N/A</v>
      </c>
      <c r="ER112" s="559" t="str">
        <f>IFERROR(VLOOKUP($B112,'LOD 300 - COLO3'!$B:AS,44,FALSE),"N/A")</f>
        <v>N/A</v>
      </c>
      <c r="ES112" s="559" t="str">
        <f>IFERROR(VLOOKUP($B112,'LOD 300 - COLO3'!$B:AV,47,FALSE),"N/A")</f>
        <v>N/A</v>
      </c>
      <c r="ET112" s="559" t="str">
        <f>IFERROR(VLOOKUP($B112,'LOD 300 - COLO3'!$B:AY,50,FALSE),"N/A")</f>
        <v>N/A</v>
      </c>
      <c r="EU112" s="559" t="str">
        <f>IFERROR(VLOOKUP($B112,'LOD 300 - COLO3'!$B:BB,53,FALSE),"N/A")</f>
        <v>N/A</v>
      </c>
      <c r="EV112" s="559" t="str">
        <f>IFERROR(VLOOKUP($B112,'LOD 300 - COLO3'!$B:BE,56,FALSE),"N/A")</f>
        <v>N/A</v>
      </c>
      <c r="EW112" s="559" t="str">
        <f>IFERROR(VLOOKUP($B112,'LOD 300 - COLO3'!$B:BL,59,FALSE),"N/A")</f>
        <v>N/A</v>
      </c>
      <c r="EX112" s="559" t="str">
        <f>IFERROR(VLOOKUP($B112,'LOD 300 - COLO3'!$B:BO,62,FALSE),"N/A")</f>
        <v>N/A</v>
      </c>
      <c r="EY112" s="562" t="str">
        <f>IFERROR(__xludf.DUMMYFUNCTION("IFERROR(
  MAX(FILTER(EI112:EX112, ISNUMBER(EI112:EX112))),
  EX112
)"),"N/A")</f>
        <v>N/A</v>
      </c>
      <c r="EZ112" s="104" t="str">
        <f>IFERROR(VLOOKUP($B112,'LOD 300 - COLO4'!$B:BT,17,FALSE),"N/A")</f>
        <v>N/A</v>
      </c>
      <c r="FA112" s="103" t="str">
        <f>IFERROR(__xludf.DUMMYFUNCTION("IFERROR(
  MAX(FILTER(EZ112, ISNUMBER(EZ112))),
  EZ112
)"),"N/A")</f>
        <v>N/A</v>
      </c>
      <c r="FB112" s="563">
        <f>IFERROR(VLOOKUP($B112,'LOD 300 - SITE'!$B:S,18,FALSE),"N/A")</f>
        <v>1</v>
      </c>
      <c r="FC112" s="564">
        <f>IFERROR(VLOOKUP($B112,'LOD 300 - SITE'!$B:V,21,FALSE),"N/A")</f>
        <v>1</v>
      </c>
      <c r="FD112" s="564">
        <f>IFERROR(VLOOKUP($B112,'LOD 300 - SITE'!$B:Y,24,FALSE),"N/A")</f>
        <v>1</v>
      </c>
      <c r="FE112" s="564">
        <f>IFERROR(VLOOKUP($B112,'LOD 300 - SITE'!$B:AB,27,FALSE),"N/A")</f>
        <v>1</v>
      </c>
      <c r="FF112" s="564">
        <f>IFERROR(VLOOKUP($B112,'LOD 300 - SITE'!$B:AE,30,FALSE),"N/A")</f>
        <v>1</v>
      </c>
      <c r="FG112" s="564">
        <f>IFERROR(VLOOKUP($B112,'LOD 300 - SITE'!$B:AH,33,FALSE),"N/A")</f>
        <v>1</v>
      </c>
      <c r="FH112" s="564">
        <f>IFERROR(VLOOKUP($B112,'LOD 300 - SITE'!$B:AK,36,FALSE),"N/A")</f>
        <v>1</v>
      </c>
      <c r="FI112" s="564">
        <f>IFERROR(VLOOKUP($B112,'LOD 300 - SITE'!$B:AN,39,FALSE),"N/A")</f>
        <v>1</v>
      </c>
      <c r="FJ112" s="564">
        <f>IFERROR(VLOOKUP($B112,'LOD 300 - SITE'!$B:AQ,42,FALSE),"N/A")</f>
        <v>1</v>
      </c>
      <c r="FK112" s="564">
        <f>IFERROR(VLOOKUP($B112,'LOD 300 - SITE'!$B:AT,45,FALSE),"N/A")</f>
        <v>1</v>
      </c>
      <c r="FL112" s="565">
        <f>IFERROR(VLOOKUP($B112,'LOD 300 - SITE'!$B:AW,48,FALSE),"N/A")</f>
        <v>1</v>
      </c>
      <c r="FM112" s="548">
        <f>IFERROR(VLOOKUP($B112,'LOD 300 - SITE'!$B:AZ,51,FALSE),"N/A")</f>
        <v>1</v>
      </c>
      <c r="FN112" s="554">
        <f>IFERROR(VLOOKUP($B112,'LOD 300 - SITE'!$B:BC,54,FALSE),"N/A")</f>
        <v>1</v>
      </c>
      <c r="FO112" s="555">
        <f>IFERROR(VLOOKUP($B112,'LOD 300 - SITE'!$B:BF,57,FALSE),"N/A")</f>
        <v>1</v>
      </c>
      <c r="FP112" s="547">
        <f>IFERROR(VLOOKUP($B112,'LOD 300 - SITE'!$B:BI,60,FALSE),"N/A")</f>
        <v>1</v>
      </c>
      <c r="FQ112" s="547">
        <f>IFERROR(VLOOKUP($B112,'LOD 300 - SITE'!$B:BL,63,FALSE),"N/A")</f>
        <v>1</v>
      </c>
      <c r="FR112" s="547">
        <f>IFERROR(VLOOKUP($B112,'LOD 300 - SITE'!$B:BO,66,FALSE),"N/A")</f>
        <v>1</v>
      </c>
      <c r="FS112" s="547">
        <f>IFERROR(VLOOKUP($B112,'LOD 300 - SITE'!$B:BR,69,FALSE),"N/A")</f>
        <v>1</v>
      </c>
      <c r="FT112" s="547">
        <f>IFERROR(VLOOKUP($B112,'LOD 300 - SITE'!$B:BU,72,FALSE),"N/A")</f>
        <v>1</v>
      </c>
      <c r="FU112" s="547">
        <f>IFERROR(VLOOKUP($B112,'LOD 300 - SITE'!$B:BX,75,FALSE),"N/A")</f>
        <v>1</v>
      </c>
      <c r="FV112" s="547">
        <f>IFERROR(VLOOKUP($B112,'LOD 300 - SITE'!$B:CA,78,FALSE),"N/A")</f>
        <v>1</v>
      </c>
      <c r="FW112" s="548">
        <f>IFERROR(VLOOKUP($B112,'LOD 300 - SITE'!$B:CD,81,FALSE),"N/A")</f>
        <v>1</v>
      </c>
      <c r="FX112" s="566">
        <f>IFERROR(VLOOKUP($B112,'LOD 300 - SITE'!$B:CG,84,FALSE),"N/A")</f>
        <v>1</v>
      </c>
      <c r="FY112" s="566">
        <f>IFERROR(VLOOKUP($B112,'LOD 300 - SITE'!$B:CJ,87,FALSE),"N/A")</f>
        <v>1</v>
      </c>
      <c r="FZ112" s="566">
        <f>IFERROR(VLOOKUP($B112,'LOD 300 - SITE'!$B:CM,90,FALSE),"N/A")</f>
        <v>1</v>
      </c>
      <c r="GA112" s="566">
        <f>IFERROR(VLOOKUP($B112,'LOD 300 - SITE'!$B:CP,93,FALSE),"N/A")</f>
        <v>1</v>
      </c>
      <c r="GB112" s="566">
        <f>IFERROR(VLOOKUP($B112,'LOD 300 - SITE'!$B:CS,96,FALSE),"N/A")</f>
        <v>1</v>
      </c>
      <c r="GC112" s="567">
        <f>IFERROR(VLOOKUP($B112,'LOD 300 - SITE'!$B:CV,99,FALSE),"N/A")</f>
        <v>1</v>
      </c>
      <c r="GD112" s="548">
        <f>IFERROR(VLOOKUP($B112,'LOD 300 - SITE'!$B:CY,102,FALSE),"N/A")</f>
        <v>1</v>
      </c>
      <c r="GE112" s="548">
        <f>IFERROR(VLOOKUP($B112,'LOD 300 - SITE'!$B:DB,105,FALSE),"N/A")</f>
        <v>1</v>
      </c>
      <c r="GF112" s="548">
        <f>IFERROR(VLOOKUP($B112,'LOD 300 - SITE'!$B:DE,108,FALSE),"N/A")</f>
        <v>1</v>
      </c>
      <c r="GG112" s="548">
        <f>IFERROR(VLOOKUP($B112,'LOD 300 - SITE'!$B:DH,111,FALSE),"N/A")</f>
        <v>1</v>
      </c>
      <c r="GH112" s="548">
        <f>IFERROR(VLOOKUP($B112,'LOD 300 - SITE'!$B:DK,114,FALSE),"N/A")</f>
        <v>1</v>
      </c>
      <c r="GI112" s="548">
        <f>IFERROR(VLOOKUP($B112,'LOD 300 - SITE'!$B:DN,117,FALSE),"N/A")</f>
        <v>1</v>
      </c>
      <c r="GJ112" s="548">
        <f>IFERROR(VLOOKUP($B112,'LOD 300 - SITE'!$B:DQ,120,FALSE),"N/A")</f>
        <v>1</v>
      </c>
      <c r="GK112" s="548">
        <f>IFERROR(VLOOKUP($B112,'LOD 300 - SITE'!$B:DT,123,FALSE),"N/A")</f>
        <v>1</v>
      </c>
      <c r="GL112" s="548">
        <f>IFERROR(VLOOKUP($B112,'LOD 300 - SITE'!$B:DW,126,FALSE),"N/A")</f>
        <v>1</v>
      </c>
      <c r="GM112" s="568">
        <f>IFERROR(__xludf.DUMMYFUNCTION("IFERROR(
  MAX(FILTER(FB112:GL112, ISNUMBER(FB112:GL112))),
  GL112
)"),1.0)</f>
        <v>1</v>
      </c>
      <c r="GN112" s="135"/>
      <c r="GO112" s="135"/>
      <c r="GP112" s="135"/>
    </row>
    <row r="113" ht="498.0" customHeight="1" outlineLevel="1">
      <c r="A113" s="569"/>
      <c r="B113" s="570"/>
      <c r="C113" s="570"/>
      <c r="D113" s="570"/>
      <c r="E113" s="571"/>
      <c r="F113" s="13"/>
      <c r="G113" s="571"/>
      <c r="H113" s="571"/>
      <c r="I113" s="68"/>
      <c r="J113" s="68"/>
      <c r="K113" s="68"/>
      <c r="L113" s="572"/>
      <c r="M113" s="68"/>
      <c r="N113" s="573"/>
      <c r="O113" s="573"/>
      <c r="P113" s="573"/>
      <c r="Q113" s="573"/>
      <c r="R113" s="573"/>
      <c r="S113" s="573"/>
      <c r="T113" s="573"/>
      <c r="U113" s="573"/>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8"/>
      <c r="CN113" s="68"/>
      <c r="CO113" s="68"/>
      <c r="CP113" s="68"/>
      <c r="CQ113" s="68"/>
      <c r="CR113" s="68"/>
      <c r="CS113" s="68"/>
      <c r="CT113" s="68"/>
      <c r="CU113" s="68"/>
      <c r="CV113" s="68"/>
      <c r="CW113" s="68"/>
      <c r="CX113" s="68"/>
      <c r="CY113" s="68"/>
      <c r="CZ113" s="68"/>
      <c r="DA113" s="68"/>
      <c r="DB113" s="68"/>
      <c r="DC113" s="68"/>
      <c r="DD113" s="68"/>
      <c r="DE113" s="68"/>
      <c r="DF113" s="68"/>
      <c r="DG113" s="68"/>
      <c r="DH113" s="68"/>
      <c r="DI113" s="68"/>
      <c r="DJ113" s="68"/>
      <c r="DK113" s="68"/>
      <c r="DL113" s="68"/>
      <c r="DM113" s="68"/>
      <c r="DN113" s="68"/>
      <c r="DO113" s="68"/>
      <c r="DP113" s="68"/>
      <c r="DQ113" s="68"/>
      <c r="DR113" s="68"/>
      <c r="DS113" s="68"/>
      <c r="DT113" s="68"/>
      <c r="DU113" s="68"/>
      <c r="DV113" s="68"/>
      <c r="DW113" s="68"/>
      <c r="DX113" s="68"/>
      <c r="DY113" s="68"/>
      <c r="DZ113" s="68"/>
      <c r="EA113" s="68"/>
      <c r="EB113" s="68"/>
      <c r="EC113" s="68"/>
      <c r="ED113" s="68"/>
      <c r="EE113" s="68"/>
      <c r="EF113" s="68"/>
      <c r="EG113" s="68"/>
      <c r="EH113" s="68"/>
      <c r="EI113" s="135"/>
      <c r="EJ113" s="135"/>
      <c r="EK113" s="135"/>
      <c r="EL113" s="135"/>
      <c r="EM113" s="135"/>
      <c r="EN113" s="135"/>
      <c r="EO113" s="135"/>
      <c r="EP113" s="135"/>
      <c r="EQ113" s="135"/>
      <c r="ER113" s="135"/>
      <c r="ES113" s="135"/>
      <c r="ET113" s="135"/>
      <c r="EU113" s="135"/>
      <c r="EV113" s="135"/>
      <c r="EW113" s="135"/>
      <c r="EX113" s="135"/>
      <c r="EY113" s="135"/>
      <c r="EZ113" s="135"/>
      <c r="FA113" s="135"/>
      <c r="FB113" s="135"/>
      <c r="FC113" s="68"/>
      <c r="FD113" s="68"/>
      <c r="FE113" s="68"/>
      <c r="FF113" s="68"/>
      <c r="FG113" s="68"/>
      <c r="FH113" s="68"/>
      <c r="FI113" s="68"/>
      <c r="FJ113" s="68"/>
      <c r="FK113" s="68"/>
      <c r="FL113" s="68"/>
      <c r="FM113" s="68"/>
      <c r="FN113" s="68"/>
      <c r="FO113" s="68"/>
      <c r="FP113" s="68"/>
      <c r="FQ113" s="68"/>
      <c r="FR113" s="68"/>
      <c r="FS113" s="68"/>
      <c r="FT113" s="68"/>
      <c r="FU113" s="68"/>
      <c r="FV113" s="68"/>
      <c r="FW113" s="68"/>
      <c r="FX113" s="68"/>
      <c r="FY113" s="68"/>
      <c r="FZ113" s="68"/>
      <c r="GA113" s="68"/>
      <c r="GB113" s="68"/>
      <c r="GC113" s="68"/>
      <c r="GD113" s="68"/>
      <c r="GE113" s="68"/>
      <c r="GF113" s="68"/>
      <c r="GG113" s="68"/>
      <c r="GH113" s="68"/>
      <c r="GI113" s="68"/>
      <c r="GJ113" s="68"/>
      <c r="GK113" s="68"/>
      <c r="GL113" s="68"/>
      <c r="GM113" s="68"/>
      <c r="GN113" s="68"/>
      <c r="GO113" s="68"/>
      <c r="GP113" s="68"/>
    </row>
    <row r="114" ht="52.5" customHeight="1" outlineLevel="1">
      <c r="A114" s="59"/>
      <c r="B114" s="59"/>
      <c r="C114" s="59"/>
      <c r="D114" s="574"/>
      <c r="E114" s="575"/>
      <c r="F114" s="13"/>
      <c r="G114" s="575"/>
      <c r="H114" s="575"/>
      <c r="I114" s="59"/>
      <c r="J114" s="59"/>
      <c r="K114" s="59"/>
      <c r="L114" s="59"/>
      <c r="M114" s="59"/>
      <c r="N114" s="59"/>
      <c r="O114" s="59"/>
      <c r="P114" s="59"/>
      <c r="Q114" s="59"/>
      <c r="R114" s="59"/>
      <c r="S114" s="59"/>
      <c r="T114" s="59"/>
      <c r="U114" s="59"/>
      <c r="V114" s="59"/>
      <c r="W114" s="576"/>
      <c r="X114" s="576"/>
      <c r="Y114" s="576"/>
      <c r="Z114" s="576"/>
      <c r="AA114" s="576"/>
      <c r="AB114" s="576"/>
      <c r="AC114" s="576"/>
      <c r="AD114" s="576"/>
      <c r="AE114" s="576"/>
      <c r="AF114" s="576"/>
      <c r="AG114" s="576"/>
      <c r="AH114" s="576"/>
      <c r="AI114" s="576"/>
      <c r="AJ114" s="576"/>
      <c r="AK114" s="576"/>
      <c r="AL114" s="576"/>
      <c r="AM114" s="576"/>
      <c r="AN114" s="576"/>
      <c r="AO114" s="576"/>
      <c r="AP114" s="576"/>
      <c r="AQ114" s="576"/>
      <c r="AR114" s="576"/>
      <c r="AS114" s="576"/>
      <c r="AT114" s="576"/>
      <c r="AU114" s="576"/>
      <c r="AV114" s="576"/>
      <c r="AW114" s="576"/>
      <c r="AX114" s="576"/>
      <c r="AY114" s="576"/>
      <c r="AZ114" s="576"/>
      <c r="BA114" s="576"/>
      <c r="BB114" s="576"/>
      <c r="BC114" s="576"/>
      <c r="BD114" s="576"/>
      <c r="BE114" s="576"/>
      <c r="BF114" s="576"/>
      <c r="BG114" s="576"/>
      <c r="BH114" s="576"/>
      <c r="BI114" s="576"/>
      <c r="BJ114" s="576"/>
      <c r="BK114" s="576"/>
      <c r="BL114" s="576"/>
      <c r="BM114" s="576"/>
      <c r="BN114" s="576"/>
      <c r="BO114" s="576"/>
      <c r="BP114" s="576"/>
      <c r="BQ114" s="576"/>
      <c r="BR114" s="576"/>
      <c r="BS114" s="576"/>
      <c r="BT114" s="576"/>
      <c r="BU114" s="576"/>
      <c r="BV114" s="576"/>
      <c r="BW114" s="576"/>
      <c r="BX114" s="576"/>
      <c r="BY114" s="576"/>
      <c r="BZ114" s="576"/>
      <c r="CA114" s="576"/>
      <c r="CB114" s="576"/>
      <c r="CC114" s="576"/>
      <c r="CD114" s="576"/>
      <c r="CE114" s="576"/>
      <c r="CF114" s="576"/>
      <c r="CG114" s="576"/>
      <c r="CH114" s="576"/>
      <c r="CI114" s="576"/>
      <c r="CJ114" s="576"/>
      <c r="CK114" s="576"/>
      <c r="CL114" s="576"/>
      <c r="CM114" s="576"/>
      <c r="CN114" s="576"/>
      <c r="CO114" s="576"/>
      <c r="CP114" s="576"/>
      <c r="CQ114" s="576"/>
      <c r="CR114" s="576"/>
      <c r="CS114" s="576"/>
      <c r="CT114" s="576"/>
      <c r="CU114" s="576"/>
      <c r="CV114" s="576"/>
      <c r="CW114" s="576"/>
      <c r="CX114" s="576"/>
      <c r="CY114" s="576"/>
      <c r="CZ114" s="576"/>
      <c r="DA114" s="576"/>
      <c r="DB114" s="576"/>
      <c r="DC114" s="576"/>
      <c r="DD114" s="576"/>
      <c r="DE114" s="576"/>
      <c r="DF114" s="576"/>
      <c r="DG114" s="576"/>
      <c r="DH114" s="576"/>
      <c r="DI114" s="576"/>
      <c r="DJ114" s="576"/>
      <c r="DK114" s="576"/>
      <c r="DL114" s="576"/>
      <c r="DM114" s="576"/>
      <c r="DN114" s="576"/>
      <c r="DO114" s="576"/>
      <c r="DP114" s="576"/>
      <c r="DQ114" s="576"/>
      <c r="DR114" s="576"/>
      <c r="DS114" s="576"/>
      <c r="DT114" s="576"/>
      <c r="DU114" s="576"/>
      <c r="DV114" s="576"/>
      <c r="DW114" s="576"/>
      <c r="DX114" s="576"/>
      <c r="DY114" s="576"/>
      <c r="DZ114" s="576"/>
      <c r="EA114" s="576"/>
      <c r="EB114" s="576"/>
      <c r="EC114" s="576"/>
      <c r="ED114" s="576"/>
      <c r="EE114" s="576"/>
      <c r="EF114" s="576"/>
      <c r="EG114" s="576"/>
      <c r="EH114" s="576"/>
      <c r="EI114" s="577"/>
      <c r="EJ114" s="577"/>
      <c r="EK114" s="577"/>
      <c r="EL114" s="577"/>
      <c r="EM114" s="577"/>
      <c r="EN114" s="577"/>
      <c r="EO114" s="577"/>
      <c r="EP114" s="577"/>
      <c r="EQ114" s="577"/>
      <c r="ER114" s="577"/>
      <c r="ES114" s="577"/>
      <c r="ET114" s="577"/>
      <c r="EU114" s="577"/>
      <c r="EV114" s="577"/>
      <c r="EW114" s="577"/>
      <c r="EX114" s="577"/>
      <c r="EY114" s="577"/>
      <c r="EZ114" s="577"/>
      <c r="FA114" s="577"/>
      <c r="FB114" s="577"/>
      <c r="FC114" s="577"/>
      <c r="FD114" s="577"/>
      <c r="FE114" s="577"/>
      <c r="FF114" s="577"/>
      <c r="FG114" s="577"/>
      <c r="FH114" s="577"/>
      <c r="FI114" s="577"/>
      <c r="FJ114" s="577"/>
      <c r="FK114" s="577"/>
      <c r="FL114" s="577"/>
      <c r="FM114" s="577"/>
      <c r="FN114" s="577"/>
      <c r="FO114" s="577"/>
      <c r="FP114" s="577"/>
      <c r="FQ114" s="577"/>
      <c r="FR114" s="577"/>
      <c r="FS114" s="577"/>
      <c r="FT114" s="577"/>
      <c r="FU114" s="577"/>
      <c r="FV114" s="577"/>
      <c r="FW114" s="577"/>
      <c r="FX114" s="577"/>
      <c r="FY114" s="577"/>
      <c r="FZ114" s="577"/>
      <c r="GA114" s="577"/>
      <c r="GB114" s="577"/>
      <c r="GC114" s="577"/>
      <c r="GD114" s="577"/>
      <c r="GE114" s="577"/>
      <c r="GF114" s="577"/>
      <c r="GG114" s="577"/>
      <c r="GH114" s="577"/>
      <c r="GI114" s="577"/>
      <c r="GJ114" s="577"/>
      <c r="GK114" s="577"/>
      <c r="GL114" s="577"/>
      <c r="GM114" s="577"/>
      <c r="GN114" s="577"/>
      <c r="GO114" s="577"/>
      <c r="GP114" s="577"/>
    </row>
  </sheetData>
  <autoFilter ref="$A$3:$GP$112">
    <filterColumn colId="3">
      <filters>
        <filter val="SITE"/>
        <filter val="UTLS"/>
        <filter val="C12A"/>
        <filter val="COL5"/>
        <filter val="COL4"/>
        <filter val="COL3"/>
        <filter val="STIR"/>
        <filter val="PUMP"/>
        <filter val="COL2"/>
        <filter val="C345"/>
        <filter val="COL1"/>
        <filter val="DATA"/>
        <filter val="ADMN"/>
        <filter val="GUAR"/>
      </filters>
    </filterColumn>
  </autoFilter>
  <mergeCells count="8">
    <mergeCell ref="D1:FM1"/>
    <mergeCell ref="FN1:GM1"/>
    <mergeCell ref="W2:BJ2"/>
    <mergeCell ref="BK2:CX2"/>
    <mergeCell ref="CY2:EH2"/>
    <mergeCell ref="EI2:EY2"/>
    <mergeCell ref="EZ2:FA2"/>
    <mergeCell ref="FB2:GM2"/>
  </mergeCells>
  <conditionalFormatting sqref="W3:Y114 Z3:BI112 BK3:CW114 CY3:EG114 EI3:EX114 FB3:GL114 GN3:GP114 BJ4 CX4 EH4 EY4:FA4 GM4 CX113:CX114 EH113:EH114 EY113:FA114 GM113:GM114 Z114:BJ114">
    <cfRule type="cellIs" dxfId="0" priority="1" operator="greaterThanOrEqual">
      <formula>"70%"</formula>
    </cfRule>
  </conditionalFormatting>
  <conditionalFormatting sqref="Y3:Y114 Z3:BI112 BK3:CW114 CY3:EG114 EI3:EX114 FB3:FB114 BJ4 CX4 EH4 EY4:FA4 W5:X112 FC5:GL112 GN6:GP8 GN10:GP10 GN13:GP13 GN18:GP18 GN21:GP21 GN33:GP33 GN38:GP38 GN40:GP40 GN43:GP44 GN47:GN49 GO47:GP47 GO49:GP49 GN53:GP53 GN55:GP55 GN59:GP59 GN62:GP62 GN67:GP67 GN70:GP70 GN72:GP72 GN74:GP74 GN76:GP77 GN79:GP79 GN82:GP82 GN87:GP87 GN90:GP90 GN93:GP93 GN95:GP95 GN110:GP112 CX113:CX114 EH113:EH114 EY113:FA114 Z114:BJ114">
    <cfRule type="cellIs" dxfId="1" priority="2" operator="between">
      <formula>"49%"</formula>
      <formula>"69%"</formula>
    </cfRule>
  </conditionalFormatting>
  <conditionalFormatting sqref="X3:Y114 Z3:BI112 BK3:CW114 CY3:EG114 EI3:EX114 FB3:FB114 BJ4 CX4 EH4 EY4:FA4 FC5:GL112 GN6:GP8 GN10:GP10 GN13:GP13 GN18:GP18 GN21:GP21 GN33:GP33 GN38:GP38 GN40:GP40 GN43:GP44 GN47:GN49 GO47:GP47 GO49:GP49 GN53:GP53 GN55:GP55 GN59:GP59 GN62:GP62 GN67:GP67 GN70:GP70 GN72:GP72 GN74:GP74 GN76:GP77 GN79:GP79 GN82:GP82 GN87:GP87 GN90:GP90 GN93:GP93 GN95:GP95 W102 GN110:GP112 CX113:CX114 EH113:EH114 EY113:FA114 Z114:BJ114">
    <cfRule type="cellIs" dxfId="2" priority="3" operator="between">
      <formula>"0%"</formula>
      <formula>"50%"</formula>
    </cfRule>
  </conditionalFormatting>
  <conditionalFormatting sqref="W3:Y114 Z3:BI112 BK3:CW114 CY3:EG114 EI3:EX114 FB3:GL114 GN3:GP114 BJ4 CX4 EH4 EY4:FA4 GM4 CX113:CX114 EH113:EH114 EY113:FA114 GM113:GM114 Z114:BJ114">
    <cfRule type="cellIs" dxfId="2" priority="4" operator="between">
      <formula>"1%"</formula>
      <formula>"50%"</formula>
    </cfRule>
  </conditionalFormatting>
  <conditionalFormatting sqref="W3:Y114 Z3:BI112 BK3:CW114 CY3:EG114 EI3:EX114 FB3:GL114 GN3:GP114 BJ4 CX4 EH4 EY4:FA4 GM4 CX113:CX114 EH113:EH114 EY113:FA114 GM113:GM114 Z114:BJ114">
    <cfRule type="cellIs" dxfId="1" priority="5" operator="between">
      <formula>"49%"</formula>
      <formula>"69%"</formula>
    </cfRule>
  </conditionalFormatting>
  <conditionalFormatting sqref="I3:L3">
    <cfRule type="cellIs" dxfId="3" priority="6" operator="equal">
      <formula>"VERSION"</formula>
    </cfRule>
  </conditionalFormatting>
  <conditionalFormatting sqref="M4:M113 N13 P13:U13 S46 S79 S112">
    <cfRule type="expression" dxfId="1" priority="7">
      <formula>IFERROR(ARRAYFORMULA(VALUE(MID(K4,2,10))) &gt; VALUE(MID(M4,2,10)), FALSE)</formula>
    </cfRule>
  </conditionalFormatting>
  <conditionalFormatting sqref="I3:K114 L3 M4:M113 L5:L114 N5:N112 P5:U112 O31 O34 O36 O39 O42 O45 O48 O51 O54 O58 O61 O64 O66 O69 O73 O80 O83:O85 O91">
    <cfRule type="beginsWith" dxfId="4" priority="8" operator="beginsWith" text="V">
      <formula>LEFT((I3),LEN("V"))=("V")</formula>
    </cfRule>
  </conditionalFormatting>
  <conditionalFormatting sqref="V3:V114">
    <cfRule type="cellIs" dxfId="5" priority="9" operator="equal">
      <formula>"YASMIN"</formula>
    </cfRule>
  </conditionalFormatting>
  <conditionalFormatting sqref="V3:V114">
    <cfRule type="cellIs" dxfId="6" priority="10" operator="equal">
      <formula>"LETÍCIA"</formula>
    </cfRule>
  </conditionalFormatting>
  <conditionalFormatting sqref="V2:V114">
    <cfRule type="cellIs" dxfId="7" priority="11" operator="equal">
      <formula>"CICI"</formula>
    </cfRule>
  </conditionalFormatting>
  <conditionalFormatting sqref="V2:V114">
    <cfRule type="cellIs" dxfId="1" priority="12" operator="equal">
      <formula>"AIRTON"</formula>
    </cfRule>
  </conditionalFormatting>
  <conditionalFormatting sqref="V2:V114">
    <cfRule type="cellIs" dxfId="8" priority="13" operator="equal">
      <formula>"GUILHERME"</formula>
    </cfRule>
  </conditionalFormatting>
  <conditionalFormatting sqref="V75 V78">
    <cfRule type="cellIs" dxfId="9" priority="14" operator="equal">
      <formula>"JOÃO"</formula>
    </cfRule>
  </conditionalFormatting>
  <conditionalFormatting sqref="M4">
    <cfRule type="notContainsBlanks" dxfId="10" priority="15">
      <formula>LEN(TRIM(M4))&gt;0</formula>
    </cfRule>
  </conditionalFormatting>
  <conditionalFormatting sqref="AA5:BI112 BK5:CW112 CY5:EG112 EI5:EX112 FB5:GL112">
    <cfRule type="cellIs" dxfId="11" priority="16" operator="equal">
      <formula>"OUTDATED MODEL"</formula>
    </cfRule>
  </conditionalFormatting>
  <conditionalFormatting sqref="X5:X112">
    <cfRule type="cellIs" dxfId="11" priority="17" operator="equal">
      <formula>"OUTDATED MODEL"</formula>
    </cfRule>
  </conditionalFormatting>
  <conditionalFormatting sqref="AD5:BI112 BR5:CW112 DB5:EG112 FG5:GL112 EI31:EX31 FB31:FF31 EI34:EX34 FB34:FF34 EI36:EX36 FB36:FF36 EI39:EX39 FB39:FF39 EI42:EX42 FB42:FF42 EI45:EX45 FB45:FF45 EI48:EX48 FB48:FF48 EI51:EX51 FB51:FF51 EI54:EX54 FB54:FF54 EI58:EX58 FB58:FF58 EI61:EX61 FB61:FF61 EI64:EX64 FB64:FF64 EI66:EX66 FB66:FF66 EI69:EX69 FB69:FF69 EI73:EX73 FB73:FF73 EI80:EX80 FB80:FF80 EI83:EJ83 EK83:EM85 EN83:EX87 FB83:FF83 EI85:EJ85 FB85:FF85 EK87:EM87 EK89:EX89 EI91:EJ91 EK91:EX92 FB91:FF91 EL102:EX102 EN104:EX104">
    <cfRule type="cellIs" dxfId="12" priority="18" operator="equal">
      <formula>"ANALYSING"</formula>
    </cfRule>
  </conditionalFormatting>
  <conditionalFormatting sqref="AD5:BI112 BR5:CW112 DB5:EG112 FG5:GL112 EI31:EX31 FB31:FF31 EI34:EX34 FB34:FF34 EI36:EX36 FB36:FF36 EI39:EX39 FB39:FF39 EI42:EX42 FB42:FF42 EI45:EX45 FB45:FF45 EI48:EX48 FB48:FF48 EI51:EX51 FB51:FF51 EI54:EX54 FB54:FF54 EI58:EX58 FB58:FF58 EI61:EX61 FB61:FF61 EI64:EX64 FB64:FF64 EI66:EX66 FB66:FF66 EI69:EX69 FB69:FF69 EI73:EX73 FB73:FF73 EI80:EX80 FB80:FF80 EI83:EJ83 EK83:EM85 EN83:EX87 FB83:FF83 EI85:EJ85 FB85:FF85 EK87:EM87 EK89:EX89 EI91:EJ91 EK91:EX92 FB91:FF91 EL102:EX102 EN104:EX104">
    <cfRule type="cellIs" dxfId="13" priority="19" operator="equal">
      <formula>"NEXT ROUND"</formula>
    </cfRule>
  </conditionalFormatting>
  <conditionalFormatting sqref="AD5:BI112 BR5:CW112 DB5:EG112 FG5:GL112 EI31:EX31 FB31:FF31 EI34:EX34 FB34:FF34 EI36:EX36 FB36:FF36 EI39:EX39 FB39:FF39 EI42:EX42 FB42:FF42 EI45:EX45 FB45:FF45 EI48:EX48 FB48:FF48 EI51:EX51 FB51:FF51 EI54:EX54 FB54:FF54 EI58:EX58 FB58:FF58 EI61:EX61 FB61:FF61 EI64:EX64 FB64:FF64 EI66:EX66 FB66:FF66 EI69:EX69 FB69:FF69 EI73:EX73 FB73:FF73 EI80:EX80 FB80:FF80 EI83:EJ83 EK83:EM85 EN83:EX87 FB83:FF83 EI85:EJ85 FB85:FF85 EK87:EM87 EK89:EX89 EI91:EJ91 EK91:EX92 FB91:FF91 EL102:EX102 EN104:EX104">
    <cfRule type="cellIs" dxfId="14" priority="20" operator="equal">
      <formula>"IMPROPER"</formula>
    </cfRule>
  </conditionalFormatting>
  <conditionalFormatting sqref="AD5:BI112 BR5:CW112 DB5:EG112 FG5:GL112 EI31:EX31 FB31:FF31 EI34:EX34 FB34:FF34 EI36:EX36 FB36:FF36 EI39:EX39 FB39:FF39 EI42:EX42 FB42:FF42 EI45:EX45 FB45:FF45 EI48:EX48 FB48:FF48 EI51:EX51 FB51:FF51 EI54:EX54 FB54:FF54 EI58:EX58 FB58:FF58 EI61:EX61 FB61:FF61 EI64:EX64 FB64:FF64 EI66:EX66 FB66:FF66 EI69:EX69 FB69:FF69 EI73:EX73 FB73:FF73 EI80:EX80 FB80:FF80 EI83:EJ83 EK83:EM85 EN83:EX87 FB83:FF83 EI85:EJ85 FB85:FF85 EK87:EM87 EK89:EX89 EI91:EJ91 EK91:EX92 FB91:FF91 EL102:EX102 EN104:EX104">
    <cfRule type="cellIs" dxfId="3" priority="21" operator="equal">
      <formula>"NOT PUBLISHED"</formula>
    </cfRule>
  </conditionalFormatting>
  <conditionalFormatting sqref="EJ5:EX112">
    <cfRule type="cellIs" dxfId="12" priority="22" operator="equal">
      <formula>"ANALYSING"</formula>
    </cfRule>
  </conditionalFormatting>
  <conditionalFormatting sqref="EJ5:EX112">
    <cfRule type="cellIs" dxfId="3" priority="23" operator="equal">
      <formula>"NOT PUBLISHED"</formula>
    </cfRule>
  </conditionalFormatting>
  <conditionalFormatting sqref="EI5:EI112">
    <cfRule type="cellIs" dxfId="12" priority="24" operator="equal">
      <formula>"ANALYSING"</formula>
    </cfRule>
  </conditionalFormatting>
  <conditionalFormatting sqref="EI5:EI112">
    <cfRule type="cellIs" dxfId="3" priority="25" operator="equal">
      <formula>"NOT PUBLISHED"</formula>
    </cfRule>
  </conditionalFormatting>
  <conditionalFormatting sqref="EI5:EI112">
    <cfRule type="cellIs" dxfId="14" priority="26" operator="equal">
      <formula>"IMPROPER"</formula>
    </cfRule>
  </conditionalFormatting>
  <conditionalFormatting sqref="EI5:EI112">
    <cfRule type="cellIs" dxfId="13" priority="27" operator="equal">
      <formula>"NEXT ROUND"</formula>
    </cfRule>
  </conditionalFormatting>
  <conditionalFormatting sqref="EJ5:EX112">
    <cfRule type="cellIs" dxfId="14" priority="28" operator="equal">
      <formula>"IMPROPER"</formula>
    </cfRule>
  </conditionalFormatting>
  <conditionalFormatting sqref="EJ5:EX112">
    <cfRule type="cellIs" dxfId="13" priority="29" operator="equal">
      <formula>"NEXT ROUND"</formula>
    </cfRule>
  </conditionalFormatting>
  <conditionalFormatting sqref="B18:C18">
    <cfRule type="colorScale" priority="30">
      <colorScale>
        <cfvo type="min"/>
        <cfvo type="max"/>
        <color rgb="FFFFFFFF"/>
        <color rgb="FF57BB8A"/>
      </colorScale>
    </cfRule>
  </conditionalFormatting>
  <conditionalFormatting sqref="CY62:DA62">
    <cfRule type="cellIs" dxfId="3" priority="31" operator="equal">
      <formula>"NOT PUBLISHED"</formula>
    </cfRule>
  </conditionalFormatting>
  <conditionalFormatting sqref="CY96:DA96 CY99:DA99 CY101:DA101">
    <cfRule type="cellIs" dxfId="3" priority="32" operator="equal">
      <formula>"NOT PUBLISHED"</formula>
    </cfRule>
  </conditionalFormatting>
  <conditionalFormatting sqref="FB97:FF103">
    <cfRule type="cellIs" dxfId="3" priority="33" operator="equal">
      <formula>"NOT PUBLISHED"</formula>
    </cfRule>
  </conditionalFormatting>
  <conditionalFormatting sqref="O5:O112 R5:U112">
    <cfRule type="cellIs" dxfId="15" priority="34" operator="equal">
      <formula>"R22"</formula>
    </cfRule>
  </conditionalFormatting>
  <conditionalFormatting sqref="O5:O112 R5:R111 S5:U112">
    <cfRule type="cellIs" dxfId="16" priority="35" operator="equal">
      <formula>"R24"</formula>
    </cfRule>
  </conditionalFormatting>
  <conditionalFormatting sqref="W1:AC114">
    <cfRule type="containsText" dxfId="3" priority="36" operator="containsText" text="NOT PUBLISHED">
      <formula>NOT(ISERROR(SEARCH(("NOT PUBLISHED"),(W1))))</formula>
    </cfRule>
  </conditionalFormatting>
  <conditionalFormatting sqref="BK3:BQ112">
    <cfRule type="containsText" dxfId="3" priority="37" operator="containsText" text="NOT PUBLISHED">
      <formula>NOT(ISERROR(SEARCH(("NOT PUBLISHED"),(BK3))))</formula>
    </cfRule>
  </conditionalFormatting>
  <dataValidations>
    <dataValidation type="list" allowBlank="1" showDropDown="1" showErrorMessage="1" sqref="D5:D30 D32:D33 D35 D37:D38 D40:D41 D43:D44 D46:D47 D49:D50 D52:D53 D55:D57 D59:D60 D62:D63 D65 D67:D68 D70:D72 D74:D79 D81:D82 D84 D86:D90 D92:D113">
      <formula1>"DATA,SITE,GUAR,C345,C12A,PUMP,UTLS,ADMN,COL1,COL2,COL3,COL4,COL5,STIR"</formula1>
    </dataValidation>
    <dataValidation type="list" allowBlank="1" showDropDown="1" showErrorMessage="1" sqref="Z113:BJ113">
      <formula1>"APPROVED,REPROVED,N/A"</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5.38"/>
    <col customWidth="1" min="2" max="2" width="52.25"/>
    <col customWidth="1" min="3" max="3" width="23.5"/>
    <col customWidth="1" min="4" max="7" width="17.38"/>
    <col customWidth="1" min="8" max="8" width="23.5"/>
    <col customWidth="1" min="9" max="9" width="17.38"/>
    <col customWidth="1" min="10" max="10" width="23.5"/>
    <col customWidth="1" min="11" max="11" width="20.88"/>
  </cols>
  <sheetData>
    <row r="1">
      <c r="A1" s="578"/>
      <c r="B1" s="579" t="s">
        <v>331</v>
      </c>
      <c r="C1" s="580" t="s">
        <v>332</v>
      </c>
      <c r="D1" s="581" t="s">
        <v>3</v>
      </c>
      <c r="E1" s="581" t="s">
        <v>4</v>
      </c>
      <c r="F1" s="581" t="s">
        <v>5</v>
      </c>
      <c r="G1" s="582" t="s">
        <v>8</v>
      </c>
      <c r="H1" s="583" t="s">
        <v>333</v>
      </c>
      <c r="I1" s="581" t="s">
        <v>6</v>
      </c>
      <c r="J1" s="584" t="s">
        <v>334</v>
      </c>
      <c r="K1" s="585" t="s">
        <v>335</v>
      </c>
    </row>
    <row r="2" hidden="1">
      <c r="A2" s="60">
        <v>1.0</v>
      </c>
      <c r="B2" s="586" t="s">
        <v>82</v>
      </c>
      <c r="C2" s="587"/>
      <c r="D2" s="588"/>
      <c r="E2" s="588"/>
      <c r="F2" s="588"/>
      <c r="G2" s="589"/>
      <c r="H2" s="587"/>
      <c r="I2" s="587"/>
      <c r="J2" s="590"/>
      <c r="K2" s="591"/>
    </row>
    <row r="3">
      <c r="A3" s="60">
        <v>2.0</v>
      </c>
      <c r="B3" s="592" t="s">
        <v>83</v>
      </c>
      <c r="C3" s="593" t="str">
        <f>VLOOKUP(B3,'LOD 300 - CONTROL'!B:M,12,FALSE)</f>
        <v>V20</v>
      </c>
      <c r="D3" s="594">
        <f>VLOOKUP(B3,'LOD 300 - CONTROL'!B:BY,61,FALSE)</f>
        <v>1</v>
      </c>
      <c r="E3" s="595">
        <f>VLOOKUP(B3,'LOD 300 - CONTROL'!B:RS,101,FALSE)</f>
        <v>1</v>
      </c>
      <c r="F3" s="595">
        <f>VLOOKUP(B3,'LOD 300 - CONTROL'!B:FS,137,FALSE)</f>
        <v>1</v>
      </c>
      <c r="G3" s="596" t="str">
        <f>VLOOKUP(B3,'LOD 300 - CONTROL'!B:GV,194,FALSE)</f>
        <v>N/A</v>
      </c>
      <c r="H3" s="597" t="str">
        <f>VLOOKUP(B3,'LOD 300 - CONTROL'!B:P,15,FALSE)</f>
        <v>V29</v>
      </c>
      <c r="I3" s="595">
        <f>VLOOKUP(B3,'LOD 300 - CONTROL'!B:GJ,154,FALSE)</f>
        <v>1</v>
      </c>
      <c r="J3" s="598" t="str">
        <f>VLOOKUP(B3,'LOD 300 - CONTROL'!B:S,18,FALSE)</f>
        <v>N/A</v>
      </c>
      <c r="K3" s="599">
        <f>VLOOKUP(B3,'LOD 300 - CONTROL'!B:GL,156,FALSE)</f>
        <v>0</v>
      </c>
    </row>
    <row r="4">
      <c r="A4" s="60">
        <v>3.0</v>
      </c>
      <c r="B4" s="600" t="s">
        <v>88</v>
      </c>
      <c r="C4" s="593" t="str">
        <f>VLOOKUP(B4,'LOD 300 - CONTROL'!B:M,12,FALSE)</f>
        <v>V19</v>
      </c>
      <c r="D4" s="594" t="str">
        <f>VLOOKUP(B4,'LOD 300 - CONTROL'!B:BY,61,FALSE)</f>
        <v>N/A</v>
      </c>
      <c r="E4" s="595" t="str">
        <f>VLOOKUP(B4,'LOD 300 - CONTROL'!B:RS,101,FALSE)</f>
        <v>N/A</v>
      </c>
      <c r="F4" s="595" t="str">
        <f>VLOOKUP(B4,'LOD 300 - CONTROL'!B:FS,137,FALSE)</f>
        <v>N/A</v>
      </c>
      <c r="G4" s="596">
        <f>VLOOKUP(B4,'LOD 300 - CONTROL'!B:GV,194,FALSE)</f>
        <v>1</v>
      </c>
      <c r="H4" s="597" t="str">
        <f>VLOOKUP(B4,'LOD 300 - CONTROL'!B:P,15,FALSE)</f>
        <v>N/A</v>
      </c>
      <c r="I4" s="595" t="str">
        <f>VLOOKUP(B4,'LOD 300 - CONTROL'!B:GJ,154,FALSE)</f>
        <v>N/A</v>
      </c>
      <c r="J4" s="598" t="str">
        <f>VLOOKUP(B4,'LOD 300 - CONTROL'!B:S,18,FALSE)</f>
        <v>N/A</v>
      </c>
      <c r="K4" s="599" t="str">
        <f>VLOOKUP(B4,'LOD 300 - CONTROL'!B:GL,156,FALSE)</f>
        <v>N/A</v>
      </c>
    </row>
    <row r="5">
      <c r="A5" s="60">
        <v>9.0</v>
      </c>
      <c r="B5" s="601" t="s">
        <v>92</v>
      </c>
      <c r="C5" s="593" t="str">
        <f>VLOOKUP(B5,'LOD 300 - CONTROL'!B:M,12,FALSE)</f>
        <v>V4</v>
      </c>
      <c r="D5" s="594" t="str">
        <f>VLOOKUP(B5,'LOD 300 - CONTROL'!B:BY,61,FALSE)</f>
        <v>N/A</v>
      </c>
      <c r="E5" s="595" t="str">
        <f>VLOOKUP(B5,'LOD 300 - CONTROL'!B:RS,101,FALSE)</f>
        <v>N/A</v>
      </c>
      <c r="F5" s="595" t="str">
        <f>VLOOKUP(B5,'LOD 300 - CONTROL'!B:FS,137,FALSE)</f>
        <v>N/A</v>
      </c>
      <c r="G5" s="596">
        <f>VLOOKUP(B5,'LOD 300 - CONTROL'!B:GV,194,FALSE)</f>
        <v>1</v>
      </c>
      <c r="H5" s="597" t="str">
        <f>VLOOKUP(B5,'LOD 300 - CONTROL'!B:P,15,FALSE)</f>
        <v>N/A</v>
      </c>
      <c r="I5" s="595" t="str">
        <f>VLOOKUP(B5,'LOD 300 - CONTROL'!B:GJ,154,FALSE)</f>
        <v>N/A</v>
      </c>
      <c r="J5" s="598" t="str">
        <f>VLOOKUP(B5,'LOD 300 - CONTROL'!B:S,18,FALSE)</f>
        <v>N/A</v>
      </c>
      <c r="K5" s="599" t="str">
        <f>VLOOKUP(B5,'LOD 300 - CONTROL'!B:GL,156,FALSE)</f>
        <v>N/A</v>
      </c>
    </row>
    <row r="6">
      <c r="A6" s="60">
        <v>10.0</v>
      </c>
      <c r="B6" s="601" t="s">
        <v>95</v>
      </c>
      <c r="C6" s="593" t="str">
        <f>VLOOKUP(B6,'LOD 300 - CONTROL'!B:M,12,FALSE)</f>
        <v>NOT PUBLISHED</v>
      </c>
      <c r="D6" s="594" t="str">
        <f>VLOOKUP(B6,'LOD 300 - CONTROL'!B:BY,61,FALSE)</f>
        <v>NOT PUBLISHED</v>
      </c>
      <c r="E6" s="595" t="str">
        <f>VLOOKUP(B6,'LOD 300 - CONTROL'!B:RS,101,FALSE)</f>
        <v>NOT PUBLISHED</v>
      </c>
      <c r="F6" s="595" t="str">
        <f>VLOOKUP(B6,'LOD 300 - CONTROL'!B:FS,137,FALSE)</f>
        <v>NOT PUBLISHED</v>
      </c>
      <c r="G6" s="596" t="str">
        <f>VLOOKUP(B6,'LOD 300 - CONTROL'!B:GV,194,FALSE)</f>
        <v>N/A</v>
      </c>
      <c r="H6" s="597" t="str">
        <f>VLOOKUP(B6,'LOD 300 - CONTROL'!B:P,15,FALSE)</f>
        <v>NOT PUBLISHED</v>
      </c>
      <c r="I6" s="595" t="str">
        <f>VLOOKUP(B6,'LOD 300 - CONTROL'!B:GJ,154,FALSE)</f>
        <v>NOT PUBLISHED</v>
      </c>
      <c r="J6" s="598" t="str">
        <f>VLOOKUP(B6,'LOD 300 - CONTROL'!B:S,18,FALSE)</f>
        <v>N/A</v>
      </c>
      <c r="K6" s="599" t="str">
        <f>VLOOKUP(B6,'LOD 300 - CONTROL'!B:GL,156,FALSE)</f>
        <v>NOT PUBLISHED</v>
      </c>
    </row>
    <row r="7">
      <c r="A7" s="60">
        <v>11.0</v>
      </c>
      <c r="B7" s="601" t="s">
        <v>98</v>
      </c>
      <c r="C7" s="593" t="str">
        <f>VLOOKUP(B7,'LOD 300 - CONTROL'!B:M,12,FALSE)</f>
        <v>V7</v>
      </c>
      <c r="D7" s="594">
        <f>VLOOKUP(B7,'LOD 300 - CONTROL'!B:BY,61,FALSE)</f>
        <v>1</v>
      </c>
      <c r="E7" s="595">
        <f>VLOOKUP(B7,'LOD 300 - CONTROL'!B:RS,101,FALSE)</f>
        <v>1</v>
      </c>
      <c r="F7" s="595">
        <f>VLOOKUP(B7,'LOD 300 - CONTROL'!B:FS,137,FALSE)</f>
        <v>1</v>
      </c>
      <c r="G7" s="596" t="str">
        <f>VLOOKUP(B7,'LOD 300 - CONTROL'!B:GV,194,FALSE)</f>
        <v>N/A</v>
      </c>
      <c r="H7" s="597" t="str">
        <f>VLOOKUP(B7,'LOD 300 - CONTROL'!B:P,15,FALSE)</f>
        <v>N/A</v>
      </c>
      <c r="I7" s="595">
        <f>VLOOKUP(B7,'LOD 300 - CONTROL'!B:GJ,154,FALSE)</f>
        <v>1</v>
      </c>
      <c r="J7" s="598" t="str">
        <f>VLOOKUP(B7,'LOD 300 - CONTROL'!B:S,18,FALSE)</f>
        <v>N/A</v>
      </c>
      <c r="K7" s="599">
        <f>VLOOKUP(B7,'LOD 300 - CONTROL'!B:GL,156,FALSE)</f>
        <v>0</v>
      </c>
    </row>
    <row r="8">
      <c r="A8" s="60">
        <v>12.0</v>
      </c>
      <c r="B8" s="601" t="s">
        <v>103</v>
      </c>
      <c r="C8" s="593" t="str">
        <f>VLOOKUP(B8,'LOD 300 - CONTROL'!B:M,12,FALSE)</f>
        <v>V3</v>
      </c>
      <c r="D8" s="594" t="str">
        <f>VLOOKUP(B8,'LOD 300 - CONTROL'!B:BY,61,FALSE)</f>
        <v>N/A</v>
      </c>
      <c r="E8" s="595" t="str">
        <f>VLOOKUP(B8,'LOD 300 - CONTROL'!B:RS,101,FALSE)</f>
        <v>N/A</v>
      </c>
      <c r="F8" s="595" t="str">
        <f>VLOOKUP(B8,'LOD 300 - CONTROL'!B:FS,137,FALSE)</f>
        <v>N/A</v>
      </c>
      <c r="G8" s="596">
        <f>VLOOKUP(B8,'LOD 300 - CONTROL'!B:GV,194,FALSE)</f>
        <v>1</v>
      </c>
      <c r="H8" s="597" t="str">
        <f>VLOOKUP(B8,'LOD 300 - CONTROL'!B:P,15,FALSE)</f>
        <v>N/A</v>
      </c>
      <c r="I8" s="595" t="str">
        <f>VLOOKUP(B8,'LOD 300 - CONTROL'!B:GJ,154,FALSE)</f>
        <v>N/A</v>
      </c>
      <c r="J8" s="598" t="str">
        <f>VLOOKUP(B8,'LOD 300 - CONTROL'!B:S,18,FALSE)</f>
        <v>N/A</v>
      </c>
      <c r="K8" s="599" t="str">
        <f>VLOOKUP(B8,'LOD 300 - CONTROL'!B:GL,156,FALSE)</f>
        <v>N/A</v>
      </c>
    </row>
    <row r="9">
      <c r="A9" s="60">
        <v>13.0</v>
      </c>
      <c r="B9" s="601" t="s">
        <v>105</v>
      </c>
      <c r="C9" s="593" t="str">
        <f>VLOOKUP(B9,'LOD 300 - CONTROL'!B:M,12,FALSE)</f>
        <v>V4</v>
      </c>
      <c r="D9" s="594">
        <f>VLOOKUP(B9,'LOD 300 - CONTROL'!B:BY,61,FALSE)</f>
        <v>1</v>
      </c>
      <c r="E9" s="595">
        <f>VLOOKUP(B9,'LOD 300 - CONTROL'!B:RS,101,FALSE)</f>
        <v>1</v>
      </c>
      <c r="F9" s="595">
        <f>VLOOKUP(B9,'LOD 300 - CONTROL'!B:FS,137,FALSE)</f>
        <v>1</v>
      </c>
      <c r="G9" s="596" t="str">
        <f>VLOOKUP(B9,'LOD 300 - CONTROL'!B:GV,194,FALSE)</f>
        <v>N/A</v>
      </c>
      <c r="H9" s="597" t="str">
        <f>VLOOKUP(B9,'LOD 300 - CONTROL'!B:P,15,FALSE)</f>
        <v>V9</v>
      </c>
      <c r="I9" s="595">
        <f>VLOOKUP(B9,'LOD 300 - CONTROL'!B:GJ,154,FALSE)</f>
        <v>1</v>
      </c>
      <c r="J9" s="598" t="str">
        <f>VLOOKUP(B9,'LOD 300 - CONTROL'!B:S,18,FALSE)</f>
        <v>N/A</v>
      </c>
      <c r="K9" s="599">
        <f>VLOOKUP(B9,'LOD 300 - CONTROL'!B:GL,156,FALSE)</f>
        <v>0</v>
      </c>
    </row>
    <row r="10">
      <c r="A10" s="60">
        <v>14.0</v>
      </c>
      <c r="B10" s="601" t="s">
        <v>108</v>
      </c>
      <c r="C10" s="593" t="str">
        <f>VLOOKUP(B10,'LOD 300 - CONTROL'!B:M,12,FALSE)</f>
        <v>V10</v>
      </c>
      <c r="D10" s="594">
        <f>VLOOKUP(B10,'LOD 300 - CONTROL'!B:BY,61,FALSE)</f>
        <v>1</v>
      </c>
      <c r="E10" s="595">
        <f>VLOOKUP(B10,'LOD 300 - CONTROL'!B:RS,101,FALSE)</f>
        <v>1</v>
      </c>
      <c r="F10" s="595">
        <f>VLOOKUP(B10,'LOD 300 - CONTROL'!B:FS,137,FALSE)</f>
        <v>1</v>
      </c>
      <c r="G10" s="596" t="str">
        <f>VLOOKUP(B10,'LOD 300 - CONTROL'!B:GV,194,FALSE)</f>
        <v>N/A</v>
      </c>
      <c r="H10" s="597" t="str">
        <f>VLOOKUP(B10,'LOD 300 - CONTROL'!B:P,15,FALSE)</f>
        <v>V13</v>
      </c>
      <c r="I10" s="595">
        <f>VLOOKUP(B10,'LOD 300 - CONTROL'!B:GJ,154,FALSE)</f>
        <v>1</v>
      </c>
      <c r="J10" s="598" t="str">
        <f>VLOOKUP(B10,'LOD 300 - CONTROL'!B:S,18,FALSE)</f>
        <v>N/A</v>
      </c>
      <c r="K10" s="599">
        <f>VLOOKUP(B10,'LOD 300 - CONTROL'!B:GL,156,FALSE)</f>
        <v>0</v>
      </c>
    </row>
    <row r="11">
      <c r="A11" s="60">
        <v>15.0</v>
      </c>
      <c r="B11" s="601" t="s">
        <v>110</v>
      </c>
      <c r="C11" s="593" t="str">
        <f>VLOOKUP(B11,'LOD 300 - CONTROL'!B:M,12,FALSE)</f>
        <v>V7</v>
      </c>
      <c r="D11" s="594" t="str">
        <f>VLOOKUP(B11,'LOD 300 - CONTROL'!B:BY,61,FALSE)</f>
        <v>N/A</v>
      </c>
      <c r="E11" s="595" t="str">
        <f>VLOOKUP(B11,'LOD 300 - CONTROL'!B:RS,101,FALSE)</f>
        <v>N/A</v>
      </c>
      <c r="F11" s="595" t="str">
        <f>VLOOKUP(B11,'LOD 300 - CONTROL'!B:FS,137,FALSE)</f>
        <v>N/A</v>
      </c>
      <c r="G11" s="596">
        <f>VLOOKUP(B11,'LOD 300 - CONTROL'!B:GV,194,FALSE)</f>
        <v>1</v>
      </c>
      <c r="H11" s="597" t="str">
        <f>VLOOKUP(B11,'LOD 300 - CONTROL'!B:P,15,FALSE)</f>
        <v>N/A</v>
      </c>
      <c r="I11" s="595" t="str">
        <f>VLOOKUP(B11,'LOD 300 - CONTROL'!B:GJ,154,FALSE)</f>
        <v>N/A</v>
      </c>
      <c r="J11" s="598" t="str">
        <f>VLOOKUP(B11,'LOD 300 - CONTROL'!B:S,18,FALSE)</f>
        <v>N/A</v>
      </c>
      <c r="K11" s="599" t="str">
        <f>VLOOKUP(B11,'LOD 300 - CONTROL'!B:GL,156,FALSE)</f>
        <v>N/A</v>
      </c>
    </row>
    <row r="12">
      <c r="A12" s="60">
        <v>16.0</v>
      </c>
      <c r="B12" s="601" t="s">
        <v>112</v>
      </c>
      <c r="C12" s="593" t="str">
        <f>VLOOKUP(B12,'LOD 300 - CONTROL'!B:M,12,FALSE)</f>
        <v>NOT PUBLISHED</v>
      </c>
      <c r="D12" s="594" t="str">
        <f>VLOOKUP(B12,'LOD 300 - CONTROL'!B:BY,61,FALSE)</f>
        <v>NOT PUBLISHED</v>
      </c>
      <c r="E12" s="595" t="str">
        <f>VLOOKUP(B12,'LOD 300 - CONTROL'!B:RS,101,FALSE)</f>
        <v>NOT PUBLISHED</v>
      </c>
      <c r="F12" s="595" t="str">
        <f>VLOOKUP(B12,'LOD 300 - CONTROL'!B:FS,137,FALSE)</f>
        <v>NOT PUBLISHED</v>
      </c>
      <c r="G12" s="596" t="str">
        <f>VLOOKUP(B12,'LOD 300 - CONTROL'!B:GV,194,FALSE)</f>
        <v>N/A</v>
      </c>
      <c r="H12" s="597" t="str">
        <f>VLOOKUP(B12,'LOD 300 - CONTROL'!B:P,15,FALSE)</f>
        <v>NOT PUBLISHED</v>
      </c>
      <c r="I12" s="595" t="str">
        <f>VLOOKUP(B12,'LOD 300 - CONTROL'!B:GJ,154,FALSE)</f>
        <v>NOT PUBLISHED</v>
      </c>
      <c r="J12" s="598" t="str">
        <f>VLOOKUP(B12,'LOD 300 - CONTROL'!B:S,18,FALSE)</f>
        <v>N/A</v>
      </c>
      <c r="K12" s="599" t="str">
        <f>VLOOKUP(B12,'LOD 300 - CONTROL'!B:GL,156,FALSE)</f>
        <v>NOT PUBLISHED</v>
      </c>
    </row>
    <row r="13">
      <c r="A13" s="60">
        <v>18.0</v>
      </c>
      <c r="B13" s="601" t="s">
        <v>116</v>
      </c>
      <c r="C13" s="593" t="str">
        <f>VLOOKUP(B13,'LOD 300 - CONTROL'!B:M,12,FALSE)</f>
        <v>NOT PUBLISHED</v>
      </c>
      <c r="D13" s="594" t="str">
        <f>VLOOKUP(B13,'LOD 300 - CONTROL'!B:BY,61,FALSE)</f>
        <v>NOT PUBLISHED</v>
      </c>
      <c r="E13" s="595" t="str">
        <f>VLOOKUP(B13,'LOD 300 - CONTROL'!B:RS,101,FALSE)</f>
        <v>NOT PUBLISHED</v>
      </c>
      <c r="F13" s="595" t="str">
        <f>VLOOKUP(B13,'LOD 300 - CONTROL'!B:FS,137,FALSE)</f>
        <v>NOT PUBLISHED</v>
      </c>
      <c r="G13" s="596" t="str">
        <f>VLOOKUP(B13,'LOD 300 - CONTROL'!B:GV,194,FALSE)</f>
        <v>N/A</v>
      </c>
      <c r="H13" s="597" t="str">
        <f>VLOOKUP(B13,'LOD 300 - CONTROL'!B:P,15,FALSE)</f>
        <v>NOT PUBLISHED</v>
      </c>
      <c r="I13" s="595" t="str">
        <f>VLOOKUP(B13,'LOD 300 - CONTROL'!B:GJ,154,FALSE)</f>
        <v>NOT PUBLISHED</v>
      </c>
      <c r="J13" s="598" t="str">
        <f>VLOOKUP(B13,'LOD 300 - CONTROL'!B:S,18,FALSE)</f>
        <v>N/A</v>
      </c>
      <c r="K13" s="599" t="str">
        <f>VLOOKUP(B13,'LOD 300 - CONTROL'!B:GL,156,FALSE)</f>
        <v>NOT PUBLISHED</v>
      </c>
    </row>
    <row r="14">
      <c r="A14" s="60">
        <v>19.0</v>
      </c>
      <c r="B14" s="601" t="s">
        <v>120</v>
      </c>
      <c r="C14" s="593" t="str">
        <f>VLOOKUP(B14,'LOD 300 - CONTROL'!B:M,12,FALSE)</f>
        <v>NOT PUBLISHED</v>
      </c>
      <c r="D14" s="594" t="str">
        <f>VLOOKUP(B14,'LOD 300 - CONTROL'!B:BY,61,FALSE)</f>
        <v>N/A</v>
      </c>
      <c r="E14" s="595" t="str">
        <f>VLOOKUP(B14,'LOD 300 - CONTROL'!B:RS,101,FALSE)</f>
        <v>N/A</v>
      </c>
      <c r="F14" s="595" t="str">
        <f>VLOOKUP(B14,'LOD 300 - CONTROL'!B:FS,137,FALSE)</f>
        <v>N/A</v>
      </c>
      <c r="G14" s="596" t="str">
        <f>VLOOKUP(B14,'LOD 300 - CONTROL'!B:GV,194,FALSE)</f>
        <v>NOT PUBLISHED</v>
      </c>
      <c r="H14" s="597" t="str">
        <f>VLOOKUP(B14,'LOD 300 - CONTROL'!B:P,15,FALSE)</f>
        <v>N/A</v>
      </c>
      <c r="I14" s="595" t="str">
        <f>VLOOKUP(B14,'LOD 300 - CONTROL'!B:GJ,154,FALSE)</f>
        <v>N/A</v>
      </c>
      <c r="J14" s="598" t="str">
        <f>VLOOKUP(B14,'LOD 300 - CONTROL'!B:S,18,FALSE)</f>
        <v>N/A</v>
      </c>
      <c r="K14" s="599" t="str">
        <f>VLOOKUP(B14,'LOD 300 - CONTROL'!B:GL,156,FALSE)</f>
        <v>N/A</v>
      </c>
    </row>
    <row r="15">
      <c r="A15" s="60">
        <v>20.0</v>
      </c>
      <c r="B15" s="601" t="s">
        <v>122</v>
      </c>
      <c r="C15" s="593" t="str">
        <f>VLOOKUP(B15,'LOD 300 - CONTROL'!B:M,12,FALSE)</f>
        <v>V3</v>
      </c>
      <c r="D15" s="594">
        <f>VLOOKUP(B15,'LOD 300 - CONTROL'!B:BY,61,FALSE)</f>
        <v>1</v>
      </c>
      <c r="E15" s="595" t="str">
        <f>VLOOKUP(B15,'LOD 300 - CONTROL'!B:RS,101,FALSE)</f>
        <v>N/A</v>
      </c>
      <c r="F15" s="595" t="str">
        <f>VLOOKUP(B15,'LOD 300 - CONTROL'!B:FS,137,FALSE)</f>
        <v>N/A</v>
      </c>
      <c r="G15" s="596" t="str">
        <f>VLOOKUP(B15,'LOD 300 - CONTROL'!B:GV,194,FALSE)</f>
        <v>N/A</v>
      </c>
      <c r="H15" s="597" t="str">
        <f>VLOOKUP(B15,'LOD 300 - CONTROL'!B:P,15,FALSE)</f>
        <v>N/A</v>
      </c>
      <c r="I15" s="595" t="str">
        <f>VLOOKUP(B15,'LOD 300 - CONTROL'!B:GJ,154,FALSE)</f>
        <v>N/A</v>
      </c>
      <c r="J15" s="598" t="str">
        <f>VLOOKUP(B15,'LOD 300 - CONTROL'!B:S,18,FALSE)</f>
        <v>N/A</v>
      </c>
      <c r="K15" s="599">
        <f>VLOOKUP(B15,'LOD 300 - CONTROL'!B:GL,156,FALSE)</f>
        <v>0</v>
      </c>
    </row>
    <row r="16">
      <c r="A16" s="60">
        <v>21.0</v>
      </c>
      <c r="B16" s="601" t="s">
        <v>125</v>
      </c>
      <c r="C16" s="593" t="str">
        <f>VLOOKUP(B16,'LOD 300 - CONTROL'!B:M,12,FALSE)</f>
        <v>V9</v>
      </c>
      <c r="D16" s="594" t="str">
        <f>VLOOKUP(B16,'LOD 300 - CONTROL'!B:BY,61,FALSE)</f>
        <v>N/A</v>
      </c>
      <c r="E16" s="595" t="str">
        <f>VLOOKUP(B16,'LOD 300 - CONTROL'!B:RS,101,FALSE)</f>
        <v>N/A</v>
      </c>
      <c r="F16" s="595" t="str">
        <f>VLOOKUP(B16,'LOD 300 - CONTROL'!B:FS,137,FALSE)</f>
        <v>N/A</v>
      </c>
      <c r="G16" s="596">
        <f>VLOOKUP(B16,'LOD 300 - CONTROL'!B:GV,194,FALSE)</f>
        <v>1</v>
      </c>
      <c r="H16" s="597" t="str">
        <f>VLOOKUP(B16,'LOD 300 - CONTROL'!B:P,15,FALSE)</f>
        <v>N/A</v>
      </c>
      <c r="I16" s="595" t="str">
        <f>VLOOKUP(B16,'LOD 300 - CONTROL'!B:GJ,154,FALSE)</f>
        <v>N/A</v>
      </c>
      <c r="J16" s="598" t="str">
        <f>VLOOKUP(B16,'LOD 300 - CONTROL'!B:S,18,FALSE)</f>
        <v>N/A</v>
      </c>
      <c r="K16" s="599" t="str">
        <f>VLOOKUP(B16,'LOD 300 - CONTROL'!B:GL,156,FALSE)</f>
        <v>N/A</v>
      </c>
    </row>
    <row r="17">
      <c r="A17" s="60">
        <v>22.0</v>
      </c>
      <c r="B17" s="601" t="s">
        <v>130</v>
      </c>
      <c r="C17" s="593" t="str">
        <f>VLOOKUP(B17,'LOD 300 - CONTROL'!B:M,12,FALSE)</f>
        <v>V8</v>
      </c>
      <c r="D17" s="594">
        <f>VLOOKUP(B17,'LOD 300 - CONTROL'!B:BY,61,FALSE)</f>
        <v>1</v>
      </c>
      <c r="E17" s="595">
        <f>VLOOKUP(B17,'LOD 300 - CONTROL'!B:RS,101,FALSE)</f>
        <v>1</v>
      </c>
      <c r="F17" s="595">
        <f>VLOOKUP(B17,'LOD 300 - CONTROL'!B:FS,137,FALSE)</f>
        <v>1</v>
      </c>
      <c r="G17" s="596" t="str">
        <f>VLOOKUP(B17,'LOD 300 - CONTROL'!B:GV,194,FALSE)</f>
        <v>N/A</v>
      </c>
      <c r="H17" s="597" t="str">
        <f>VLOOKUP(B17,'LOD 300 - CONTROL'!B:P,15,FALSE)</f>
        <v>V2</v>
      </c>
      <c r="I17" s="595">
        <f>VLOOKUP(B17,'LOD 300 - CONTROL'!B:GJ,154,FALSE)</f>
        <v>1</v>
      </c>
      <c r="J17" s="598" t="str">
        <f>VLOOKUP(B17,'LOD 300 - CONTROL'!B:S,18,FALSE)</f>
        <v>N/A</v>
      </c>
      <c r="K17" s="599">
        <f>VLOOKUP(B17,'LOD 300 - CONTROL'!B:GL,156,FALSE)</f>
        <v>0</v>
      </c>
    </row>
    <row r="18">
      <c r="A18" s="60">
        <v>23.0</v>
      </c>
      <c r="B18" s="601" t="s">
        <v>134</v>
      </c>
      <c r="C18" s="593" t="str">
        <f>VLOOKUP(B18,'LOD 300 - CONTROL'!B:M,12,FALSE)</f>
        <v>V20</v>
      </c>
      <c r="D18" s="594">
        <f>VLOOKUP(B18,'LOD 300 - CONTROL'!B:BY,61,FALSE)</f>
        <v>1</v>
      </c>
      <c r="E18" s="595">
        <f>VLOOKUP(B18,'LOD 300 - CONTROL'!B:RS,101,FALSE)</f>
        <v>1</v>
      </c>
      <c r="F18" s="595">
        <f>VLOOKUP(B18,'LOD 300 - CONTROL'!B:FS,137,FALSE)</f>
        <v>1</v>
      </c>
      <c r="G18" s="596" t="str">
        <f>VLOOKUP(B18,'LOD 300 - CONTROL'!B:GV,194,FALSE)</f>
        <v>N/A</v>
      </c>
      <c r="H18" s="597" t="str">
        <f>VLOOKUP(B18,'LOD 300 - CONTROL'!B:P,15,FALSE)</f>
        <v>V30</v>
      </c>
      <c r="I18" s="595">
        <f>VLOOKUP(B18,'LOD 300 - CONTROL'!B:GJ,154,FALSE)</f>
        <v>1</v>
      </c>
      <c r="J18" s="598" t="str">
        <f>VLOOKUP(B18,'LOD 300 - CONTROL'!B:S,18,FALSE)</f>
        <v>N/A</v>
      </c>
      <c r="K18" s="599">
        <f>VLOOKUP(B18,'LOD 300 - CONTROL'!B:GL,156,FALSE)</f>
        <v>0</v>
      </c>
    </row>
    <row r="19">
      <c r="A19" s="60">
        <v>24.0</v>
      </c>
      <c r="B19" s="601" t="s">
        <v>136</v>
      </c>
      <c r="C19" s="593" t="str">
        <f>VLOOKUP(B19,'LOD 300 - CONTROL'!B:M,12,FALSE)</f>
        <v>V11</v>
      </c>
      <c r="D19" s="594" t="str">
        <f>VLOOKUP(B19,'LOD 300 - CONTROL'!B:BY,61,FALSE)</f>
        <v>N/A</v>
      </c>
      <c r="E19" s="595" t="str">
        <f>VLOOKUP(B19,'LOD 300 - CONTROL'!B:RS,101,FALSE)</f>
        <v>N/A</v>
      </c>
      <c r="F19" s="595" t="str">
        <f>VLOOKUP(B19,'LOD 300 - CONTROL'!B:FS,137,FALSE)</f>
        <v>N/A</v>
      </c>
      <c r="G19" s="596">
        <f>VLOOKUP(B19,'LOD 300 - CONTROL'!B:GV,194,FALSE)</f>
        <v>1</v>
      </c>
      <c r="H19" s="597" t="str">
        <f>VLOOKUP(B19,'LOD 300 - CONTROL'!B:P,15,FALSE)</f>
        <v>N/A</v>
      </c>
      <c r="I19" s="595" t="str">
        <f>VLOOKUP(B19,'LOD 300 - CONTROL'!B:GJ,154,FALSE)</f>
        <v>N/A</v>
      </c>
      <c r="J19" s="598" t="str">
        <f>VLOOKUP(B19,'LOD 300 - CONTROL'!B:S,18,FALSE)</f>
        <v>N/A</v>
      </c>
      <c r="K19" s="599" t="str">
        <f>VLOOKUP(B19,'LOD 300 - CONTROL'!B:GL,156,FALSE)</f>
        <v>N/A</v>
      </c>
    </row>
    <row r="20">
      <c r="A20" s="60">
        <v>25.0</v>
      </c>
      <c r="B20" s="601" t="s">
        <v>140</v>
      </c>
      <c r="C20" s="593" t="str">
        <f>VLOOKUP(B20,'LOD 300 - CONTROL'!B:M,12,FALSE)</f>
        <v>N/A</v>
      </c>
      <c r="D20" s="594" t="str">
        <f>VLOOKUP(B20,'LOD 300 - CONTROL'!B:BY,61,FALSE)</f>
        <v>N/A</v>
      </c>
      <c r="E20" s="595" t="str">
        <f>VLOOKUP(B20,'LOD 300 - CONTROL'!B:RS,101,FALSE)</f>
        <v>N/A</v>
      </c>
      <c r="F20" s="595" t="str">
        <f>VLOOKUP(B20,'LOD 300 - CONTROL'!B:FS,137,FALSE)</f>
        <v>N/A</v>
      </c>
      <c r="G20" s="596" t="str">
        <f>VLOOKUP(B20,'LOD 300 - CONTROL'!B:GV,194,FALSE)</f>
        <v>N/A</v>
      </c>
      <c r="H20" s="597" t="str">
        <f>VLOOKUP(B20,'LOD 300 - CONTROL'!B:P,15,FALSE)</f>
        <v>V1</v>
      </c>
      <c r="I20" s="595">
        <f>VLOOKUP(B20,'LOD 300 - CONTROL'!B:GJ,154,FALSE)</f>
        <v>0.53</v>
      </c>
      <c r="J20" s="598" t="str">
        <f>VLOOKUP(B20,'LOD 300 - CONTROL'!B:S,18,FALSE)</f>
        <v>N/A</v>
      </c>
      <c r="K20" s="599">
        <f>VLOOKUP(B20,'LOD 300 - CONTROL'!B:GL,156,FALSE)</f>
        <v>0</v>
      </c>
    </row>
    <row r="21">
      <c r="A21" s="60">
        <v>26.0</v>
      </c>
      <c r="B21" s="601" t="s">
        <v>143</v>
      </c>
      <c r="C21" s="593" t="str">
        <f>VLOOKUP(B21,'LOD 300 - CONTROL'!B:M,12,FALSE)</f>
        <v>V13</v>
      </c>
      <c r="D21" s="594">
        <f>VLOOKUP(B21,'LOD 300 - CONTROL'!B:BY,61,FALSE)</f>
        <v>1</v>
      </c>
      <c r="E21" s="595">
        <f>VLOOKUP(B21,'LOD 300 - CONTROL'!B:RS,101,FALSE)</f>
        <v>1</v>
      </c>
      <c r="F21" s="595">
        <f>VLOOKUP(B21,'LOD 300 - CONTROL'!B:FS,137,FALSE)</f>
        <v>1</v>
      </c>
      <c r="G21" s="596" t="str">
        <f>VLOOKUP(B21,'LOD 300 - CONTROL'!B:GV,194,FALSE)</f>
        <v>N/A</v>
      </c>
      <c r="H21" s="597" t="str">
        <f>VLOOKUP(B21,'LOD 300 - CONTROL'!B:P,15,FALSE)</f>
        <v>N/A</v>
      </c>
      <c r="I21" s="595" t="str">
        <f>VLOOKUP(B21,'LOD 300 - CONTROL'!B:GJ,154,FALSE)</f>
        <v>N/A</v>
      </c>
      <c r="J21" s="598" t="str">
        <f>VLOOKUP(B21,'LOD 300 - CONTROL'!B:S,18,FALSE)</f>
        <v>N/A</v>
      </c>
      <c r="K21" s="599">
        <f>VLOOKUP(B21,'LOD 300 - CONTROL'!B:GL,156,FALSE)</f>
        <v>0</v>
      </c>
    </row>
    <row r="22">
      <c r="A22" s="60">
        <v>27.0</v>
      </c>
      <c r="B22" s="601" t="s">
        <v>147</v>
      </c>
      <c r="C22" s="593" t="str">
        <f>VLOOKUP(B22,'LOD 300 - CONTROL'!B:M,12,FALSE)</f>
        <v>NOT PUBLISHED</v>
      </c>
      <c r="D22" s="594" t="str">
        <f>VLOOKUP(B22,'LOD 300 - CONTROL'!B:BY,61,FALSE)</f>
        <v>NOT PUBLISHED</v>
      </c>
      <c r="E22" s="595" t="str">
        <f>VLOOKUP(B22,'LOD 300 - CONTROL'!B:RS,101,FALSE)</f>
        <v>NOT PUBLISHED</v>
      </c>
      <c r="F22" s="595" t="str">
        <f>VLOOKUP(B22,'LOD 300 - CONTROL'!B:FS,137,FALSE)</f>
        <v>NOT PUBLISHED</v>
      </c>
      <c r="G22" s="596" t="str">
        <f>VLOOKUP(B22,'LOD 300 - CONTROL'!B:GV,194,FALSE)</f>
        <v>N/A</v>
      </c>
      <c r="H22" s="597" t="str">
        <f>VLOOKUP(B22,'LOD 300 - CONTROL'!B:P,15,FALSE)</f>
        <v>NOT PUBLISHED</v>
      </c>
      <c r="I22" s="595" t="str">
        <f>VLOOKUP(B22,'LOD 300 - CONTROL'!B:GJ,154,FALSE)</f>
        <v>NOT PUBLISHED</v>
      </c>
      <c r="J22" s="598" t="str">
        <f>VLOOKUP(B22,'LOD 300 - CONTROL'!B:S,18,FALSE)</f>
        <v>N/A</v>
      </c>
      <c r="K22" s="599" t="str">
        <f>VLOOKUP(B22,'LOD 300 - CONTROL'!B:GL,156,FALSE)</f>
        <v>NOT PUBLISHED</v>
      </c>
    </row>
    <row r="23">
      <c r="A23" s="60">
        <v>28.0</v>
      </c>
      <c r="B23" s="601" t="s">
        <v>149</v>
      </c>
      <c r="C23" s="593" t="str">
        <f>VLOOKUP(B23,'LOD 300 - CONTROL'!B:M,12,FALSE)</f>
        <v>NOT PUBLISHED</v>
      </c>
      <c r="D23" s="594" t="str">
        <f>VLOOKUP(B23,'LOD 300 - CONTROL'!B:BY,61,FALSE)</f>
        <v>N/A</v>
      </c>
      <c r="E23" s="595" t="str">
        <f>VLOOKUP(B23,'LOD 300 - CONTROL'!B:RS,101,FALSE)</f>
        <v>N/A</v>
      </c>
      <c r="F23" s="595" t="str">
        <f>VLOOKUP(B23,'LOD 300 - CONTROL'!B:FS,137,FALSE)</f>
        <v>N/A</v>
      </c>
      <c r="G23" s="596" t="str">
        <f>VLOOKUP(B23,'LOD 300 - CONTROL'!B:GV,194,FALSE)</f>
        <v>NOT PUBLISHED</v>
      </c>
      <c r="H23" s="597" t="str">
        <f>VLOOKUP(B23,'LOD 300 - CONTROL'!B:P,15,FALSE)</f>
        <v>N/A</v>
      </c>
      <c r="I23" s="595" t="str">
        <f>VLOOKUP(B23,'LOD 300 - CONTROL'!B:GJ,154,FALSE)</f>
        <v>N/A</v>
      </c>
      <c r="J23" s="598" t="str">
        <f>VLOOKUP(B23,'LOD 300 - CONTROL'!B:S,18,FALSE)</f>
        <v>N/A</v>
      </c>
      <c r="K23" s="599" t="str">
        <f>VLOOKUP(B23,'LOD 300 - CONTROL'!B:GL,156,FALSE)</f>
        <v>N/A</v>
      </c>
    </row>
    <row r="24">
      <c r="A24" s="60">
        <v>29.0</v>
      </c>
      <c r="B24" s="601" t="s">
        <v>152</v>
      </c>
      <c r="C24" s="593" t="str">
        <f>VLOOKUP(B24,'LOD 300 - CONTROL'!B:M,12,FALSE)</f>
        <v>NOT PUBLISHED</v>
      </c>
      <c r="D24" s="594" t="str">
        <f>VLOOKUP(B24,'LOD 300 - CONTROL'!B:BY,61,FALSE)</f>
        <v>N/A</v>
      </c>
      <c r="E24" s="595" t="str">
        <f>VLOOKUP(B24,'LOD 300 - CONTROL'!B:RS,101,FALSE)</f>
        <v>N/A</v>
      </c>
      <c r="F24" s="595" t="str">
        <f>VLOOKUP(B24,'LOD 300 - CONTROL'!B:FS,137,FALSE)</f>
        <v>N/A</v>
      </c>
      <c r="G24" s="596" t="str">
        <f>VLOOKUP(B24,'LOD 300 - CONTROL'!B:GV,194,FALSE)</f>
        <v>NOT PUBLISHED</v>
      </c>
      <c r="H24" s="597" t="str">
        <f>VLOOKUP(B24,'LOD 300 - CONTROL'!B:P,15,FALSE)</f>
        <v>N/A</v>
      </c>
      <c r="I24" s="595" t="str">
        <f>VLOOKUP(B24,'LOD 300 - CONTROL'!B:GJ,154,FALSE)</f>
        <v>N/A</v>
      </c>
      <c r="J24" s="598" t="str">
        <f>VLOOKUP(B24,'LOD 300 - CONTROL'!B:S,18,FALSE)</f>
        <v>N/A</v>
      </c>
      <c r="K24" s="599" t="str">
        <f>VLOOKUP(B24,'LOD 300 - CONTROL'!B:GL,156,FALSE)</f>
        <v>N/A</v>
      </c>
    </row>
    <row r="25">
      <c r="A25" s="60">
        <v>30.0</v>
      </c>
      <c r="B25" s="601" t="s">
        <v>154</v>
      </c>
      <c r="C25" s="593" t="str">
        <f>VLOOKUP(B25,'LOD 300 - CONTROL'!B:M,12,FALSE)</f>
        <v>V1</v>
      </c>
      <c r="D25" s="594">
        <f>VLOOKUP(B25,'LOD 300 - CONTROL'!B:BY,61,FALSE)</f>
        <v>0.7</v>
      </c>
      <c r="E25" s="595">
        <f>VLOOKUP(B25,'LOD 300 - CONTROL'!B:RS,101,FALSE)</f>
        <v>0.5</v>
      </c>
      <c r="F25" s="595">
        <f>VLOOKUP(B25,'LOD 300 - CONTROL'!B:FS,137,FALSE)</f>
        <v>0.5</v>
      </c>
      <c r="G25" s="596" t="str">
        <f>VLOOKUP(B25,'LOD 300 - CONTROL'!B:GV,194,FALSE)</f>
        <v>N/A</v>
      </c>
      <c r="H25" s="597" t="str">
        <f>VLOOKUP(B25,'LOD 300 - CONTROL'!B:P,15,FALSE)</f>
        <v>V1</v>
      </c>
      <c r="I25" s="595">
        <f>VLOOKUP(B25,'LOD 300 - CONTROL'!B:GJ,154,FALSE)</f>
        <v>0.71</v>
      </c>
      <c r="J25" s="598" t="str">
        <f>VLOOKUP(B25,'LOD 300 - CONTROL'!B:S,18,FALSE)</f>
        <v>N/A</v>
      </c>
      <c r="K25" s="599">
        <f>VLOOKUP(B25,'LOD 300 - CONTROL'!B:GL,156,FALSE)</f>
        <v>0</v>
      </c>
    </row>
    <row r="26">
      <c r="A26" s="60">
        <v>31.0</v>
      </c>
      <c r="B26" s="601" t="s">
        <v>158</v>
      </c>
      <c r="C26" s="593" t="str">
        <f>VLOOKUP(B26,'LOD 300 - CONTROL'!B:M,12,FALSE)</f>
        <v>V1</v>
      </c>
      <c r="D26" s="594" t="str">
        <f>VLOOKUP(B26,'LOD 300 - CONTROL'!B:BY,61,FALSE)</f>
        <v>N/A</v>
      </c>
      <c r="E26" s="595" t="str">
        <f>VLOOKUP(B26,'LOD 300 - CONTROL'!B:RS,101,FALSE)</f>
        <v>N/A</v>
      </c>
      <c r="F26" s="595" t="str">
        <f>VLOOKUP(B26,'LOD 300 - CONTROL'!B:FS,137,FALSE)</f>
        <v>N/A</v>
      </c>
      <c r="G26" s="596">
        <f>VLOOKUP(B26,'LOD 300 - CONTROL'!B:GV,194,FALSE)</f>
        <v>0.49</v>
      </c>
      <c r="H26" s="597" t="str">
        <f>VLOOKUP(B26,'LOD 300 - CONTROL'!B:P,15,FALSE)</f>
        <v>N/A</v>
      </c>
      <c r="I26" s="595" t="str">
        <f>VLOOKUP(B26,'LOD 300 - CONTROL'!B:GJ,154,FALSE)</f>
        <v>N/A</v>
      </c>
      <c r="J26" s="598" t="str">
        <f>VLOOKUP(B26,'LOD 300 - CONTROL'!B:S,18,FALSE)</f>
        <v>N/A</v>
      </c>
      <c r="K26" s="599" t="str">
        <f>VLOOKUP(B26,'LOD 300 - CONTROL'!B:GL,156,FALSE)</f>
        <v>N/A</v>
      </c>
    </row>
    <row r="27">
      <c r="A27" s="60">
        <v>32.0</v>
      </c>
      <c r="B27" s="601" t="s">
        <v>160</v>
      </c>
      <c r="C27" s="593" t="str">
        <f>VLOOKUP(B27,'LOD 300 - CONTROL'!B:M,12,FALSE)</f>
        <v>V6</v>
      </c>
      <c r="D27" s="594">
        <f>VLOOKUP(B27,'LOD 300 - CONTROL'!B:BY,61,FALSE)</f>
        <v>1</v>
      </c>
      <c r="E27" s="595" t="str">
        <f>VLOOKUP(B27,'LOD 300 - CONTROL'!B:RS,101,FALSE)</f>
        <v>N/A</v>
      </c>
      <c r="F27" s="595" t="str">
        <f>VLOOKUP(B27,'LOD 300 - CONTROL'!B:FS,137,FALSE)</f>
        <v>N/A</v>
      </c>
      <c r="G27" s="596" t="str">
        <f>VLOOKUP(B27,'LOD 300 - CONTROL'!B:GV,194,FALSE)</f>
        <v>N/A</v>
      </c>
      <c r="H27" s="597" t="str">
        <f>VLOOKUP(B27,'LOD 300 - CONTROL'!B:P,15,FALSE)</f>
        <v>N/A</v>
      </c>
      <c r="I27" s="595" t="str">
        <f>VLOOKUP(B27,'LOD 300 - CONTROL'!B:GJ,154,FALSE)</f>
        <v>N/A</v>
      </c>
      <c r="J27" s="598" t="str">
        <f>VLOOKUP(B27,'LOD 300 - CONTROL'!B:S,18,FALSE)</f>
        <v>N/A</v>
      </c>
      <c r="K27" s="599">
        <f>VLOOKUP(B27,'LOD 300 - CONTROL'!B:GL,156,FALSE)</f>
        <v>0</v>
      </c>
    </row>
    <row r="28">
      <c r="A28" s="60">
        <v>33.0</v>
      </c>
      <c r="B28" s="601" t="s">
        <v>163</v>
      </c>
      <c r="C28" s="593" t="str">
        <f>VLOOKUP(B28,'LOD 300 - CONTROL'!B:M,12,FALSE)</f>
        <v>V9</v>
      </c>
      <c r="D28" s="594" t="str">
        <f>VLOOKUP(B28,'LOD 300 - CONTROL'!B:BY,61,FALSE)</f>
        <v>N/A</v>
      </c>
      <c r="E28" s="595" t="str">
        <f>VLOOKUP(B28,'LOD 300 - CONTROL'!B:RS,101,FALSE)</f>
        <v>N/A</v>
      </c>
      <c r="F28" s="595" t="str">
        <f>VLOOKUP(B28,'LOD 300 - CONTROL'!B:FS,137,FALSE)</f>
        <v>N/A</v>
      </c>
      <c r="G28" s="596">
        <f>VLOOKUP(B28,'LOD 300 - CONTROL'!B:GV,194,FALSE)</f>
        <v>1</v>
      </c>
      <c r="H28" s="597" t="str">
        <f>VLOOKUP(B28,'LOD 300 - CONTROL'!B:P,15,FALSE)</f>
        <v>N/A</v>
      </c>
      <c r="I28" s="595" t="str">
        <f>VLOOKUP(B28,'LOD 300 - CONTROL'!B:GJ,154,FALSE)</f>
        <v>N/A</v>
      </c>
      <c r="J28" s="598" t="str">
        <f>VLOOKUP(B28,'LOD 300 - CONTROL'!B:S,18,FALSE)</f>
        <v>N/A</v>
      </c>
      <c r="K28" s="599" t="str">
        <f>VLOOKUP(B28,'LOD 300 - CONTROL'!B:GL,156,FALSE)</f>
        <v>N/A</v>
      </c>
    </row>
    <row r="29" hidden="1">
      <c r="A29" s="60">
        <v>34.0</v>
      </c>
      <c r="B29" s="602" t="s">
        <v>166</v>
      </c>
      <c r="C29" s="603"/>
      <c r="D29" s="604"/>
      <c r="E29" s="604"/>
      <c r="F29" s="604"/>
      <c r="G29" s="605"/>
      <c r="H29" s="603"/>
      <c r="I29" s="603"/>
      <c r="J29" s="606"/>
      <c r="K29" s="607"/>
    </row>
    <row r="30">
      <c r="A30" s="60">
        <v>35.0</v>
      </c>
      <c r="B30" s="601" t="s">
        <v>167</v>
      </c>
      <c r="C30" s="593" t="str">
        <f>VLOOKUP(B30,'LOD 300 - CONTROL'!B:M,12,FALSE)</f>
        <v>V26</v>
      </c>
      <c r="D30" s="594">
        <f>VLOOKUP(B30,'LOD 300 - CONTROL'!B:BY,61,FALSE)</f>
        <v>1</v>
      </c>
      <c r="E30" s="595">
        <f>VLOOKUP(B30,'LOD 300 - CONTROL'!B:RS,101,FALSE)</f>
        <v>1</v>
      </c>
      <c r="F30" s="595">
        <f>VLOOKUP(B30,'LOD 300 - CONTROL'!B:FS,137,FALSE)</f>
        <v>1</v>
      </c>
      <c r="G30" s="596" t="str">
        <f>VLOOKUP(B30,'LOD 300 - CONTROL'!B:GV,194,FALSE)</f>
        <v>N/A</v>
      </c>
      <c r="H30" s="597" t="str">
        <f>VLOOKUP(B30,'LOD 300 - CONTROL'!B:P,15,FALSE)</f>
        <v>V39</v>
      </c>
      <c r="I30" s="595">
        <f>VLOOKUP(B30,'LOD 300 - CONTROL'!B:GJ,154,FALSE)</f>
        <v>1</v>
      </c>
      <c r="J30" s="598" t="str">
        <f>VLOOKUP(B30,'LOD 300 - CONTROL'!B:S,18,FALSE)</f>
        <v>N/A</v>
      </c>
      <c r="K30" s="599">
        <f>VLOOKUP(B30,'LOD 300 - CONTROL'!B:GL,156,FALSE)</f>
        <v>0</v>
      </c>
    </row>
    <row r="31">
      <c r="A31" s="60">
        <v>36.0</v>
      </c>
      <c r="B31" s="601" t="s">
        <v>171</v>
      </c>
      <c r="C31" s="593" t="str">
        <f>VLOOKUP(B31,'LOD 300 - CONTROL'!B:M,12,FALSE)</f>
        <v>V23</v>
      </c>
      <c r="D31" s="594" t="str">
        <f>VLOOKUP(B31,'LOD 300 - CONTROL'!B:BY,61,FALSE)</f>
        <v>N/A</v>
      </c>
      <c r="E31" s="595" t="str">
        <f>VLOOKUP(B31,'LOD 300 - CONTROL'!B:RS,101,FALSE)</f>
        <v>N/A</v>
      </c>
      <c r="F31" s="595" t="str">
        <f>VLOOKUP(B31,'LOD 300 - CONTROL'!B:FS,137,FALSE)</f>
        <v>N/A</v>
      </c>
      <c r="G31" s="596">
        <f>VLOOKUP(B31,'LOD 300 - CONTROL'!B:GV,194,FALSE)</f>
        <v>1</v>
      </c>
      <c r="H31" s="597" t="str">
        <f>VLOOKUP(B31,'LOD 300 - CONTROL'!B:P,15,FALSE)</f>
        <v>N/A</v>
      </c>
      <c r="I31" s="595" t="str">
        <f>VLOOKUP(B31,'LOD 300 - CONTROL'!B:GJ,154,FALSE)</f>
        <v>N/A</v>
      </c>
      <c r="J31" s="598" t="str">
        <f>VLOOKUP(B31,'LOD 300 - CONTROL'!B:S,18,FALSE)</f>
        <v>N/A</v>
      </c>
      <c r="K31" s="599" t="str">
        <f>VLOOKUP(B31,'LOD 300 - CONTROL'!B:GL,156,FALSE)</f>
        <v>N/A</v>
      </c>
    </row>
    <row r="32" hidden="1">
      <c r="A32" s="60">
        <v>37.0</v>
      </c>
      <c r="B32" s="608" t="s">
        <v>173</v>
      </c>
      <c r="C32" s="609"/>
      <c r="D32" s="610"/>
      <c r="E32" s="610"/>
      <c r="F32" s="610"/>
      <c r="G32" s="611"/>
      <c r="H32" s="609"/>
      <c r="I32" s="609"/>
      <c r="J32" s="612"/>
      <c r="K32" s="613"/>
    </row>
    <row r="33">
      <c r="A33" s="60">
        <v>38.0</v>
      </c>
      <c r="B33" s="601" t="s">
        <v>174</v>
      </c>
      <c r="C33" s="593" t="str">
        <f>VLOOKUP(B33,'LOD 300 - CONTROL'!B:M,12,FALSE)</f>
        <v>V19</v>
      </c>
      <c r="D33" s="594">
        <f>VLOOKUP(B33,'LOD 300 - CONTROL'!B:BY,61,FALSE)</f>
        <v>1</v>
      </c>
      <c r="E33" s="595">
        <f>VLOOKUP(B33,'LOD 300 - CONTROL'!B:RS,101,FALSE)</f>
        <v>1</v>
      </c>
      <c r="F33" s="595">
        <f>VLOOKUP(B33,'LOD 300 - CONTROL'!B:FS,137,FALSE)</f>
        <v>1</v>
      </c>
      <c r="G33" s="596" t="str">
        <f>VLOOKUP(B33,'LOD 300 - CONTROL'!B:GV,194,FALSE)</f>
        <v>N/A</v>
      </c>
      <c r="H33" s="597" t="str">
        <f>VLOOKUP(B33,'LOD 300 - CONTROL'!B:P,15,FALSE)</f>
        <v>V28</v>
      </c>
      <c r="I33" s="595">
        <f>VLOOKUP(B33,'LOD 300 - CONTROL'!B:GJ,154,FALSE)</f>
        <v>1</v>
      </c>
      <c r="J33" s="598" t="str">
        <f>VLOOKUP(B33,'LOD 300 - CONTROL'!B:S,18,FALSE)</f>
        <v>N/A</v>
      </c>
      <c r="K33" s="599">
        <f>VLOOKUP(B33,'LOD 300 - CONTROL'!B:GL,156,FALSE)</f>
        <v>0</v>
      </c>
    </row>
    <row r="34" hidden="1">
      <c r="A34" s="60">
        <v>39.0</v>
      </c>
      <c r="B34" s="608" t="s">
        <v>177</v>
      </c>
      <c r="C34" s="609"/>
      <c r="D34" s="610"/>
      <c r="E34" s="610"/>
      <c r="F34" s="610"/>
      <c r="G34" s="611"/>
      <c r="H34" s="609"/>
      <c r="I34" s="609"/>
      <c r="J34" s="612"/>
      <c r="K34" s="613"/>
    </row>
    <row r="35">
      <c r="A35" s="60">
        <v>40.0</v>
      </c>
      <c r="B35" s="601" t="s">
        <v>178</v>
      </c>
      <c r="C35" s="593" t="str">
        <f>VLOOKUP(B35,'LOD 300 - CONTROL'!B:M,12,FALSE)</f>
        <v>V11</v>
      </c>
      <c r="D35" s="594">
        <f>VLOOKUP(B35,'LOD 300 - CONTROL'!B:BY,61,FALSE)</f>
        <v>1</v>
      </c>
      <c r="E35" s="595">
        <f>VLOOKUP(B35,'LOD 300 - CONTROL'!B:RS,101,FALSE)</f>
        <v>1</v>
      </c>
      <c r="F35" s="595">
        <f>VLOOKUP(B35,'LOD 300 - CONTROL'!B:FS,137,FALSE)</f>
        <v>1</v>
      </c>
      <c r="G35" s="596" t="str">
        <f>VLOOKUP(B35,'LOD 300 - CONTROL'!B:GV,194,FALSE)</f>
        <v>N/A</v>
      </c>
      <c r="H35" s="597" t="str">
        <f>VLOOKUP(B35,'LOD 300 - CONTROL'!B:P,15,FALSE)</f>
        <v>V14</v>
      </c>
      <c r="I35" s="595">
        <f>VLOOKUP(B35,'LOD 300 - CONTROL'!B:GJ,154,FALSE)</f>
        <v>1</v>
      </c>
      <c r="J35" s="598" t="str">
        <f>VLOOKUP(B35,'LOD 300 - CONTROL'!B:S,18,FALSE)</f>
        <v>N/A</v>
      </c>
      <c r="K35" s="599">
        <f>VLOOKUP(B35,'LOD 300 - CONTROL'!B:GL,156,FALSE)</f>
        <v>0</v>
      </c>
    </row>
    <row r="36">
      <c r="A36" s="60">
        <v>41.0</v>
      </c>
      <c r="B36" s="601" t="s">
        <v>181</v>
      </c>
      <c r="C36" s="593" t="str">
        <f>VLOOKUP(B36,'LOD 300 - CONTROL'!B:M,12,FALSE)</f>
        <v>V8</v>
      </c>
      <c r="D36" s="594" t="str">
        <f>VLOOKUP(B36,'LOD 300 - CONTROL'!B:BY,61,FALSE)</f>
        <v>N/A</v>
      </c>
      <c r="E36" s="595" t="str">
        <f>VLOOKUP(B36,'LOD 300 - CONTROL'!B:RS,101,FALSE)</f>
        <v>N/A</v>
      </c>
      <c r="F36" s="595" t="str">
        <f>VLOOKUP(B36,'LOD 300 - CONTROL'!B:FS,137,FALSE)</f>
        <v>N/A</v>
      </c>
      <c r="G36" s="596">
        <f>VLOOKUP(B36,'LOD 300 - CONTROL'!B:GV,194,FALSE)</f>
        <v>1</v>
      </c>
      <c r="H36" s="597" t="str">
        <f>VLOOKUP(B36,'LOD 300 - CONTROL'!B:P,15,FALSE)</f>
        <v>N/A</v>
      </c>
      <c r="I36" s="595" t="str">
        <f>VLOOKUP(B36,'LOD 300 - CONTROL'!B:GJ,154,FALSE)</f>
        <v>N/A</v>
      </c>
      <c r="J36" s="598" t="str">
        <f>VLOOKUP(B36,'LOD 300 - CONTROL'!B:S,18,FALSE)</f>
        <v>N/A</v>
      </c>
      <c r="K36" s="599" t="str">
        <f>VLOOKUP(B36,'LOD 300 - CONTROL'!B:GL,156,FALSE)</f>
        <v>N/A</v>
      </c>
    </row>
    <row r="37" hidden="1">
      <c r="A37" s="60">
        <v>42.0</v>
      </c>
      <c r="B37" s="608" t="s">
        <v>183</v>
      </c>
      <c r="C37" s="609"/>
      <c r="D37" s="610"/>
      <c r="E37" s="610"/>
      <c r="F37" s="610"/>
      <c r="G37" s="611"/>
      <c r="H37" s="609"/>
      <c r="I37" s="609"/>
      <c r="J37" s="612"/>
      <c r="K37" s="613"/>
    </row>
    <row r="38">
      <c r="A38" s="60">
        <v>43.0</v>
      </c>
      <c r="B38" s="601" t="s">
        <v>184</v>
      </c>
      <c r="C38" s="593" t="str">
        <f>VLOOKUP(B38,'LOD 300 - CONTROL'!B:M,12,FALSE)</f>
        <v>V7</v>
      </c>
      <c r="D38" s="594" t="str">
        <f>VLOOKUP(B38,'LOD 300 - CONTROL'!B:BY,61,FALSE)</f>
        <v>N/A</v>
      </c>
      <c r="E38" s="595" t="str">
        <f>VLOOKUP(B38,'LOD 300 - CONTROL'!B:RS,101,FALSE)</f>
        <v>N/A</v>
      </c>
      <c r="F38" s="595" t="str">
        <f>VLOOKUP(B38,'LOD 300 - CONTROL'!B:FS,137,FALSE)</f>
        <v>N/A</v>
      </c>
      <c r="G38" s="596">
        <f>VLOOKUP(B38,'LOD 300 - CONTROL'!B:GV,194,FALSE)</f>
        <v>1</v>
      </c>
      <c r="H38" s="597" t="str">
        <f>VLOOKUP(B38,'LOD 300 - CONTROL'!B:P,15,FALSE)</f>
        <v>N/A</v>
      </c>
      <c r="I38" s="595" t="str">
        <f>VLOOKUP(B38,'LOD 300 - CONTROL'!B:GJ,154,FALSE)</f>
        <v>N/A</v>
      </c>
      <c r="J38" s="598" t="str">
        <f>VLOOKUP(B38,'LOD 300 - CONTROL'!B:S,18,FALSE)</f>
        <v>N/A</v>
      </c>
      <c r="K38" s="599" t="str">
        <f>VLOOKUP(B38,'LOD 300 - CONTROL'!B:GL,156,FALSE)</f>
        <v>N/A</v>
      </c>
    </row>
    <row r="39">
      <c r="A39" s="60">
        <v>44.0</v>
      </c>
      <c r="B39" s="601" t="s">
        <v>187</v>
      </c>
      <c r="C39" s="593" t="str">
        <f>VLOOKUP(B39,'LOD 300 - CONTROL'!B:M,12,FALSE)</f>
        <v>V22</v>
      </c>
      <c r="D39" s="594">
        <f>VLOOKUP(B39,'LOD 300 - CONTROL'!B:BY,61,FALSE)</f>
        <v>1</v>
      </c>
      <c r="E39" s="595">
        <f>VLOOKUP(B39,'LOD 300 - CONTROL'!B:RS,101,FALSE)</f>
        <v>1</v>
      </c>
      <c r="F39" s="595">
        <f>VLOOKUP(B39,'LOD 300 - CONTROL'!B:FS,137,FALSE)</f>
        <v>1</v>
      </c>
      <c r="G39" s="596" t="str">
        <f>VLOOKUP(B39,'LOD 300 - CONTROL'!B:GV,194,FALSE)</f>
        <v>N/A</v>
      </c>
      <c r="H39" s="597" t="str">
        <f>VLOOKUP(B39,'LOD 300 - CONTROL'!B:P,15,FALSE)</f>
        <v>V35</v>
      </c>
      <c r="I39" s="595">
        <f>VLOOKUP(B39,'LOD 300 - CONTROL'!B:GJ,154,FALSE)</f>
        <v>1</v>
      </c>
      <c r="J39" s="598" t="str">
        <f>VLOOKUP(B39,'LOD 300 - CONTROL'!B:S,18,FALSE)</f>
        <v>N/A</v>
      </c>
      <c r="K39" s="599">
        <f>VLOOKUP(B39,'LOD 300 - CONTROL'!B:GL,156,FALSE)</f>
        <v>0</v>
      </c>
    </row>
    <row r="40" hidden="1">
      <c r="A40" s="60">
        <v>45.0</v>
      </c>
      <c r="B40" s="608" t="s">
        <v>189</v>
      </c>
      <c r="C40" s="609"/>
      <c r="D40" s="610"/>
      <c r="E40" s="610"/>
      <c r="F40" s="610"/>
      <c r="G40" s="611"/>
      <c r="H40" s="609"/>
      <c r="I40" s="609"/>
      <c r="J40" s="612"/>
      <c r="K40" s="613"/>
    </row>
    <row r="41">
      <c r="A41" s="60">
        <v>46.0</v>
      </c>
      <c r="B41" s="601" t="s">
        <v>190</v>
      </c>
      <c r="C41" s="593" t="str">
        <f>VLOOKUP(B41,'LOD 300 - CONTROL'!B:M,12,FALSE)</f>
        <v>V7</v>
      </c>
      <c r="D41" s="594" t="str">
        <f>VLOOKUP(B41,'LOD 300 - CONTROL'!B:BY,61,FALSE)</f>
        <v>N/A</v>
      </c>
      <c r="E41" s="595" t="str">
        <f>VLOOKUP(B41,'LOD 300 - CONTROL'!B:RS,101,FALSE)</f>
        <v>N/A</v>
      </c>
      <c r="F41" s="595" t="str">
        <f>VLOOKUP(B41,'LOD 300 - CONTROL'!B:FS,137,FALSE)</f>
        <v>N/A</v>
      </c>
      <c r="G41" s="596">
        <f>VLOOKUP(B41,'LOD 300 - CONTROL'!B:GV,194,FALSE)</f>
        <v>1</v>
      </c>
      <c r="H41" s="597" t="str">
        <f>VLOOKUP(B41,'LOD 300 - CONTROL'!B:P,15,FALSE)</f>
        <v>N/A</v>
      </c>
      <c r="I41" s="595" t="str">
        <f>VLOOKUP(B41,'LOD 300 - CONTROL'!B:GJ,154,FALSE)</f>
        <v>N/A</v>
      </c>
      <c r="J41" s="598" t="str">
        <f>VLOOKUP(B41,'LOD 300 - CONTROL'!B:S,18,FALSE)</f>
        <v>N/A</v>
      </c>
      <c r="K41" s="599" t="str">
        <f>VLOOKUP(B41,'LOD 300 - CONTROL'!B:GL,156,FALSE)</f>
        <v>N/A</v>
      </c>
    </row>
    <row r="42">
      <c r="A42" s="60">
        <v>47.0</v>
      </c>
      <c r="B42" s="601" t="s">
        <v>192</v>
      </c>
      <c r="C42" s="593" t="str">
        <f>VLOOKUP(B42,'LOD 300 - CONTROL'!B:M,12,FALSE)</f>
        <v>V13</v>
      </c>
      <c r="D42" s="594">
        <f>VLOOKUP(B42,'LOD 300 - CONTROL'!B:BY,61,FALSE)</f>
        <v>1</v>
      </c>
      <c r="E42" s="595">
        <f>VLOOKUP(B42,'LOD 300 - CONTROL'!B:RS,101,FALSE)</f>
        <v>1</v>
      </c>
      <c r="F42" s="595">
        <f>VLOOKUP(B42,'LOD 300 - CONTROL'!B:FS,137,FALSE)</f>
        <v>1</v>
      </c>
      <c r="G42" s="596" t="str">
        <f>VLOOKUP(B42,'LOD 300 - CONTROL'!B:GV,194,FALSE)</f>
        <v>N/A</v>
      </c>
      <c r="H42" s="597" t="str">
        <f>VLOOKUP(B42,'LOD 300 - CONTROL'!B:P,15,FALSE)</f>
        <v>V17</v>
      </c>
      <c r="I42" s="595">
        <f>VLOOKUP(B42,'LOD 300 - CONTROL'!B:GJ,154,FALSE)</f>
        <v>1</v>
      </c>
      <c r="J42" s="598" t="str">
        <f>VLOOKUP(B42,'LOD 300 - CONTROL'!B:S,18,FALSE)</f>
        <v>N/A</v>
      </c>
      <c r="K42" s="599">
        <f>VLOOKUP(B42,'LOD 300 - CONTROL'!B:GL,156,FALSE)</f>
        <v>0</v>
      </c>
    </row>
    <row r="43" hidden="1">
      <c r="A43" s="60">
        <v>48.0</v>
      </c>
      <c r="B43" s="602" t="s">
        <v>195</v>
      </c>
      <c r="C43" s="603"/>
      <c r="D43" s="604"/>
      <c r="E43" s="604"/>
      <c r="F43" s="604"/>
      <c r="G43" s="605"/>
      <c r="H43" s="603"/>
      <c r="I43" s="603"/>
      <c r="J43" s="606"/>
      <c r="K43" s="607"/>
    </row>
    <row r="44">
      <c r="A44" s="60">
        <v>49.0</v>
      </c>
      <c r="B44" s="601" t="s">
        <v>196</v>
      </c>
      <c r="C44" s="593" t="str">
        <f>VLOOKUP(B44,'LOD 300 - CONTROL'!B:M,12,FALSE)</f>
        <v>V28</v>
      </c>
      <c r="D44" s="594">
        <f>VLOOKUP(B44,'LOD 300 - CONTROL'!B:BY,61,FALSE)</f>
        <v>1</v>
      </c>
      <c r="E44" s="595">
        <f>VLOOKUP(B44,'LOD 300 - CONTROL'!B:RS,101,FALSE)</f>
        <v>1</v>
      </c>
      <c r="F44" s="595">
        <f>VLOOKUP(B44,'LOD 300 - CONTROL'!B:FS,137,FALSE)</f>
        <v>1</v>
      </c>
      <c r="G44" s="596" t="str">
        <f>VLOOKUP(B44,'LOD 300 - CONTROL'!B:GV,194,FALSE)</f>
        <v>N/A</v>
      </c>
      <c r="H44" s="597" t="str">
        <f>VLOOKUP(B44,'LOD 300 - CONTROL'!B:P,15,FALSE)</f>
        <v>V1</v>
      </c>
      <c r="I44" s="595">
        <f>VLOOKUP(B44,'LOD 300 - CONTROL'!B:GJ,154,FALSE)</f>
        <v>1</v>
      </c>
      <c r="J44" s="598" t="str">
        <f>VLOOKUP(B44,'LOD 300 - CONTROL'!B:S,18,FALSE)</f>
        <v>N/A</v>
      </c>
      <c r="K44" s="599">
        <f>VLOOKUP(B44,'LOD 300 - CONTROL'!B:GL,156,FALSE)</f>
        <v>0</v>
      </c>
    </row>
    <row r="45">
      <c r="A45" s="60">
        <v>50.0</v>
      </c>
      <c r="B45" s="601" t="s">
        <v>198</v>
      </c>
      <c r="C45" s="593" t="str">
        <f>VLOOKUP(B45,'LOD 300 - CONTROL'!B:M,12,FALSE)</f>
        <v>V22</v>
      </c>
      <c r="D45" s="594" t="str">
        <f>VLOOKUP(B45,'LOD 300 - CONTROL'!B:BY,61,FALSE)</f>
        <v>N/A</v>
      </c>
      <c r="E45" s="595" t="str">
        <f>VLOOKUP(B45,'LOD 300 - CONTROL'!B:RS,101,FALSE)</f>
        <v>N/A</v>
      </c>
      <c r="F45" s="595" t="str">
        <f>VLOOKUP(B45,'LOD 300 - CONTROL'!B:FS,137,FALSE)</f>
        <v>N/A</v>
      </c>
      <c r="G45" s="596">
        <f>VLOOKUP(B45,'LOD 300 - CONTROL'!B:GV,194,FALSE)</f>
        <v>1</v>
      </c>
      <c r="H45" s="597" t="str">
        <f>VLOOKUP(B45,'LOD 300 - CONTROL'!B:P,15,FALSE)</f>
        <v>N/A</v>
      </c>
      <c r="I45" s="595" t="str">
        <f>VLOOKUP(B45,'LOD 300 - CONTROL'!B:GJ,154,FALSE)</f>
        <v>N/A</v>
      </c>
      <c r="J45" s="598" t="str">
        <f>VLOOKUP(B45,'LOD 300 - CONTROL'!B:S,18,FALSE)</f>
        <v>N/A</v>
      </c>
      <c r="K45" s="599" t="str">
        <f>VLOOKUP(B45,'LOD 300 - CONTROL'!B:GL,156,FALSE)</f>
        <v>N/A</v>
      </c>
    </row>
    <row r="46" hidden="1">
      <c r="A46" s="60">
        <v>51.0</v>
      </c>
      <c r="B46" s="608" t="s">
        <v>201</v>
      </c>
      <c r="C46" s="609"/>
      <c r="D46" s="610"/>
      <c r="E46" s="610"/>
      <c r="F46" s="610"/>
      <c r="G46" s="611"/>
      <c r="H46" s="609"/>
      <c r="I46" s="609"/>
      <c r="J46" s="612"/>
      <c r="K46" s="613"/>
    </row>
    <row r="47">
      <c r="A47" s="60">
        <v>52.0</v>
      </c>
      <c r="B47" s="601" t="s">
        <v>202</v>
      </c>
      <c r="C47" s="593" t="str">
        <f>VLOOKUP(B47,'LOD 300 - CONTROL'!B:M,12,FALSE)</f>
        <v>V10</v>
      </c>
      <c r="D47" s="594" t="str">
        <f>VLOOKUP(B47,'LOD 300 - CONTROL'!B:BY,61,FALSE)</f>
        <v>N/A</v>
      </c>
      <c r="E47" s="595" t="str">
        <f>VLOOKUP(B47,'LOD 300 - CONTROL'!B:RS,101,FALSE)</f>
        <v>N/A</v>
      </c>
      <c r="F47" s="595" t="str">
        <f>VLOOKUP(B47,'LOD 300 - CONTROL'!B:FS,137,FALSE)</f>
        <v>N/A</v>
      </c>
      <c r="G47" s="596">
        <f>VLOOKUP(B47,'LOD 300 - CONTROL'!B:GV,194,FALSE)</f>
        <v>1</v>
      </c>
      <c r="H47" s="597" t="str">
        <f>VLOOKUP(B47,'LOD 300 - CONTROL'!B:P,15,FALSE)</f>
        <v>N/A</v>
      </c>
      <c r="I47" s="595" t="str">
        <f>VLOOKUP(B47,'LOD 300 - CONTROL'!B:GJ,154,FALSE)</f>
        <v>N/A</v>
      </c>
      <c r="J47" s="598" t="str">
        <f>VLOOKUP(B47,'LOD 300 - CONTROL'!B:S,18,FALSE)</f>
        <v>N/A</v>
      </c>
      <c r="K47" s="599" t="str">
        <f>VLOOKUP(B47,'LOD 300 - CONTROL'!B:GL,156,FALSE)</f>
        <v>N/A</v>
      </c>
    </row>
    <row r="48">
      <c r="A48" s="60">
        <v>53.0</v>
      </c>
      <c r="B48" s="601" t="s">
        <v>204</v>
      </c>
      <c r="C48" s="593" t="str">
        <f>VLOOKUP(B48,'LOD 300 - CONTROL'!B:M,12,FALSE)</f>
        <v>V13</v>
      </c>
      <c r="D48" s="594">
        <f>VLOOKUP(B48,'LOD 300 - CONTROL'!B:BY,61,FALSE)</f>
        <v>1</v>
      </c>
      <c r="E48" s="595">
        <f>VLOOKUP(B48,'LOD 300 - CONTROL'!B:RS,101,FALSE)</f>
        <v>1</v>
      </c>
      <c r="F48" s="595">
        <f>VLOOKUP(B48,'LOD 300 - CONTROL'!B:FS,137,FALSE)</f>
        <v>1</v>
      </c>
      <c r="G48" s="596" t="str">
        <f>VLOOKUP(B48,'LOD 300 - CONTROL'!B:GV,194,FALSE)</f>
        <v>N/A</v>
      </c>
      <c r="H48" s="597" t="str">
        <f>VLOOKUP(B48,'LOD 300 - CONTROL'!B:P,15,FALSE)</f>
        <v>V18</v>
      </c>
      <c r="I48" s="595">
        <f>VLOOKUP(B48,'LOD 300 - CONTROL'!B:GJ,154,FALSE)</f>
        <v>1</v>
      </c>
      <c r="J48" s="598" t="str">
        <f>VLOOKUP(B48,'LOD 300 - CONTROL'!B:S,18,FALSE)</f>
        <v>N/A</v>
      </c>
      <c r="K48" s="599">
        <f>VLOOKUP(B48,'LOD 300 - CONTROL'!B:GL,156,FALSE)</f>
        <v>0</v>
      </c>
    </row>
    <row r="49" hidden="1">
      <c r="A49" s="60">
        <v>54.0</v>
      </c>
      <c r="B49" s="602" t="s">
        <v>206</v>
      </c>
      <c r="C49" s="603"/>
      <c r="D49" s="604"/>
      <c r="E49" s="604"/>
      <c r="F49" s="604"/>
      <c r="G49" s="605"/>
      <c r="H49" s="603"/>
      <c r="I49" s="603"/>
      <c r="J49" s="606"/>
      <c r="K49" s="607"/>
    </row>
    <row r="50">
      <c r="A50" s="60">
        <v>55.0</v>
      </c>
      <c r="B50" s="601" t="s">
        <v>207</v>
      </c>
      <c r="C50" s="593" t="str">
        <f>VLOOKUP(B50,'LOD 300 - CONTROL'!B:M,12,FALSE)</f>
        <v>V29</v>
      </c>
      <c r="D50" s="594">
        <f>VLOOKUP(B50,'LOD 300 - CONTROL'!B:BY,61,FALSE)</f>
        <v>1</v>
      </c>
      <c r="E50" s="595">
        <f>VLOOKUP(B50,'LOD 300 - CONTROL'!B:RS,101,FALSE)</f>
        <v>1</v>
      </c>
      <c r="F50" s="595">
        <f>VLOOKUP(B50,'LOD 300 - CONTROL'!B:FS,137,FALSE)</f>
        <v>1</v>
      </c>
      <c r="G50" s="596" t="str">
        <f>VLOOKUP(B50,'LOD 300 - CONTROL'!B:GV,194,FALSE)</f>
        <v>N/A</v>
      </c>
      <c r="H50" s="597" t="str">
        <f>VLOOKUP(B50,'LOD 300 - CONTROL'!B:P,15,FALSE)</f>
        <v>V39</v>
      </c>
      <c r="I50" s="595">
        <f>VLOOKUP(B50,'LOD 300 - CONTROL'!B:GJ,154,FALSE)</f>
        <v>1</v>
      </c>
      <c r="J50" s="598" t="str">
        <f>VLOOKUP(B50,'LOD 300 - CONTROL'!B:S,18,FALSE)</f>
        <v>N/A</v>
      </c>
      <c r="K50" s="599">
        <f>VLOOKUP(B50,'LOD 300 - CONTROL'!B:GL,156,FALSE)</f>
        <v>0</v>
      </c>
    </row>
    <row r="51">
      <c r="A51" s="60">
        <v>56.0</v>
      </c>
      <c r="B51" s="601" t="s">
        <v>209</v>
      </c>
      <c r="C51" s="593" t="str">
        <f>VLOOKUP(B51,'LOD 300 - CONTROL'!B:M,12,FALSE)</f>
        <v>V19</v>
      </c>
      <c r="D51" s="594" t="str">
        <f>VLOOKUP(B51,'LOD 300 - CONTROL'!B:BY,61,FALSE)</f>
        <v>N/A</v>
      </c>
      <c r="E51" s="595" t="str">
        <f>VLOOKUP(B51,'LOD 300 - CONTROL'!B:RS,101,FALSE)</f>
        <v>N/A</v>
      </c>
      <c r="F51" s="595" t="str">
        <f>VLOOKUP(B51,'LOD 300 - CONTROL'!B:FS,137,FALSE)</f>
        <v>N/A</v>
      </c>
      <c r="G51" s="596">
        <f>VLOOKUP(B51,'LOD 300 - CONTROL'!B:GV,194,FALSE)</f>
        <v>1</v>
      </c>
      <c r="H51" s="597" t="str">
        <f>VLOOKUP(B51,'LOD 300 - CONTROL'!B:P,15,FALSE)</f>
        <v>N/A</v>
      </c>
      <c r="I51" s="595" t="str">
        <f>VLOOKUP(B51,'LOD 300 - CONTROL'!B:GJ,154,FALSE)</f>
        <v>N/A</v>
      </c>
      <c r="J51" s="598" t="str">
        <f>VLOOKUP(B51,'LOD 300 - CONTROL'!B:S,18,FALSE)</f>
        <v>N/A</v>
      </c>
      <c r="K51" s="599" t="str">
        <f>VLOOKUP(B51,'LOD 300 - CONTROL'!B:GL,156,FALSE)</f>
        <v>N/A</v>
      </c>
    </row>
    <row r="52" hidden="1">
      <c r="A52" s="60">
        <v>57.0</v>
      </c>
      <c r="B52" s="608" t="s">
        <v>211</v>
      </c>
      <c r="C52" s="609"/>
      <c r="D52" s="610"/>
      <c r="E52" s="610"/>
      <c r="F52" s="610"/>
      <c r="G52" s="611"/>
      <c r="H52" s="609"/>
      <c r="I52" s="609"/>
      <c r="J52" s="612"/>
      <c r="K52" s="613"/>
    </row>
    <row r="53">
      <c r="A53" s="60">
        <v>58.0</v>
      </c>
      <c r="B53" s="601" t="s">
        <v>212</v>
      </c>
      <c r="C53" s="593" t="str">
        <f>VLOOKUP(B53,'LOD 300 - CONTROL'!B:M,12,FALSE)</f>
        <v>V22</v>
      </c>
      <c r="D53" s="594" t="str">
        <f>VLOOKUP(B53,'LOD 300 - CONTROL'!B:BY,61,FALSE)</f>
        <v>N/A</v>
      </c>
      <c r="E53" s="595" t="str">
        <f>VLOOKUP(B53,'LOD 300 - CONTROL'!B:RS,101,FALSE)</f>
        <v>N/A</v>
      </c>
      <c r="F53" s="595" t="str">
        <f>VLOOKUP(B53,'LOD 300 - CONTROL'!B:FS,137,FALSE)</f>
        <v>N/A</v>
      </c>
      <c r="G53" s="596">
        <f>VLOOKUP(B53,'LOD 300 - CONTROL'!B:GV,194,FALSE)</f>
        <v>1</v>
      </c>
      <c r="H53" s="597" t="str">
        <f>VLOOKUP(B53,'LOD 300 - CONTROL'!B:P,15,FALSE)</f>
        <v>N/A</v>
      </c>
      <c r="I53" s="595" t="str">
        <f>VLOOKUP(B53,'LOD 300 - CONTROL'!B:GJ,154,FALSE)</f>
        <v>N/A</v>
      </c>
      <c r="J53" s="598" t="str">
        <f>VLOOKUP(B53,'LOD 300 - CONTROL'!B:S,18,FALSE)</f>
        <v>N/A</v>
      </c>
      <c r="K53" s="599" t="str">
        <f>VLOOKUP(B53,'LOD 300 - CONTROL'!B:GL,156,FALSE)</f>
        <v>N/A</v>
      </c>
    </row>
    <row r="54">
      <c r="A54" s="60">
        <v>59.0</v>
      </c>
      <c r="B54" s="601" t="s">
        <v>215</v>
      </c>
      <c r="C54" s="593" t="str">
        <f>VLOOKUP(B54,'LOD 300 - CONTROL'!B:M,12,FALSE)</f>
        <v>V26</v>
      </c>
      <c r="D54" s="594">
        <f>VLOOKUP(B54,'LOD 300 - CONTROL'!B:BY,61,FALSE)</f>
        <v>1</v>
      </c>
      <c r="E54" s="595">
        <f>VLOOKUP(B54,'LOD 300 - CONTROL'!B:RS,101,FALSE)</f>
        <v>1</v>
      </c>
      <c r="F54" s="595">
        <f>VLOOKUP(B54,'LOD 300 - CONTROL'!B:FS,137,FALSE)</f>
        <v>1</v>
      </c>
      <c r="G54" s="596" t="str">
        <f>VLOOKUP(B54,'LOD 300 - CONTROL'!B:GV,194,FALSE)</f>
        <v>N/A</v>
      </c>
      <c r="H54" s="597" t="str">
        <f>VLOOKUP(B54,'LOD 300 - CONTROL'!B:P,15,FALSE)</f>
        <v>V39</v>
      </c>
      <c r="I54" s="595">
        <f>VLOOKUP(B54,'LOD 300 - CONTROL'!B:GJ,154,FALSE)</f>
        <v>1</v>
      </c>
      <c r="J54" s="598" t="str">
        <f>VLOOKUP(B54,'LOD 300 - CONTROL'!B:S,18,FALSE)</f>
        <v>N/A</v>
      </c>
      <c r="K54" s="599">
        <f>VLOOKUP(B54,'LOD 300 - CONTROL'!B:GL,156,FALSE)</f>
        <v>0</v>
      </c>
    </row>
    <row r="55">
      <c r="A55" s="60">
        <v>60.0</v>
      </c>
      <c r="B55" s="601" t="s">
        <v>217</v>
      </c>
      <c r="C55" s="593" t="str">
        <f>VLOOKUP(B55,'LOD 300 - CONTROL'!B:M,12,FALSE)</f>
        <v>V4</v>
      </c>
      <c r="D55" s="594" t="str">
        <f>VLOOKUP(B55,'LOD 300 - CONTROL'!B:BY,61,FALSE)</f>
        <v>N/A</v>
      </c>
      <c r="E55" s="595" t="str">
        <f>VLOOKUP(B55,'LOD 300 - CONTROL'!B:RS,101,FALSE)</f>
        <v>N/A</v>
      </c>
      <c r="F55" s="595" t="str">
        <f>VLOOKUP(B55,'LOD 300 - CONTROL'!B:FS,137,FALSE)</f>
        <v>N/A</v>
      </c>
      <c r="G55" s="596">
        <f>VLOOKUP(B55,'LOD 300 - CONTROL'!B:GV,194,FALSE)</f>
        <v>1</v>
      </c>
      <c r="H55" s="597" t="str">
        <f>VLOOKUP(B55,'LOD 300 - CONTROL'!B:P,15,FALSE)</f>
        <v>N/A</v>
      </c>
      <c r="I55" s="595" t="str">
        <f>VLOOKUP(B55,'LOD 300 - CONTROL'!B:GJ,154,FALSE)</f>
        <v>N/A</v>
      </c>
      <c r="J55" s="598" t="str">
        <f>VLOOKUP(B55,'LOD 300 - CONTROL'!B:S,18,FALSE)</f>
        <v>N/A</v>
      </c>
      <c r="K55" s="599" t="str">
        <f>VLOOKUP(B55,'LOD 300 - CONTROL'!B:GL,156,FALSE)</f>
        <v>N/A</v>
      </c>
    </row>
    <row r="56" hidden="1">
      <c r="A56" s="60">
        <v>61.0</v>
      </c>
      <c r="B56" s="614" t="s">
        <v>219</v>
      </c>
      <c r="C56" s="615"/>
      <c r="D56" s="616"/>
      <c r="E56" s="616"/>
      <c r="F56" s="616"/>
      <c r="G56" s="617"/>
      <c r="H56" s="615"/>
      <c r="I56" s="615"/>
      <c r="J56" s="618"/>
      <c r="K56" s="619"/>
    </row>
    <row r="57">
      <c r="A57" s="60">
        <v>62.0</v>
      </c>
      <c r="B57" s="601" t="s">
        <v>220</v>
      </c>
      <c r="C57" s="593" t="str">
        <f>VLOOKUP(B57,'LOD 300 - CONTROL'!B:M,12,FALSE)</f>
        <v>V21</v>
      </c>
      <c r="D57" s="594" t="str">
        <f>VLOOKUP(B57,'LOD 300 - CONTROL'!B:BY,61,FALSE)</f>
        <v>N/A</v>
      </c>
      <c r="E57" s="595" t="str">
        <f>VLOOKUP(B57,'LOD 300 - CONTROL'!B:RS,101,FALSE)</f>
        <v>N/A</v>
      </c>
      <c r="F57" s="595" t="str">
        <f>VLOOKUP(B57,'LOD 300 - CONTROL'!B:FS,137,FALSE)</f>
        <v>N/A</v>
      </c>
      <c r="G57" s="596">
        <f>VLOOKUP(B57,'LOD 300 - CONTROL'!B:GV,194,FALSE)</f>
        <v>1</v>
      </c>
      <c r="H57" s="597" t="str">
        <f>VLOOKUP(B57,'LOD 300 - CONTROL'!B:P,15,FALSE)</f>
        <v>N/A</v>
      </c>
      <c r="I57" s="595" t="str">
        <f>VLOOKUP(B57,'LOD 300 - CONTROL'!B:GJ,154,FALSE)</f>
        <v>N/A</v>
      </c>
      <c r="J57" s="598" t="str">
        <f>VLOOKUP(B57,'LOD 300 - CONTROL'!B:S,18,FALSE)</f>
        <v>N/A</v>
      </c>
      <c r="K57" s="599" t="str">
        <f>VLOOKUP(B57,'LOD 300 - CONTROL'!B:GL,156,FALSE)</f>
        <v>N/A</v>
      </c>
    </row>
    <row r="58">
      <c r="A58" s="60">
        <v>63.0</v>
      </c>
      <c r="B58" s="601" t="s">
        <v>222</v>
      </c>
      <c r="C58" s="593" t="str">
        <f>VLOOKUP(B58,'LOD 300 - CONTROL'!B:M,12,FALSE)</f>
        <v>V37</v>
      </c>
      <c r="D58" s="594">
        <f>VLOOKUP(B58,'LOD 300 - CONTROL'!B:BY,61,FALSE)</f>
        <v>1</v>
      </c>
      <c r="E58" s="595">
        <f>VLOOKUP(B58,'LOD 300 - CONTROL'!B:RS,101,FALSE)</f>
        <v>1</v>
      </c>
      <c r="F58" s="595">
        <f>VLOOKUP(B58,'LOD 300 - CONTROL'!B:FS,137,FALSE)</f>
        <v>1</v>
      </c>
      <c r="G58" s="596" t="str">
        <f>VLOOKUP(B58,'LOD 300 - CONTROL'!B:GV,194,FALSE)</f>
        <v>N/A</v>
      </c>
      <c r="H58" s="597" t="str">
        <f>VLOOKUP(B58,'LOD 300 - CONTROL'!B:P,15,FALSE)</f>
        <v>V4</v>
      </c>
      <c r="I58" s="595">
        <f>VLOOKUP(B58,'LOD 300 - CONTROL'!B:GJ,154,FALSE)</f>
        <v>1</v>
      </c>
      <c r="J58" s="598" t="str">
        <f>VLOOKUP(B58,'LOD 300 - CONTROL'!B:S,18,FALSE)</f>
        <v>N/A</v>
      </c>
      <c r="K58" s="599">
        <f>VLOOKUP(B58,'LOD 300 - CONTROL'!B:GL,156,FALSE)</f>
        <v>0</v>
      </c>
    </row>
    <row r="59" hidden="1">
      <c r="A59" s="60">
        <v>64.0</v>
      </c>
      <c r="B59" s="620" t="s">
        <v>224</v>
      </c>
      <c r="C59" s="621"/>
      <c r="D59" s="622"/>
      <c r="E59" s="622"/>
      <c r="F59" s="622"/>
      <c r="G59" s="623"/>
      <c r="H59" s="621"/>
      <c r="I59" s="621"/>
      <c r="J59" s="624"/>
      <c r="K59" s="625"/>
    </row>
    <row r="60">
      <c r="A60" s="60">
        <v>65.0</v>
      </c>
      <c r="B60" s="601" t="s">
        <v>225</v>
      </c>
      <c r="C60" s="593" t="str">
        <f>VLOOKUP(B60,'LOD 300 - CONTROL'!B:M,12,FALSE)</f>
        <v>V5</v>
      </c>
      <c r="D60" s="594">
        <f>VLOOKUP(B60,'LOD 300 - CONTROL'!B:BY,61,FALSE)</f>
        <v>1</v>
      </c>
      <c r="E60" s="595">
        <f>VLOOKUP(B60,'LOD 300 - CONTROL'!B:RS,101,FALSE)</f>
        <v>1</v>
      </c>
      <c r="F60" s="595">
        <f>VLOOKUP(B60,'LOD 300 - CONTROL'!B:FS,137,FALSE)</f>
        <v>1</v>
      </c>
      <c r="G60" s="596" t="str">
        <f>VLOOKUP(B60,'LOD 300 - CONTROL'!B:GV,194,FALSE)</f>
        <v>N/A</v>
      </c>
      <c r="H60" s="597" t="str">
        <f>VLOOKUP(B60,'LOD 300 - CONTROL'!B:P,15,FALSE)</f>
        <v>V12</v>
      </c>
      <c r="I60" s="595">
        <f>VLOOKUP(B60,'LOD 300 - CONTROL'!B:GJ,154,FALSE)</f>
        <v>1</v>
      </c>
      <c r="J60" s="598" t="str">
        <f>VLOOKUP(B60,'LOD 300 - CONTROL'!B:S,18,FALSE)</f>
        <v>N/A</v>
      </c>
      <c r="K60" s="599">
        <f>VLOOKUP(B60,'LOD 300 - CONTROL'!B:GL,156,FALSE)</f>
        <v>0</v>
      </c>
    </row>
    <row r="61">
      <c r="A61" s="60">
        <v>66.0</v>
      </c>
      <c r="B61" s="601" t="s">
        <v>227</v>
      </c>
      <c r="C61" s="593" t="str">
        <f>VLOOKUP(B61,'LOD 300 - CONTROL'!B:M,12,FALSE)</f>
        <v>V2</v>
      </c>
      <c r="D61" s="594" t="str">
        <f>VLOOKUP(B61,'LOD 300 - CONTROL'!B:BY,61,FALSE)</f>
        <v>N/A</v>
      </c>
      <c r="E61" s="595" t="str">
        <f>VLOOKUP(B61,'LOD 300 - CONTROL'!B:RS,101,FALSE)</f>
        <v>N/A</v>
      </c>
      <c r="F61" s="595" t="str">
        <f>VLOOKUP(B61,'LOD 300 - CONTROL'!B:FS,137,FALSE)</f>
        <v>N/A</v>
      </c>
      <c r="G61" s="596">
        <f>VLOOKUP(B61,'LOD 300 - CONTROL'!B:GV,194,FALSE)</f>
        <v>1</v>
      </c>
      <c r="H61" s="597" t="str">
        <f>VLOOKUP(B61,'LOD 300 - CONTROL'!B:P,15,FALSE)</f>
        <v>N/A</v>
      </c>
      <c r="I61" s="595" t="str">
        <f>VLOOKUP(B61,'LOD 300 - CONTROL'!B:GJ,154,FALSE)</f>
        <v>N/A</v>
      </c>
      <c r="J61" s="598" t="str">
        <f>VLOOKUP(B61,'LOD 300 - CONTROL'!B:S,18,FALSE)</f>
        <v>N/A</v>
      </c>
      <c r="K61" s="599" t="str">
        <f>VLOOKUP(B61,'LOD 300 - CONTROL'!B:GL,156,FALSE)</f>
        <v>N/A</v>
      </c>
    </row>
    <row r="62" hidden="1">
      <c r="A62" s="60">
        <v>67.0</v>
      </c>
      <c r="B62" s="620" t="s">
        <v>229</v>
      </c>
      <c r="C62" s="621"/>
      <c r="D62" s="622"/>
      <c r="E62" s="622"/>
      <c r="F62" s="622"/>
      <c r="G62" s="623"/>
      <c r="H62" s="621"/>
      <c r="I62" s="621"/>
      <c r="J62" s="624"/>
      <c r="K62" s="625"/>
    </row>
    <row r="63">
      <c r="A63" s="60">
        <v>68.0</v>
      </c>
      <c r="B63" s="601" t="s">
        <v>230</v>
      </c>
      <c r="C63" s="593" t="str">
        <f>VLOOKUP(B63,'LOD 300 - CONTROL'!B:M,12,FALSE)</f>
        <v>V9</v>
      </c>
      <c r="D63" s="594">
        <f>VLOOKUP(B63,'LOD 300 - CONTROL'!B:BY,61,FALSE)</f>
        <v>1</v>
      </c>
      <c r="E63" s="595">
        <f>VLOOKUP(B63,'LOD 300 - CONTROL'!B:RS,101,FALSE)</f>
        <v>1</v>
      </c>
      <c r="F63" s="595">
        <f>VLOOKUP(B63,'LOD 300 - CONTROL'!B:FS,137,FALSE)</f>
        <v>1</v>
      </c>
      <c r="G63" s="596" t="str">
        <f>VLOOKUP(B63,'LOD 300 - CONTROL'!B:GV,194,FALSE)</f>
        <v>N/A</v>
      </c>
      <c r="H63" s="597" t="str">
        <f>VLOOKUP(B63,'LOD 300 - CONTROL'!B:P,15,FALSE)</f>
        <v>V14</v>
      </c>
      <c r="I63" s="595">
        <f>VLOOKUP(B63,'LOD 300 - CONTROL'!B:GJ,154,FALSE)</f>
        <v>1</v>
      </c>
      <c r="J63" s="598" t="str">
        <f>VLOOKUP(B63,'LOD 300 - CONTROL'!B:S,18,FALSE)</f>
        <v>N/A</v>
      </c>
      <c r="K63" s="599">
        <f>VLOOKUP(B63,'LOD 300 - CONTROL'!B:GL,156,FALSE)</f>
        <v>0</v>
      </c>
    </row>
    <row r="64" hidden="1">
      <c r="A64" s="60">
        <v>69.0</v>
      </c>
      <c r="B64" s="626" t="s">
        <v>233</v>
      </c>
      <c r="C64" s="627"/>
      <c r="D64" s="628"/>
      <c r="E64" s="628"/>
      <c r="F64" s="628"/>
      <c r="G64" s="629"/>
      <c r="H64" s="627"/>
      <c r="I64" s="627"/>
      <c r="J64" s="630"/>
      <c r="K64" s="631"/>
    </row>
    <row r="65">
      <c r="A65" s="60">
        <v>70.0</v>
      </c>
      <c r="B65" s="601" t="s">
        <v>234</v>
      </c>
      <c r="C65" s="593" t="str">
        <f>VLOOKUP(B65,'LOD 300 - CONTROL'!B:M,12,FALSE)</f>
        <v>V1</v>
      </c>
      <c r="D65" s="594" t="str">
        <f>VLOOKUP(B65,'LOD 300 - CONTROL'!B:BY,61,FALSE)</f>
        <v>N/A</v>
      </c>
      <c r="E65" s="595" t="str">
        <f>VLOOKUP(B65,'LOD 300 - CONTROL'!B:RS,101,FALSE)</f>
        <v>N/A</v>
      </c>
      <c r="F65" s="595" t="str">
        <f>VLOOKUP(B65,'LOD 300 - CONTROL'!B:FS,137,FALSE)</f>
        <v>N/A</v>
      </c>
      <c r="G65" s="596">
        <f>VLOOKUP(B65,'LOD 300 - CONTROL'!B:GV,194,FALSE)</f>
        <v>1</v>
      </c>
      <c r="H65" s="597" t="str">
        <f>VLOOKUP(B65,'LOD 300 - CONTROL'!B:P,15,FALSE)</f>
        <v>N/A</v>
      </c>
      <c r="I65" s="595" t="str">
        <f>VLOOKUP(B65,'LOD 300 - CONTROL'!B:GJ,154,FALSE)</f>
        <v>N/A</v>
      </c>
      <c r="J65" s="598" t="str">
        <f>VLOOKUP(B65,'LOD 300 - CONTROL'!B:S,18,FALSE)</f>
        <v>N/A</v>
      </c>
      <c r="K65" s="599" t="str">
        <f>VLOOKUP(B65,'LOD 300 - CONTROL'!B:GL,156,FALSE)</f>
        <v>N/A</v>
      </c>
    </row>
    <row r="66">
      <c r="A66" s="60">
        <v>71.0</v>
      </c>
      <c r="B66" s="601" t="s">
        <v>236</v>
      </c>
      <c r="C66" s="593" t="str">
        <f>VLOOKUP(B66,'LOD 300 - CONTROL'!B:M,12,FALSE)</f>
        <v>V20</v>
      </c>
      <c r="D66" s="594">
        <f>VLOOKUP(B66,'LOD 300 - CONTROL'!B:BY,61,FALSE)</f>
        <v>1</v>
      </c>
      <c r="E66" s="595">
        <f>VLOOKUP(B66,'LOD 300 - CONTROL'!B:RS,101,FALSE)</f>
        <v>1</v>
      </c>
      <c r="F66" s="595">
        <f>VLOOKUP(B66,'LOD 300 - CONTROL'!B:FS,137,FALSE)</f>
        <v>1</v>
      </c>
      <c r="G66" s="596" t="str">
        <f>VLOOKUP(B66,'LOD 300 - CONTROL'!B:GV,194,FALSE)</f>
        <v>N/A</v>
      </c>
      <c r="H66" s="597" t="str">
        <f>VLOOKUP(B66,'LOD 300 - CONTROL'!B:P,15,FALSE)</f>
        <v>V2</v>
      </c>
      <c r="I66" s="595">
        <f>VLOOKUP(B66,'LOD 300 - CONTROL'!B:GJ,154,FALSE)</f>
        <v>1</v>
      </c>
      <c r="J66" s="598" t="str">
        <f>VLOOKUP(B66,'LOD 300 - CONTROL'!B:S,18,FALSE)</f>
        <v>N/A</v>
      </c>
      <c r="K66" s="599">
        <f>VLOOKUP(B66,'LOD 300 - CONTROL'!B:GL,156,FALSE)</f>
        <v>0</v>
      </c>
    </row>
    <row r="67" hidden="1">
      <c r="A67" s="60">
        <v>72.0</v>
      </c>
      <c r="B67" s="632" t="s">
        <v>238</v>
      </c>
      <c r="C67" s="633"/>
      <c r="D67" s="634"/>
      <c r="E67" s="634"/>
      <c r="F67" s="634"/>
      <c r="G67" s="635"/>
      <c r="H67" s="633"/>
      <c r="I67" s="633"/>
      <c r="J67" s="636"/>
      <c r="K67" s="637"/>
    </row>
    <row r="68">
      <c r="A68" s="60">
        <v>73.0</v>
      </c>
      <c r="B68" s="601" t="s">
        <v>239</v>
      </c>
      <c r="C68" s="593" t="str">
        <f>VLOOKUP(B68,'LOD 300 - CONTROL'!B:M,12,FALSE)</f>
        <v>V1</v>
      </c>
      <c r="D68" s="594" t="str">
        <f>VLOOKUP(B68,'LOD 300 - CONTROL'!B:BY,61,FALSE)</f>
        <v>N/A</v>
      </c>
      <c r="E68" s="595" t="str">
        <f>VLOOKUP(B68,'LOD 300 - CONTROL'!B:RS,101,FALSE)</f>
        <v>N/A</v>
      </c>
      <c r="F68" s="595" t="str">
        <f>VLOOKUP(B68,'LOD 300 - CONTROL'!B:FS,137,FALSE)</f>
        <v>N/A</v>
      </c>
      <c r="G68" s="596">
        <f>VLOOKUP(B68,'LOD 300 - CONTROL'!B:GV,194,FALSE)</f>
        <v>1</v>
      </c>
      <c r="H68" s="597" t="str">
        <f>VLOOKUP(B68,'LOD 300 - CONTROL'!B:P,15,FALSE)</f>
        <v>N/A</v>
      </c>
      <c r="I68" s="595" t="str">
        <f>VLOOKUP(B68,'LOD 300 - CONTROL'!B:GJ,154,FALSE)</f>
        <v>N/A</v>
      </c>
      <c r="J68" s="598" t="str">
        <f>VLOOKUP(B68,'LOD 300 - CONTROL'!B:S,18,FALSE)</f>
        <v>N/A</v>
      </c>
      <c r="K68" s="599" t="str">
        <f>VLOOKUP(B68,'LOD 300 - CONTROL'!B:GL,156,FALSE)</f>
        <v>N/A</v>
      </c>
    </row>
    <row r="69">
      <c r="A69" s="60">
        <v>74.0</v>
      </c>
      <c r="B69" s="601" t="s">
        <v>241</v>
      </c>
      <c r="C69" s="593" t="str">
        <f>VLOOKUP(B69,'LOD 300 - CONTROL'!B:M,12,FALSE)</f>
        <v>V1</v>
      </c>
      <c r="D69" s="594">
        <f>VLOOKUP(B69,'LOD 300 - CONTROL'!B:BY,61,FALSE)</f>
        <v>1</v>
      </c>
      <c r="E69" s="595">
        <f>VLOOKUP(B69,'LOD 300 - CONTROL'!B:RS,101,FALSE)</f>
        <v>1</v>
      </c>
      <c r="F69" s="595">
        <f>VLOOKUP(B69,'LOD 300 - CONTROL'!B:FS,137,FALSE)</f>
        <v>1</v>
      </c>
      <c r="G69" s="596" t="str">
        <f>VLOOKUP(B69,'LOD 300 - CONTROL'!B:GV,194,FALSE)</f>
        <v>N/A</v>
      </c>
      <c r="H69" s="597" t="str">
        <f>VLOOKUP(B69,'LOD 300 - CONTROL'!B:P,15,FALSE)</f>
        <v>V4</v>
      </c>
      <c r="I69" s="595">
        <f>VLOOKUP(B69,'LOD 300 - CONTROL'!B:GJ,154,FALSE)</f>
        <v>1</v>
      </c>
      <c r="J69" s="598" t="str">
        <f>VLOOKUP(B69,'LOD 300 - CONTROL'!B:S,18,FALSE)</f>
        <v>N/A</v>
      </c>
      <c r="K69" s="599">
        <f>VLOOKUP(B69,'LOD 300 - CONTROL'!B:GL,156,FALSE)</f>
        <v>0</v>
      </c>
    </row>
    <row r="70">
      <c r="A70" s="60">
        <v>75.0</v>
      </c>
      <c r="B70" s="601" t="s">
        <v>243</v>
      </c>
      <c r="C70" s="593" t="str">
        <f>VLOOKUP(B70,'LOD 300 - CONTROL'!B:M,12,FALSE)</f>
        <v>V6</v>
      </c>
      <c r="D70" s="594" t="str">
        <f>VLOOKUP(B70,'LOD 300 - CONTROL'!B:BY,61,FALSE)</f>
        <v>N/A</v>
      </c>
      <c r="E70" s="595" t="str">
        <f>VLOOKUP(B70,'LOD 300 - CONTROL'!B:RS,101,FALSE)</f>
        <v>N/A</v>
      </c>
      <c r="F70" s="595" t="str">
        <f>VLOOKUP(B70,'LOD 300 - CONTROL'!B:FS,137,FALSE)</f>
        <v>N/A</v>
      </c>
      <c r="G70" s="596">
        <f>VLOOKUP(B70,'LOD 300 - CONTROL'!B:GV,194,FALSE)</f>
        <v>1</v>
      </c>
      <c r="H70" s="597" t="str">
        <f>VLOOKUP(B70,'LOD 300 - CONTROL'!B:P,15,FALSE)</f>
        <v>N/A</v>
      </c>
      <c r="I70" s="595" t="str">
        <f>VLOOKUP(B70,'LOD 300 - CONTROL'!B:GJ,154,FALSE)</f>
        <v>N/A</v>
      </c>
      <c r="J70" s="598" t="str">
        <f>VLOOKUP(B70,'LOD 300 - CONTROL'!B:S,18,FALSE)</f>
        <v>N/A</v>
      </c>
      <c r="K70" s="599" t="str">
        <f>VLOOKUP(B70,'LOD 300 - CONTROL'!B:GL,156,FALSE)</f>
        <v>N/A</v>
      </c>
    </row>
    <row r="71" hidden="1">
      <c r="A71" s="60">
        <v>76.0</v>
      </c>
      <c r="B71" s="638" t="s">
        <v>247</v>
      </c>
      <c r="C71" s="639"/>
      <c r="D71" s="640"/>
      <c r="E71" s="640"/>
      <c r="F71" s="640"/>
      <c r="G71" s="641"/>
      <c r="H71" s="639"/>
      <c r="I71" s="639"/>
      <c r="J71" s="642"/>
      <c r="K71" s="643"/>
    </row>
    <row r="72">
      <c r="A72" s="60">
        <v>77.0</v>
      </c>
      <c r="B72" s="601" t="s">
        <v>248</v>
      </c>
      <c r="C72" s="593" t="str">
        <f>VLOOKUP(B72,'LOD 300 - CONTROL'!B:M,12,FALSE)</f>
        <v>V14</v>
      </c>
      <c r="D72" s="594" t="str">
        <f>VLOOKUP(B72,'LOD 300 - CONTROL'!B:BY,61,FALSE)</f>
        <v>N/A</v>
      </c>
      <c r="E72" s="595" t="str">
        <f>VLOOKUP(B72,'LOD 300 - CONTROL'!B:RS,101,FALSE)</f>
        <v>N/A</v>
      </c>
      <c r="F72" s="595" t="str">
        <f>VLOOKUP(B72,'LOD 300 - CONTROL'!B:FS,137,FALSE)</f>
        <v>N/A</v>
      </c>
      <c r="G72" s="596">
        <f>VLOOKUP(B72,'LOD 300 - CONTROL'!B:GV,194,FALSE)</f>
        <v>1</v>
      </c>
      <c r="H72" s="597" t="str">
        <f>VLOOKUP(B72,'LOD 300 - CONTROL'!B:P,15,FALSE)</f>
        <v>N/A</v>
      </c>
      <c r="I72" s="595" t="str">
        <f>VLOOKUP(B72,'LOD 300 - CONTROL'!B:GJ,154,FALSE)</f>
        <v>N/A</v>
      </c>
      <c r="J72" s="598" t="str">
        <f>VLOOKUP(B72,'LOD 300 - CONTROL'!B:S,18,FALSE)</f>
        <v>N/A</v>
      </c>
      <c r="K72" s="599" t="str">
        <f>VLOOKUP(B72,'LOD 300 - CONTROL'!B:GL,156,FALSE)</f>
        <v>N/A</v>
      </c>
    </row>
    <row r="73">
      <c r="A73" s="60">
        <v>78.0</v>
      </c>
      <c r="B73" s="601" t="s">
        <v>250</v>
      </c>
      <c r="C73" s="593" t="str">
        <f>VLOOKUP(B73,'LOD 300 - CONTROL'!B:M,12,FALSE)</f>
        <v>V22</v>
      </c>
      <c r="D73" s="594">
        <f>VLOOKUP(B73,'LOD 300 - CONTROL'!B:BY,61,FALSE)</f>
        <v>1</v>
      </c>
      <c r="E73" s="595">
        <f>VLOOKUP(B73,'LOD 300 - CONTROL'!B:RS,101,FALSE)</f>
        <v>1</v>
      </c>
      <c r="F73" s="595">
        <f>VLOOKUP(B73,'LOD 300 - CONTROL'!B:FS,137,FALSE)</f>
        <v>1</v>
      </c>
      <c r="G73" s="596" t="str">
        <f>VLOOKUP(B73,'LOD 300 - CONTROL'!B:GV,194,FALSE)</f>
        <v>N/A</v>
      </c>
      <c r="H73" s="597" t="str">
        <f>VLOOKUP(B73,'LOD 300 - CONTROL'!B:P,15,FALSE)</f>
        <v>V1</v>
      </c>
      <c r="I73" s="595">
        <f>VLOOKUP(B73,'LOD 300 - CONTROL'!B:GJ,154,FALSE)</f>
        <v>1</v>
      </c>
      <c r="J73" s="598" t="str">
        <f>VLOOKUP(B73,'LOD 300 - CONTROL'!B:S,18,FALSE)</f>
        <v>N/A</v>
      </c>
      <c r="K73" s="599">
        <f>VLOOKUP(B73,'LOD 300 - CONTROL'!B:GL,156,FALSE)</f>
        <v>0</v>
      </c>
    </row>
    <row r="74">
      <c r="A74" s="60">
        <v>79.0</v>
      </c>
      <c r="B74" s="601" t="s">
        <v>252</v>
      </c>
      <c r="C74" s="593" t="str">
        <f>VLOOKUP(B74,'LOD 300 - CONTROL'!B:M,12,FALSE)</f>
        <v>V8</v>
      </c>
      <c r="D74" s="594" t="str">
        <f>VLOOKUP(B74,'LOD 300 - CONTROL'!B:BY,61,FALSE)</f>
        <v>N/A</v>
      </c>
      <c r="E74" s="595" t="str">
        <f>VLOOKUP(B74,'LOD 300 - CONTROL'!B:RS,101,FALSE)</f>
        <v>N/A</v>
      </c>
      <c r="F74" s="595" t="str">
        <f>VLOOKUP(B74,'LOD 300 - CONTROL'!B:FS,137,FALSE)</f>
        <v>N/A</v>
      </c>
      <c r="G74" s="596">
        <f>VLOOKUP(B74,'LOD 300 - CONTROL'!B:GV,194,FALSE)</f>
        <v>1</v>
      </c>
      <c r="H74" s="597" t="str">
        <f>VLOOKUP(B74,'LOD 300 - CONTROL'!B:P,15,FALSE)</f>
        <v>N/A</v>
      </c>
      <c r="I74" s="595" t="str">
        <f>VLOOKUP(B74,'LOD 300 - CONTROL'!B:GJ,154,FALSE)</f>
        <v>N/A</v>
      </c>
      <c r="J74" s="598" t="str">
        <f>VLOOKUP(B74,'LOD 300 - CONTROL'!B:S,18,FALSE)</f>
        <v>N/A</v>
      </c>
      <c r="K74" s="599" t="str">
        <f>VLOOKUP(B74,'LOD 300 - CONTROL'!B:GL,156,FALSE)</f>
        <v>N/A</v>
      </c>
    </row>
    <row r="75">
      <c r="A75" s="60">
        <v>80.0</v>
      </c>
      <c r="B75" s="601" t="s">
        <v>254</v>
      </c>
      <c r="C75" s="593" t="str">
        <f>VLOOKUP(B75,'LOD 300 - CONTROL'!B:M,12,FALSE)</f>
        <v>V32</v>
      </c>
      <c r="D75" s="594" t="str">
        <f>VLOOKUP(B75,'LOD 300 - CONTROL'!B:BY,61,FALSE)</f>
        <v>N/A</v>
      </c>
      <c r="E75" s="595" t="str">
        <f>VLOOKUP(B75,'LOD 300 - CONTROL'!B:RS,101,FALSE)</f>
        <v>N/A</v>
      </c>
      <c r="F75" s="595" t="str">
        <f>VLOOKUP(B75,'LOD 300 - CONTROL'!B:FS,137,FALSE)</f>
        <v>N/A</v>
      </c>
      <c r="G75" s="596">
        <f>VLOOKUP(B75,'LOD 300 - CONTROL'!B:GV,194,FALSE)</f>
        <v>1</v>
      </c>
      <c r="H75" s="597" t="str">
        <f>VLOOKUP(B75,'LOD 300 - CONTROL'!B:P,15,FALSE)</f>
        <v>N/A</v>
      </c>
      <c r="I75" s="595" t="str">
        <f>VLOOKUP(B75,'LOD 300 - CONTROL'!B:GJ,154,FALSE)</f>
        <v>N/A</v>
      </c>
      <c r="J75" s="598" t="str">
        <f>VLOOKUP(B75,'LOD 300 - CONTROL'!B:S,18,FALSE)</f>
        <v>N/A</v>
      </c>
      <c r="K75" s="599" t="str">
        <f>VLOOKUP(B75,'LOD 300 - CONTROL'!B:GL,156,FALSE)</f>
        <v>N/A</v>
      </c>
    </row>
    <row r="76">
      <c r="A76" s="60">
        <v>81.0</v>
      </c>
      <c r="B76" s="601" t="s">
        <v>257</v>
      </c>
      <c r="C76" s="593" t="str">
        <f>VLOOKUP(B76,'LOD 300 - CONTROL'!B:M,12,FALSE)</f>
        <v>V31</v>
      </c>
      <c r="D76" s="594" t="str">
        <f>VLOOKUP(B76,'LOD 300 - CONTROL'!B:BY,61,FALSE)</f>
        <v>N/A</v>
      </c>
      <c r="E76" s="595">
        <f>VLOOKUP(B76,'LOD 300 - CONTROL'!B:RS,101,FALSE)</f>
        <v>1</v>
      </c>
      <c r="F76" s="595">
        <f>VLOOKUP(B76,'LOD 300 - CONTROL'!B:FS,137,FALSE)</f>
        <v>1</v>
      </c>
      <c r="G76" s="596" t="str">
        <f>VLOOKUP(B76,'LOD 300 - CONTROL'!B:GV,194,FALSE)</f>
        <v>N/A</v>
      </c>
      <c r="H76" s="597" t="str">
        <f>VLOOKUP(B76,'LOD 300 - CONTROL'!B:P,15,FALSE)</f>
        <v>V39</v>
      </c>
      <c r="I76" s="595">
        <f>VLOOKUP(B76,'LOD 300 - CONTROL'!B:GJ,154,FALSE)</f>
        <v>1</v>
      </c>
      <c r="J76" s="598" t="str">
        <f>VLOOKUP(B76,'LOD 300 - CONTROL'!B:S,18,FALSE)</f>
        <v>N/A</v>
      </c>
      <c r="K76" s="599">
        <f>VLOOKUP(B76,'LOD 300 - CONTROL'!B:GL,156,FALSE)</f>
        <v>0</v>
      </c>
    </row>
    <row r="77">
      <c r="A77" s="60">
        <v>82.0</v>
      </c>
      <c r="B77" s="601" t="s">
        <v>259</v>
      </c>
      <c r="C77" s="593" t="str">
        <f>VLOOKUP(B77,'LOD 300 - CONTROL'!B:M,12,FALSE)</f>
        <v>V21</v>
      </c>
      <c r="D77" s="594" t="str">
        <f>VLOOKUP(B77,'LOD 300 - CONTROL'!B:BY,61,FALSE)</f>
        <v>N/A</v>
      </c>
      <c r="E77" s="595" t="str">
        <f>VLOOKUP(B77,'LOD 300 - CONTROL'!B:RS,101,FALSE)</f>
        <v>N/A</v>
      </c>
      <c r="F77" s="595" t="str">
        <f>VLOOKUP(B77,'LOD 300 - CONTROL'!B:FS,137,FALSE)</f>
        <v>N/A</v>
      </c>
      <c r="G77" s="596">
        <f>VLOOKUP(B77,'LOD 300 - CONTROL'!B:GV,194,FALSE)</f>
        <v>1</v>
      </c>
      <c r="H77" s="597" t="str">
        <f>VLOOKUP(B77,'LOD 300 - CONTROL'!B:P,15,FALSE)</f>
        <v>N/A</v>
      </c>
      <c r="I77" s="595" t="str">
        <f>VLOOKUP(B77,'LOD 300 - CONTROL'!B:GJ,154,FALSE)</f>
        <v>N/A</v>
      </c>
      <c r="J77" s="598" t="str">
        <f>VLOOKUP(B77,'LOD 300 - CONTROL'!B:S,18,FALSE)</f>
        <v>N/A</v>
      </c>
      <c r="K77" s="599" t="str">
        <f>VLOOKUP(B77,'LOD 300 - CONTROL'!B:GL,156,FALSE)</f>
        <v>N/A</v>
      </c>
    </row>
    <row r="78" hidden="1">
      <c r="A78" s="60">
        <v>83.0</v>
      </c>
      <c r="B78" s="644" t="s">
        <v>261</v>
      </c>
      <c r="C78" s="645"/>
      <c r="D78" s="646"/>
      <c r="E78" s="646"/>
      <c r="F78" s="646"/>
      <c r="G78" s="647"/>
      <c r="H78" s="645"/>
      <c r="I78" s="645"/>
      <c r="J78" s="648"/>
      <c r="K78" s="649"/>
    </row>
    <row r="79">
      <c r="A79" s="60">
        <v>84.0</v>
      </c>
      <c r="B79" s="601" t="s">
        <v>262</v>
      </c>
      <c r="C79" s="593" t="str">
        <f>VLOOKUP(B79,'LOD 300 - CONTROL'!B:M,12,FALSE)</f>
        <v>V49</v>
      </c>
      <c r="D79" s="594">
        <f>VLOOKUP(B79,'LOD 300 - CONTROL'!B:BY,61,FALSE)</f>
        <v>1</v>
      </c>
      <c r="E79" s="595">
        <f>VLOOKUP(B79,'LOD 300 - CONTROL'!B:RS,101,FALSE)</f>
        <v>1</v>
      </c>
      <c r="F79" s="595">
        <f>VLOOKUP(B79,'LOD 300 - CONTROL'!B:FS,137,FALSE)</f>
        <v>1</v>
      </c>
      <c r="G79" s="596" t="str">
        <f>VLOOKUP(B79,'LOD 300 - CONTROL'!B:GV,194,FALSE)</f>
        <v>N/A</v>
      </c>
      <c r="H79" s="597" t="str">
        <f>VLOOKUP(B79,'LOD 300 - CONTROL'!B:P,15,FALSE)</f>
        <v>V59</v>
      </c>
      <c r="I79" s="595">
        <f>VLOOKUP(B79,'LOD 300 - CONTROL'!B:GJ,154,FALSE)</f>
        <v>1</v>
      </c>
      <c r="J79" s="598" t="str">
        <f>VLOOKUP(B79,'LOD 300 - CONTROL'!B:S,18,FALSE)</f>
        <v>N/A</v>
      </c>
      <c r="K79" s="599">
        <f>VLOOKUP(B79,'LOD 300 - CONTROL'!B:GL,156,FALSE)</f>
        <v>0</v>
      </c>
    </row>
    <row r="80">
      <c r="A80" s="60">
        <v>85.0</v>
      </c>
      <c r="B80" s="601" t="s">
        <v>264</v>
      </c>
      <c r="C80" s="593" t="str">
        <f>VLOOKUP(B80,'LOD 300 - CONTROL'!B:M,12,FALSE)</f>
        <v>V14</v>
      </c>
      <c r="D80" s="594" t="str">
        <f>VLOOKUP(B80,'LOD 300 - CONTROL'!B:BY,61,FALSE)</f>
        <v>N/A</v>
      </c>
      <c r="E80" s="595" t="str">
        <f>VLOOKUP(B80,'LOD 300 - CONTROL'!B:RS,101,FALSE)</f>
        <v>N/A</v>
      </c>
      <c r="F80" s="595" t="str">
        <f>VLOOKUP(B80,'LOD 300 - CONTROL'!B:FS,137,FALSE)</f>
        <v>N/A</v>
      </c>
      <c r="G80" s="596">
        <f>VLOOKUP(B80,'LOD 300 - CONTROL'!B:GV,194,FALSE)</f>
        <v>1</v>
      </c>
      <c r="H80" s="597" t="str">
        <f>VLOOKUP(B80,'LOD 300 - CONTROL'!B:P,15,FALSE)</f>
        <v>N/A</v>
      </c>
      <c r="I80" s="595" t="str">
        <f>VLOOKUP(B80,'LOD 300 - CONTROL'!B:GJ,154,FALSE)</f>
        <v>N/A</v>
      </c>
      <c r="J80" s="598" t="str">
        <f>VLOOKUP(B80,'LOD 300 - CONTROL'!B:S,18,FALSE)</f>
        <v>N/A</v>
      </c>
      <c r="K80" s="599" t="str">
        <f>VLOOKUP(B80,'LOD 300 - CONTROL'!B:GL,156,FALSE)</f>
        <v>N/A</v>
      </c>
    </row>
    <row r="81" hidden="1">
      <c r="A81" s="60">
        <v>86.0</v>
      </c>
      <c r="B81" s="650" t="s">
        <v>266</v>
      </c>
      <c r="C81" s="651"/>
      <c r="D81" s="652"/>
      <c r="E81" s="652"/>
      <c r="F81" s="652"/>
      <c r="G81" s="653"/>
      <c r="H81" s="651"/>
      <c r="I81" s="651"/>
      <c r="J81" s="654"/>
      <c r="K81" s="655"/>
    </row>
    <row r="82">
      <c r="A82" s="60">
        <v>87.0</v>
      </c>
      <c r="B82" s="601" t="s">
        <v>267</v>
      </c>
      <c r="C82" s="593" t="str">
        <f>VLOOKUP(B82,'LOD 300 - CONTROL'!B:M,12,FALSE)</f>
        <v>NOT PUBLISHED</v>
      </c>
      <c r="D82" s="594" t="str">
        <f>VLOOKUP(B82,'LOD 300 - CONTROL'!B:BY,61,FALSE)</f>
        <v>N/A</v>
      </c>
      <c r="E82" s="595" t="str">
        <f>VLOOKUP(B82,'LOD 300 - CONTROL'!B:RS,101,FALSE)</f>
        <v>N/A</v>
      </c>
      <c r="F82" s="595" t="str">
        <f>VLOOKUP(B82,'LOD 300 - CONTROL'!B:FS,137,FALSE)</f>
        <v>N/A</v>
      </c>
      <c r="G82" s="596" t="str">
        <f>VLOOKUP(B82,'LOD 300 - CONTROL'!B:GV,194,FALSE)</f>
        <v>NOT PUBLISHED</v>
      </c>
      <c r="H82" s="597" t="str">
        <f>VLOOKUP(B82,'LOD 300 - CONTROL'!B:P,15,FALSE)</f>
        <v>N/A</v>
      </c>
      <c r="I82" s="595" t="str">
        <f>VLOOKUP(B82,'LOD 300 - CONTROL'!B:GJ,154,FALSE)</f>
        <v>N/A</v>
      </c>
      <c r="J82" s="598" t="str">
        <f>VLOOKUP(B82,'LOD 300 - CONTROL'!B:S,18,FALSE)</f>
        <v>N/A</v>
      </c>
      <c r="K82" s="599" t="str">
        <f>VLOOKUP(B82,'LOD 300 - CONTROL'!B:GL,156,FALSE)</f>
        <v>N/A</v>
      </c>
    </row>
    <row r="83" hidden="1">
      <c r="A83" s="60">
        <v>88.0</v>
      </c>
      <c r="B83" s="656" t="s">
        <v>270</v>
      </c>
      <c r="C83" s="657"/>
      <c r="D83" s="658"/>
      <c r="E83" s="658"/>
      <c r="F83" s="658"/>
      <c r="G83" s="659"/>
      <c r="H83" s="657"/>
      <c r="I83" s="657"/>
      <c r="J83" s="660"/>
      <c r="K83" s="661"/>
    </row>
    <row r="84">
      <c r="A84" s="60">
        <v>89.0</v>
      </c>
      <c r="B84" s="601" t="s">
        <v>271</v>
      </c>
      <c r="C84" s="593" t="str">
        <f>VLOOKUP(B84,'LOD 300 - CONTROL'!B:M,12,FALSE)</f>
        <v>V3</v>
      </c>
      <c r="D84" s="594" t="str">
        <f>VLOOKUP(B84,'LOD 300 - CONTROL'!B:BY,61,FALSE)</f>
        <v>N/A</v>
      </c>
      <c r="E84" s="595" t="str">
        <f>VLOOKUP(B84,'LOD 300 - CONTROL'!B:RS,101,FALSE)</f>
        <v>N/A</v>
      </c>
      <c r="F84" s="595" t="str">
        <f>VLOOKUP(B84,'LOD 300 - CONTROL'!B:FS,137,FALSE)</f>
        <v>N/A</v>
      </c>
      <c r="G84" s="596">
        <f>VLOOKUP(B84,'LOD 300 - CONTROL'!B:GV,194,FALSE)</f>
        <v>1</v>
      </c>
      <c r="H84" s="597" t="str">
        <f>VLOOKUP(B84,'LOD 300 - CONTROL'!B:P,15,FALSE)</f>
        <v>N/A</v>
      </c>
      <c r="I84" s="595" t="str">
        <f>VLOOKUP(B84,'LOD 300 - CONTROL'!B:GJ,154,FALSE)</f>
        <v>N/A</v>
      </c>
      <c r="J84" s="598" t="str">
        <f>VLOOKUP(B84,'LOD 300 - CONTROL'!B:S,18,FALSE)</f>
        <v>N/A</v>
      </c>
      <c r="K84" s="599" t="str">
        <f>VLOOKUP(B84,'LOD 300 - CONTROL'!B:GL,156,FALSE)</f>
        <v>N/A</v>
      </c>
    </row>
    <row r="85">
      <c r="A85" s="60">
        <v>90.0</v>
      </c>
      <c r="B85" s="601" t="s">
        <v>274</v>
      </c>
      <c r="C85" s="593" t="str">
        <f>VLOOKUP(B85,'LOD 300 - CONTROL'!B:M,12,FALSE)</f>
        <v>V2</v>
      </c>
      <c r="D85" s="594" t="str">
        <f>VLOOKUP(B85,'LOD 300 - CONTROL'!B:BY,61,FALSE)</f>
        <v>N/A</v>
      </c>
      <c r="E85" s="595" t="str">
        <f>VLOOKUP(B85,'LOD 300 - CONTROL'!B:RS,101,FALSE)</f>
        <v>N/A</v>
      </c>
      <c r="F85" s="595" t="str">
        <f>VLOOKUP(B85,'LOD 300 - CONTROL'!B:FS,137,FALSE)</f>
        <v>N/A</v>
      </c>
      <c r="G85" s="596">
        <f>VLOOKUP(B85,'LOD 300 - CONTROL'!B:GV,194,FALSE)</f>
        <v>1</v>
      </c>
      <c r="H85" s="597" t="str">
        <f>VLOOKUP(B85,'LOD 300 - CONTROL'!B:P,15,FALSE)</f>
        <v>N/A</v>
      </c>
      <c r="I85" s="595" t="str">
        <f>VLOOKUP(B85,'LOD 300 - CONTROL'!B:GJ,154,FALSE)</f>
        <v>N/A</v>
      </c>
      <c r="J85" s="598" t="str">
        <f>VLOOKUP(B85,'LOD 300 - CONTROL'!B:S,18,FALSE)</f>
        <v>N/A</v>
      </c>
      <c r="K85" s="599" t="str">
        <f>VLOOKUP(B85,'LOD 300 - CONTROL'!B:GL,156,FALSE)</f>
        <v>N/A</v>
      </c>
    </row>
    <row r="86">
      <c r="A86" s="60">
        <v>91.0</v>
      </c>
      <c r="B86" s="601" t="s">
        <v>276</v>
      </c>
      <c r="C86" s="593" t="str">
        <f>VLOOKUP(B86,'LOD 300 - CONTROL'!B:M,12,FALSE)</f>
        <v>V3</v>
      </c>
      <c r="D86" s="594" t="str">
        <f>VLOOKUP(B86,'LOD 300 - CONTROL'!B:BY,61,FALSE)</f>
        <v>N/A</v>
      </c>
      <c r="E86" s="595" t="str">
        <f>VLOOKUP(B86,'LOD 300 - CONTROL'!B:RS,101,FALSE)</f>
        <v>N/A</v>
      </c>
      <c r="F86" s="595" t="str">
        <f>VLOOKUP(B86,'LOD 300 - CONTROL'!B:FS,137,FALSE)</f>
        <v>N/A</v>
      </c>
      <c r="G86" s="596">
        <f>VLOOKUP(B86,'LOD 300 - CONTROL'!B:GV,194,FALSE)</f>
        <v>1</v>
      </c>
      <c r="H86" s="597" t="str">
        <f>VLOOKUP(B86,'LOD 300 - CONTROL'!B:P,15,FALSE)</f>
        <v>N/A</v>
      </c>
      <c r="I86" s="595" t="str">
        <f>VLOOKUP(B86,'LOD 300 - CONTROL'!B:GJ,154,FALSE)</f>
        <v>N/A</v>
      </c>
      <c r="J86" s="598" t="str">
        <f>VLOOKUP(B86,'LOD 300 - CONTROL'!B:S,18,FALSE)</f>
        <v>N/A</v>
      </c>
      <c r="K86" s="599" t="str">
        <f>VLOOKUP(B86,'LOD 300 - CONTROL'!B:GL,156,FALSE)</f>
        <v>N/A</v>
      </c>
    </row>
    <row r="87">
      <c r="A87" s="60">
        <v>92.0</v>
      </c>
      <c r="B87" s="601" t="s">
        <v>278</v>
      </c>
      <c r="C87" s="593" t="str">
        <f>VLOOKUP(B87,'LOD 300 - CONTROL'!B:M,12,FALSE)</f>
        <v>NOT PUBLISHED</v>
      </c>
      <c r="D87" s="594" t="str">
        <f>VLOOKUP(B87,'LOD 300 - CONTROL'!B:BY,61,FALSE)</f>
        <v>N/A</v>
      </c>
      <c r="E87" s="595" t="str">
        <f>VLOOKUP(B87,'LOD 300 - CONTROL'!B:RS,101,FALSE)</f>
        <v>N/A</v>
      </c>
      <c r="F87" s="595" t="str">
        <f>VLOOKUP(B87,'LOD 300 - CONTROL'!B:FS,137,FALSE)</f>
        <v>N/A</v>
      </c>
      <c r="G87" s="596" t="str">
        <f>VLOOKUP(B87,'LOD 300 - CONTROL'!B:GV,194,FALSE)</f>
        <v>NOT PUBLISHED</v>
      </c>
      <c r="H87" s="597" t="str">
        <f>VLOOKUP(B87,'LOD 300 - CONTROL'!B:P,15,FALSE)</f>
        <v>N/A</v>
      </c>
      <c r="I87" s="595" t="str">
        <f>VLOOKUP(B87,'LOD 300 - CONTROL'!B:GJ,154,FALSE)</f>
        <v>N/A</v>
      </c>
      <c r="J87" s="598" t="str">
        <f>VLOOKUP(B87,'LOD 300 - CONTROL'!B:S,18,FALSE)</f>
        <v>N/A</v>
      </c>
      <c r="K87" s="599" t="str">
        <f>VLOOKUP(B87,'LOD 300 - CONTROL'!B:GL,156,FALSE)</f>
        <v>N/A</v>
      </c>
    </row>
    <row r="88">
      <c r="A88" s="60">
        <v>93.0</v>
      </c>
      <c r="B88" s="601" t="s">
        <v>280</v>
      </c>
      <c r="C88" s="593" t="str">
        <f>VLOOKUP(B88,'LOD 300 - CONTROL'!B:M,12,FALSE)</f>
        <v>V7</v>
      </c>
      <c r="D88" s="594" t="str">
        <f>VLOOKUP(B88,'LOD 300 - CONTROL'!B:BY,61,FALSE)</f>
        <v>N/A</v>
      </c>
      <c r="E88" s="595" t="str">
        <f>VLOOKUP(B88,'LOD 300 - CONTROL'!B:RS,101,FALSE)</f>
        <v>N/A</v>
      </c>
      <c r="F88" s="595" t="str">
        <f>VLOOKUP(B88,'LOD 300 - CONTROL'!B:FS,137,FALSE)</f>
        <v>N/A</v>
      </c>
      <c r="G88" s="596">
        <f>VLOOKUP(B88,'LOD 300 - CONTROL'!B:GV,194,FALSE)</f>
        <v>1</v>
      </c>
      <c r="H88" s="597" t="str">
        <f>VLOOKUP(B88,'LOD 300 - CONTROL'!B:P,15,FALSE)</f>
        <v>N/A</v>
      </c>
      <c r="I88" s="595" t="str">
        <f>VLOOKUP(B88,'LOD 300 - CONTROL'!B:GJ,154,FALSE)</f>
        <v>N/A</v>
      </c>
      <c r="J88" s="598" t="str">
        <f>VLOOKUP(B88,'LOD 300 - CONTROL'!B:S,18,FALSE)</f>
        <v>N/A</v>
      </c>
      <c r="K88" s="599" t="str">
        <f>VLOOKUP(B88,'LOD 300 - CONTROL'!B:GL,156,FALSE)</f>
        <v>N/A</v>
      </c>
    </row>
    <row r="89" hidden="1">
      <c r="A89" s="60">
        <v>94.0</v>
      </c>
      <c r="B89" s="662" t="s">
        <v>284</v>
      </c>
      <c r="C89" s="663"/>
      <c r="D89" s="664"/>
      <c r="E89" s="664"/>
      <c r="F89" s="664"/>
      <c r="G89" s="665"/>
      <c r="H89" s="663"/>
      <c r="I89" s="663"/>
      <c r="J89" s="666"/>
      <c r="K89" s="667"/>
    </row>
    <row r="90">
      <c r="A90" s="60">
        <v>95.0</v>
      </c>
      <c r="B90" s="601" t="s">
        <v>285</v>
      </c>
      <c r="C90" s="593" t="str">
        <f>VLOOKUP(B90,'LOD 300 - CONTROL'!B:M,12,FALSE)</f>
        <v>V5</v>
      </c>
      <c r="D90" s="594">
        <f>VLOOKUP(B90,'LOD 300 - CONTROL'!B:BY,61,FALSE)</f>
        <v>1</v>
      </c>
      <c r="E90" s="595">
        <f>VLOOKUP(B90,'LOD 300 - CONTROL'!B:RS,101,FALSE)</f>
        <v>1</v>
      </c>
      <c r="F90" s="595">
        <f>VLOOKUP(B90,'LOD 300 - CONTROL'!B:FS,137,FALSE)</f>
        <v>1</v>
      </c>
      <c r="G90" s="596" t="str">
        <f>VLOOKUP(B90,'LOD 300 - CONTROL'!B:GV,194,FALSE)</f>
        <v>N/A</v>
      </c>
      <c r="H90" s="597" t="str">
        <f>VLOOKUP(B90,'LOD 300 - CONTROL'!B:P,15,FALSE)</f>
        <v>V9</v>
      </c>
      <c r="I90" s="595">
        <f>VLOOKUP(B90,'LOD 300 - CONTROL'!B:GJ,154,FALSE)</f>
        <v>1</v>
      </c>
      <c r="J90" s="598" t="str">
        <f>VLOOKUP(B90,'LOD 300 - CONTROL'!B:S,18,FALSE)</f>
        <v>N/A</v>
      </c>
      <c r="K90" s="599">
        <f>VLOOKUP(B90,'LOD 300 - CONTROL'!B:GL,156,FALSE)</f>
        <v>0</v>
      </c>
    </row>
    <row r="91">
      <c r="A91" s="60">
        <v>96.0</v>
      </c>
      <c r="B91" s="601" t="s">
        <v>289</v>
      </c>
      <c r="C91" s="593" t="str">
        <f>VLOOKUP(B91,'LOD 300 - CONTROL'!B:M,12,FALSE)</f>
        <v>V7</v>
      </c>
      <c r="D91" s="594" t="str">
        <f>VLOOKUP(B91,'LOD 300 - CONTROL'!B:BY,61,FALSE)</f>
        <v>N/A</v>
      </c>
      <c r="E91" s="595" t="str">
        <f>VLOOKUP(B91,'LOD 300 - CONTROL'!B:RS,101,FALSE)</f>
        <v>N/A</v>
      </c>
      <c r="F91" s="595" t="str">
        <f>VLOOKUP(B91,'LOD 300 - CONTROL'!B:FS,137,FALSE)</f>
        <v>N/A</v>
      </c>
      <c r="G91" s="596">
        <f>VLOOKUP(B91,'LOD 300 - CONTROL'!B:GV,194,FALSE)</f>
        <v>1</v>
      </c>
      <c r="H91" s="597" t="str">
        <f>VLOOKUP(B91,'LOD 300 - CONTROL'!B:P,15,FALSE)</f>
        <v>N/A</v>
      </c>
      <c r="I91" s="595" t="str">
        <f>VLOOKUP(B91,'LOD 300 - CONTROL'!B:GJ,154,FALSE)</f>
        <v>N/A</v>
      </c>
      <c r="J91" s="598" t="str">
        <f>VLOOKUP(B91,'LOD 300 - CONTROL'!B:S,18,FALSE)</f>
        <v>N/A</v>
      </c>
      <c r="K91" s="599" t="str">
        <f>VLOOKUP(B91,'LOD 300 - CONTROL'!B:GL,156,FALSE)</f>
        <v>N/A</v>
      </c>
    </row>
    <row r="92">
      <c r="A92" s="60">
        <v>97.0</v>
      </c>
      <c r="B92" s="601" t="s">
        <v>291</v>
      </c>
      <c r="C92" s="593" t="str">
        <f>VLOOKUP(B92,'LOD 300 - CONTROL'!B:M,12,FALSE)</f>
        <v>V4</v>
      </c>
      <c r="D92" s="594">
        <f>VLOOKUP(B92,'LOD 300 - CONTROL'!B:BY,61,FALSE)</f>
        <v>1</v>
      </c>
      <c r="E92" s="595">
        <f>VLOOKUP(B92,'LOD 300 - CONTROL'!B:RS,101,FALSE)</f>
        <v>1</v>
      </c>
      <c r="F92" s="595">
        <f>VLOOKUP(B92,'LOD 300 - CONTROL'!B:FS,137,FALSE)</f>
        <v>1</v>
      </c>
      <c r="G92" s="596" t="str">
        <f>VLOOKUP(B92,'LOD 300 - CONTROL'!B:GV,194,FALSE)</f>
        <v>N/A</v>
      </c>
      <c r="H92" s="597" t="str">
        <f>VLOOKUP(B92,'LOD 300 - CONTROL'!B:P,15,FALSE)</f>
        <v>V10</v>
      </c>
      <c r="I92" s="595">
        <f>VLOOKUP(B92,'LOD 300 - CONTROL'!B:GJ,154,FALSE)</f>
        <v>1</v>
      </c>
      <c r="J92" s="598" t="str">
        <f>VLOOKUP(B92,'LOD 300 - CONTROL'!B:S,18,FALSE)</f>
        <v>N/A</v>
      </c>
      <c r="K92" s="599">
        <f>VLOOKUP(B92,'LOD 300 - CONTROL'!B:GL,156,FALSE)</f>
        <v>0</v>
      </c>
    </row>
    <row r="93">
      <c r="A93" s="60">
        <v>98.0</v>
      </c>
      <c r="B93" s="601" t="s">
        <v>294</v>
      </c>
      <c r="C93" s="593" t="str">
        <f>VLOOKUP(B93,'LOD 300 - CONTROL'!B:M,12,FALSE)</f>
        <v>V4</v>
      </c>
      <c r="D93" s="594" t="str">
        <f>VLOOKUP(B93,'LOD 300 - CONTROL'!B:BY,61,FALSE)</f>
        <v>N/A</v>
      </c>
      <c r="E93" s="595" t="str">
        <f>VLOOKUP(B93,'LOD 300 - CONTROL'!B:RS,101,FALSE)</f>
        <v>N/A</v>
      </c>
      <c r="F93" s="595" t="str">
        <f>VLOOKUP(B93,'LOD 300 - CONTROL'!B:FS,137,FALSE)</f>
        <v>N/A</v>
      </c>
      <c r="G93" s="596">
        <f>VLOOKUP(B93,'LOD 300 - CONTROL'!B:GV,194,FALSE)</f>
        <v>1</v>
      </c>
      <c r="H93" s="597" t="str">
        <f>VLOOKUP(B93,'LOD 300 - CONTROL'!B:P,15,FALSE)</f>
        <v>N/A</v>
      </c>
      <c r="I93" s="595" t="str">
        <f>VLOOKUP(B93,'LOD 300 - CONTROL'!B:GJ,154,FALSE)</f>
        <v>N/A</v>
      </c>
      <c r="J93" s="598" t="str">
        <f>VLOOKUP(B93,'LOD 300 - CONTROL'!B:S,18,FALSE)</f>
        <v>N/A</v>
      </c>
      <c r="K93" s="599" t="str">
        <f>VLOOKUP(B93,'LOD 300 - CONTROL'!B:GL,156,FALSE)</f>
        <v>N/A</v>
      </c>
    </row>
    <row r="94">
      <c r="A94" s="60">
        <v>99.0</v>
      </c>
      <c r="B94" s="601" t="s">
        <v>296</v>
      </c>
      <c r="C94" s="593" t="str">
        <f>VLOOKUP(B94,'LOD 300 - CONTROL'!B:M,12,FALSE)</f>
        <v>V3</v>
      </c>
      <c r="D94" s="594">
        <f>VLOOKUP(B94,'LOD 300 - CONTROL'!B:BY,61,FALSE)</f>
        <v>0.94</v>
      </c>
      <c r="E94" s="595">
        <f>VLOOKUP(B94,'LOD 300 - CONTROL'!B:RS,101,FALSE)</f>
        <v>0.89</v>
      </c>
      <c r="F94" s="595">
        <f>VLOOKUP(B94,'LOD 300 - CONTROL'!B:FS,137,FALSE)</f>
        <v>0.96</v>
      </c>
      <c r="G94" s="596" t="str">
        <f>VLOOKUP(B94,'LOD 300 - CONTROL'!B:GV,194,FALSE)</f>
        <v>N/A</v>
      </c>
      <c r="H94" s="597" t="str">
        <f>VLOOKUP(B94,'LOD 300 - CONTROL'!B:P,15,FALSE)</f>
        <v>V3</v>
      </c>
      <c r="I94" s="595">
        <f>VLOOKUP(B94,'LOD 300 - CONTROL'!B:GJ,154,FALSE)</f>
        <v>0.93</v>
      </c>
      <c r="J94" s="598" t="str">
        <f>VLOOKUP(B94,'LOD 300 - CONTROL'!B:S,18,FALSE)</f>
        <v>N/A</v>
      </c>
      <c r="K94" s="599" t="str">
        <f>VLOOKUP(B94,'LOD 300 - CONTROL'!B:GL,156,FALSE)</f>
        <v>NOT PUBLISHED</v>
      </c>
    </row>
    <row r="95">
      <c r="A95" s="60">
        <v>100.0</v>
      </c>
      <c r="B95" s="601" t="s">
        <v>299</v>
      </c>
      <c r="C95" s="593" t="str">
        <f>VLOOKUP(B95,'LOD 300 - CONTROL'!B:M,12,FALSE)</f>
        <v>V2</v>
      </c>
      <c r="D95" s="594" t="str">
        <f>VLOOKUP(B95,'LOD 300 - CONTROL'!B:BY,61,FALSE)</f>
        <v>N/A</v>
      </c>
      <c r="E95" s="595" t="str">
        <f>VLOOKUP(B95,'LOD 300 - CONTROL'!B:RS,101,FALSE)</f>
        <v>N/A</v>
      </c>
      <c r="F95" s="595" t="str">
        <f>VLOOKUP(B95,'LOD 300 - CONTROL'!B:FS,137,FALSE)</f>
        <v>N/A</v>
      </c>
      <c r="G95" s="596">
        <f>VLOOKUP(B95,'LOD 300 - CONTROL'!B:GV,194,FALSE)</f>
        <v>0.8</v>
      </c>
      <c r="H95" s="597" t="str">
        <f>VLOOKUP(B95,'LOD 300 - CONTROL'!B:P,15,FALSE)</f>
        <v>N/A</v>
      </c>
      <c r="I95" s="595" t="str">
        <f>VLOOKUP(B95,'LOD 300 - CONTROL'!B:GJ,154,FALSE)</f>
        <v>N/A</v>
      </c>
      <c r="J95" s="598" t="str">
        <f>VLOOKUP(B95,'LOD 300 - CONTROL'!B:S,18,FALSE)</f>
        <v>N/A</v>
      </c>
      <c r="K95" s="599" t="str">
        <f>VLOOKUP(B95,'LOD 300 - CONTROL'!B:GL,156,FALSE)</f>
        <v>N/A</v>
      </c>
    </row>
    <row r="96">
      <c r="A96" s="60">
        <v>101.0</v>
      </c>
      <c r="B96" s="601" t="s">
        <v>301</v>
      </c>
      <c r="C96" s="593" t="str">
        <f>VLOOKUP(B96,'LOD 300 - CONTROL'!B:M,12,FALSE)</f>
        <v>NOT PUBLISHED</v>
      </c>
      <c r="D96" s="594" t="str">
        <f>VLOOKUP(B96,'LOD 300 - CONTROL'!B:BY,61,FALSE)</f>
        <v>N/A</v>
      </c>
      <c r="E96" s="595" t="str">
        <f>VLOOKUP(B96,'LOD 300 - CONTROL'!B:RS,101,FALSE)</f>
        <v>N/A</v>
      </c>
      <c r="F96" s="595" t="str">
        <f>VLOOKUP(B96,'LOD 300 - CONTROL'!B:FS,137,FALSE)</f>
        <v>N/A</v>
      </c>
      <c r="G96" s="596" t="str">
        <f>VLOOKUP(B96,'LOD 300 - CONTROL'!B:GV,194,FALSE)</f>
        <v>NOT PUBLISHED</v>
      </c>
      <c r="H96" s="597" t="str">
        <f>VLOOKUP(B96,'LOD 300 - CONTROL'!B:P,15,FALSE)</f>
        <v>N/A</v>
      </c>
      <c r="I96" s="595" t="str">
        <f>VLOOKUP(B96,'LOD 300 - CONTROL'!B:GJ,154,FALSE)</f>
        <v>N/A</v>
      </c>
      <c r="J96" s="598" t="str">
        <f>VLOOKUP(B96,'LOD 300 - CONTROL'!B:S,18,FALSE)</f>
        <v>N/A</v>
      </c>
      <c r="K96" s="599" t="str">
        <f>VLOOKUP(B96,'LOD 300 - CONTROL'!B:GL,156,FALSE)</f>
        <v>N/A</v>
      </c>
    </row>
    <row r="97">
      <c r="A97" s="60">
        <v>102.0</v>
      </c>
      <c r="B97" s="601" t="s">
        <v>304</v>
      </c>
      <c r="C97" s="593" t="str">
        <f>VLOOKUP(B97,'LOD 300 - CONTROL'!B:M,12,FALSE)</f>
        <v>NOT PUBLISHED</v>
      </c>
      <c r="D97" s="594" t="str">
        <f>VLOOKUP(B97,'LOD 300 - CONTROL'!B:BY,61,FALSE)</f>
        <v>NOT PUBLISHED</v>
      </c>
      <c r="E97" s="595" t="str">
        <f>VLOOKUP(B97,'LOD 300 - CONTROL'!B:RS,101,FALSE)</f>
        <v>NOT PUBLISHED</v>
      </c>
      <c r="F97" s="595" t="str">
        <f>VLOOKUP(B97,'LOD 300 - CONTROL'!B:FS,137,FALSE)</f>
        <v>NOT PUBLISHED</v>
      </c>
      <c r="G97" s="596" t="str">
        <f>VLOOKUP(B97,'LOD 300 - CONTROL'!B:GV,194,FALSE)</f>
        <v>N/A</v>
      </c>
      <c r="H97" s="597" t="str">
        <f>VLOOKUP(B97,'LOD 300 - CONTROL'!B:P,15,FALSE)</f>
        <v>NOT PUBLISHED</v>
      </c>
      <c r="I97" s="595" t="str">
        <f>VLOOKUP(B97,'LOD 300 - CONTROL'!B:GJ,154,FALSE)</f>
        <v>NOT PUBLISHED</v>
      </c>
      <c r="J97" s="598" t="str">
        <f>VLOOKUP(B97,'LOD 300 - CONTROL'!B:S,18,FALSE)</f>
        <v>N/A</v>
      </c>
      <c r="K97" s="599" t="str">
        <f>VLOOKUP(B97,'LOD 300 - CONTROL'!B:GL,156,FALSE)</f>
        <v>NOT PUBLISHED</v>
      </c>
    </row>
    <row r="98">
      <c r="A98" s="60">
        <v>103.0</v>
      </c>
      <c r="B98" s="601" t="s">
        <v>306</v>
      </c>
      <c r="C98" s="593" t="str">
        <f>VLOOKUP(B98,'LOD 300 - CONTROL'!B:M,12,FALSE)</f>
        <v>NOT PUBLISHED</v>
      </c>
      <c r="D98" s="594" t="str">
        <f>VLOOKUP(B98,'LOD 300 - CONTROL'!B:BY,61,FALSE)</f>
        <v>N/A</v>
      </c>
      <c r="E98" s="595" t="str">
        <f>VLOOKUP(B98,'LOD 300 - CONTROL'!B:RS,101,FALSE)</f>
        <v>N/A</v>
      </c>
      <c r="F98" s="595" t="str">
        <f>VLOOKUP(B98,'LOD 300 - CONTROL'!B:FS,137,FALSE)</f>
        <v>N/A</v>
      </c>
      <c r="G98" s="596" t="str">
        <f>VLOOKUP(B98,'LOD 300 - CONTROL'!B:GV,194,FALSE)</f>
        <v>NOT PUBLISHED</v>
      </c>
      <c r="H98" s="597" t="str">
        <f>VLOOKUP(B98,'LOD 300 - CONTROL'!B:P,15,FALSE)</f>
        <v>N/A</v>
      </c>
      <c r="I98" s="595" t="str">
        <f>VLOOKUP(B98,'LOD 300 - CONTROL'!B:GJ,154,FALSE)</f>
        <v>N/A</v>
      </c>
      <c r="J98" s="598" t="str">
        <f>VLOOKUP(B98,'LOD 300 - CONTROL'!B:S,18,FALSE)</f>
        <v>N/A</v>
      </c>
      <c r="K98" s="599" t="str">
        <f>VLOOKUP(B98,'LOD 300 - CONTROL'!B:GL,156,FALSE)</f>
        <v>N/A</v>
      </c>
    </row>
    <row r="99">
      <c r="A99" s="60">
        <v>104.0</v>
      </c>
      <c r="B99" s="601" t="s">
        <v>309</v>
      </c>
      <c r="C99" s="593" t="str">
        <f>VLOOKUP(B99,'LOD 300 - CONTROL'!B:M,12,FALSE)</f>
        <v>NOT PUBLISHED</v>
      </c>
      <c r="D99" s="594" t="str">
        <f>VLOOKUP(B99,'LOD 300 - CONTROL'!B:BY,61,FALSE)</f>
        <v>NOT PUBLISHED</v>
      </c>
      <c r="E99" s="595" t="str">
        <f>VLOOKUP(B99,'LOD 300 - CONTROL'!B:RS,101,FALSE)</f>
        <v>NOT PUBLISHED</v>
      </c>
      <c r="F99" s="595" t="str">
        <f>VLOOKUP(B99,'LOD 300 - CONTROL'!B:FS,137,FALSE)</f>
        <v>NOT PUBLISHED</v>
      </c>
      <c r="G99" s="596" t="str">
        <f>VLOOKUP(B99,'LOD 300 - CONTROL'!B:GV,194,FALSE)</f>
        <v>N/A</v>
      </c>
      <c r="H99" s="597" t="str">
        <f>VLOOKUP(B99,'LOD 300 - CONTROL'!B:P,15,FALSE)</f>
        <v>NOT PUBLISHED</v>
      </c>
      <c r="I99" s="595" t="str">
        <f>VLOOKUP(B99,'LOD 300 - CONTROL'!B:GJ,154,FALSE)</f>
        <v>NOT PUBLISHED</v>
      </c>
      <c r="J99" s="598" t="str">
        <f>VLOOKUP(B99,'LOD 300 - CONTROL'!B:S,18,FALSE)</f>
        <v>N/A</v>
      </c>
      <c r="K99" s="599" t="str">
        <f>VLOOKUP(B99,'LOD 300 - CONTROL'!B:GL,156,FALSE)</f>
        <v>NOT PUBLISHED</v>
      </c>
    </row>
    <row r="100">
      <c r="A100" s="60">
        <v>105.0</v>
      </c>
      <c r="B100" s="601" t="s">
        <v>311</v>
      </c>
      <c r="C100" s="593" t="str">
        <f>VLOOKUP(B100,'LOD 300 - CONTROL'!B:M,12,FALSE)</f>
        <v>NOT PUBLISHED</v>
      </c>
      <c r="D100" s="594" t="str">
        <f>VLOOKUP(B100,'LOD 300 - CONTROL'!B:BY,61,FALSE)</f>
        <v>N/A</v>
      </c>
      <c r="E100" s="595" t="str">
        <f>VLOOKUP(B100,'LOD 300 - CONTROL'!B:RS,101,FALSE)</f>
        <v>N/A</v>
      </c>
      <c r="F100" s="595" t="str">
        <f>VLOOKUP(B100,'LOD 300 - CONTROL'!B:FS,137,FALSE)</f>
        <v>N/A</v>
      </c>
      <c r="G100" s="596" t="str">
        <f>VLOOKUP(B100,'LOD 300 - CONTROL'!B:GV,194,FALSE)</f>
        <v>NOT PUBLISHED</v>
      </c>
      <c r="H100" s="597" t="str">
        <f>VLOOKUP(B100,'LOD 300 - CONTROL'!B:P,15,FALSE)</f>
        <v>N/A</v>
      </c>
      <c r="I100" s="595" t="str">
        <f>VLOOKUP(B100,'LOD 300 - CONTROL'!B:GJ,154,FALSE)</f>
        <v>N/A</v>
      </c>
      <c r="J100" s="598" t="str">
        <f>VLOOKUP(B100,'LOD 300 - CONTROL'!B:S,18,FALSE)</f>
        <v>N/A</v>
      </c>
      <c r="K100" s="599" t="str">
        <f>VLOOKUP(B100,'LOD 300 - CONTROL'!B:GL,156,FALSE)</f>
        <v>N/A</v>
      </c>
    </row>
    <row r="101">
      <c r="A101" s="60">
        <v>106.0</v>
      </c>
      <c r="B101" s="601" t="s">
        <v>313</v>
      </c>
      <c r="C101" s="593" t="str">
        <f>VLOOKUP(B101,'LOD 300 - CONTROL'!B:M,12,FALSE)</f>
        <v>NOT PUBLISHED</v>
      </c>
      <c r="D101" s="594" t="str">
        <f>VLOOKUP(B101,'LOD 300 - CONTROL'!B:BY,61,FALSE)</f>
        <v>N/A</v>
      </c>
      <c r="E101" s="595" t="str">
        <f>VLOOKUP(B101,'LOD 300 - CONTROL'!B:RS,101,FALSE)</f>
        <v>N/A</v>
      </c>
      <c r="F101" s="595" t="str">
        <f>VLOOKUP(B101,'LOD 300 - CONTROL'!B:FS,137,FALSE)</f>
        <v>N/A</v>
      </c>
      <c r="G101" s="596" t="str">
        <f>VLOOKUP(B101,'LOD 300 - CONTROL'!B:GV,194,FALSE)</f>
        <v>NOT PUBLISHED</v>
      </c>
      <c r="H101" s="597" t="str">
        <f>VLOOKUP(B101,'LOD 300 - CONTROL'!B:P,15,FALSE)</f>
        <v>N/A</v>
      </c>
      <c r="I101" s="595" t="str">
        <f>VLOOKUP(B101,'LOD 300 - CONTROL'!B:GJ,154,FALSE)</f>
        <v>N/A</v>
      </c>
      <c r="J101" s="598" t="str">
        <f>VLOOKUP(B101,'LOD 300 - CONTROL'!B:S,18,FALSE)</f>
        <v>N/A</v>
      </c>
      <c r="K101" s="599" t="str">
        <f>VLOOKUP(B101,'LOD 300 - CONTROL'!B:GL,156,FALSE)</f>
        <v>N/A</v>
      </c>
    </row>
    <row r="102">
      <c r="A102" s="60">
        <v>107.0</v>
      </c>
      <c r="B102" s="601" t="s">
        <v>316</v>
      </c>
      <c r="C102" s="593" t="str">
        <f>VLOOKUP(B102,'LOD 300 - CONTROL'!B:M,12,FALSE)</f>
        <v>V5</v>
      </c>
      <c r="D102" s="594">
        <f>VLOOKUP(B102,'LOD 300 - CONTROL'!B:BY,61,FALSE)</f>
        <v>1</v>
      </c>
      <c r="E102" s="595" t="str">
        <f>VLOOKUP(B102,'LOD 300 - CONTROL'!B:RS,101,FALSE)</f>
        <v>N/A</v>
      </c>
      <c r="F102" s="595" t="str">
        <f>VLOOKUP(B102,'LOD 300 - CONTROL'!B:FS,137,FALSE)</f>
        <v>N/A</v>
      </c>
      <c r="G102" s="596" t="str">
        <f>VLOOKUP(B102,'LOD 300 - CONTROL'!B:GV,194,FALSE)</f>
        <v>N/A</v>
      </c>
      <c r="H102" s="597" t="str">
        <f>VLOOKUP(B102,'LOD 300 - CONTROL'!B:P,15,FALSE)</f>
        <v>N/A</v>
      </c>
      <c r="I102" s="595" t="str">
        <f>VLOOKUP(B102,'LOD 300 - CONTROL'!B:GJ,154,FALSE)</f>
        <v>N/A</v>
      </c>
      <c r="J102" s="598" t="str">
        <f>VLOOKUP(B102,'LOD 300 - CONTROL'!B:S,18,FALSE)</f>
        <v>N/A</v>
      </c>
      <c r="K102" s="599">
        <f>VLOOKUP(B102,'LOD 300 - CONTROL'!B:GL,156,FALSE)</f>
        <v>0</v>
      </c>
    </row>
    <row r="103">
      <c r="A103" s="60">
        <v>108.0</v>
      </c>
      <c r="B103" s="601" t="s">
        <v>318</v>
      </c>
      <c r="C103" s="593" t="str">
        <f>VLOOKUP(B103,'LOD 300 - CONTROL'!B:M,12,FALSE)</f>
        <v>N/A</v>
      </c>
      <c r="D103" s="594" t="str">
        <f>VLOOKUP(B103,'LOD 300 - CONTROL'!B:BY,61,FALSE)</f>
        <v>N/A</v>
      </c>
      <c r="E103" s="595">
        <f>VLOOKUP(B103,'LOD 300 - CONTROL'!B:RS,101,FALSE)</f>
        <v>1</v>
      </c>
      <c r="F103" s="595" t="str">
        <f>VLOOKUP(B103,'LOD 300 - CONTROL'!B:FS,137,FALSE)</f>
        <v>N/A</v>
      </c>
      <c r="G103" s="596" t="str">
        <f>VLOOKUP(B103,'LOD 300 - CONTROL'!B:GV,194,FALSE)</f>
        <v>N/A</v>
      </c>
      <c r="H103" s="597" t="str">
        <f>VLOOKUP(B103,'LOD 300 - CONTROL'!B:P,15,FALSE)</f>
        <v>N/A</v>
      </c>
      <c r="I103" s="595" t="str">
        <f>VLOOKUP(B103,'LOD 300 - CONTROL'!B:GJ,154,FALSE)</f>
        <v>N/A</v>
      </c>
      <c r="J103" s="598" t="str">
        <f>VLOOKUP(B103,'LOD 300 - CONTROL'!B:S,18,FALSE)</f>
        <v>N/A</v>
      </c>
      <c r="K103" s="599">
        <f>VLOOKUP(B103,'LOD 300 - CONTROL'!B:GL,156,FALSE)</f>
        <v>0</v>
      </c>
    </row>
    <row r="104">
      <c r="A104" s="60">
        <v>109.0</v>
      </c>
      <c r="B104" s="601" t="s">
        <v>320</v>
      </c>
      <c r="C104" s="593" t="str">
        <f>VLOOKUP(B104,'LOD 300 - CONTROL'!B:M,12,FALSE)</f>
        <v>N/A</v>
      </c>
      <c r="D104" s="594" t="str">
        <f>VLOOKUP(B104,'LOD 300 - CONTROL'!B:BY,61,FALSE)</f>
        <v>N/A</v>
      </c>
      <c r="E104" s="595" t="str">
        <f>VLOOKUP(B104,'LOD 300 - CONTROL'!B:RS,101,FALSE)</f>
        <v>N/A</v>
      </c>
      <c r="F104" s="595">
        <f>VLOOKUP(B104,'LOD 300 - CONTROL'!B:FS,137,FALSE)</f>
        <v>1</v>
      </c>
      <c r="G104" s="596" t="str">
        <f>VLOOKUP(B104,'LOD 300 - CONTROL'!B:GV,194,FALSE)</f>
        <v>N/A</v>
      </c>
      <c r="H104" s="597" t="str">
        <f>VLOOKUP(B104,'LOD 300 - CONTROL'!B:P,15,FALSE)</f>
        <v>N/A</v>
      </c>
      <c r="I104" s="595" t="str">
        <f>VLOOKUP(B104,'LOD 300 - CONTROL'!B:GJ,154,FALSE)</f>
        <v>N/A</v>
      </c>
      <c r="J104" s="598" t="str">
        <f>VLOOKUP(B104,'LOD 300 - CONTROL'!B:S,18,FALSE)</f>
        <v>N/A</v>
      </c>
      <c r="K104" s="599">
        <f>VLOOKUP(B104,'LOD 300 - CONTROL'!B:GL,156,FALSE)</f>
        <v>0</v>
      </c>
    </row>
    <row r="105">
      <c r="A105" s="60">
        <v>110.0</v>
      </c>
      <c r="B105" s="601" t="s">
        <v>322</v>
      </c>
      <c r="C105" s="593" t="str">
        <f>VLOOKUP(B105,'LOD 300 - CONTROL'!B:M,12,FALSE)</f>
        <v>N/A</v>
      </c>
      <c r="D105" s="594" t="str">
        <f>VLOOKUP(B105,'LOD 300 - CONTROL'!B:BY,61,FALSE)</f>
        <v>N/A</v>
      </c>
      <c r="E105" s="595" t="str">
        <f>VLOOKUP(B105,'LOD 300 - CONTROL'!B:RS,101,FALSE)</f>
        <v>N/A</v>
      </c>
      <c r="F105" s="595" t="str">
        <f>VLOOKUP(B105,'LOD 300 - CONTROL'!B:FS,137,FALSE)</f>
        <v>N/A</v>
      </c>
      <c r="G105" s="596" t="str">
        <f>VLOOKUP(B105,'LOD 300 - CONTROL'!B:GV,194,FALSE)</f>
        <v>N/A</v>
      </c>
      <c r="H105" s="597" t="str">
        <f>VLOOKUP(B105,'LOD 300 - CONTROL'!B:P,15,FALSE)</f>
        <v>N/A</v>
      </c>
      <c r="I105" s="595">
        <f>VLOOKUP(B105,'LOD 300 - CONTROL'!B:GJ,154,FALSE)</f>
        <v>1</v>
      </c>
      <c r="J105" s="598" t="str">
        <f>VLOOKUP(B105,'LOD 300 - CONTROL'!B:S,18,FALSE)</f>
        <v>N/A</v>
      </c>
      <c r="K105" s="599">
        <f>VLOOKUP(B105,'LOD 300 - CONTROL'!B:GL,156,FALSE)</f>
        <v>0</v>
      </c>
    </row>
    <row r="106">
      <c r="A106" s="60">
        <v>111.0</v>
      </c>
      <c r="B106" s="601" t="s">
        <v>324</v>
      </c>
      <c r="C106" s="593" t="str">
        <f>VLOOKUP(B106,'LOD 300 - CONTROL'!B:M,12,FALSE)</f>
        <v>N/A</v>
      </c>
      <c r="D106" s="594" t="str">
        <f>VLOOKUP(B106,'LOD 300 - CONTROL'!B:BY,61,FALSE)</f>
        <v>N/A</v>
      </c>
      <c r="E106" s="595" t="str">
        <f>VLOOKUP(B106,'LOD 300 - CONTROL'!B:RS,101,FALSE)</f>
        <v>N/A</v>
      </c>
      <c r="F106" s="595" t="str">
        <f>VLOOKUP(B106,'LOD 300 - CONTROL'!B:FS,137,FALSE)</f>
        <v>N/A</v>
      </c>
      <c r="G106" s="596" t="str">
        <f>VLOOKUP(B106,'LOD 300 - CONTROL'!B:GV,194,FALSE)</f>
        <v>N/A</v>
      </c>
      <c r="H106" s="597" t="str">
        <f>VLOOKUP(B106,'LOD 300 - CONTROL'!B:P,15,FALSE)</f>
        <v>N/A</v>
      </c>
      <c r="I106" s="595" t="str">
        <f>VLOOKUP(B106,'LOD 300 - CONTROL'!B:GJ,154,FALSE)</f>
        <v>N/A</v>
      </c>
      <c r="J106" s="598" t="str">
        <f>VLOOKUP(B106,'LOD 300 - CONTROL'!B:S,18,FALSE)</f>
        <v>N/A</v>
      </c>
      <c r="K106" s="599">
        <f>VLOOKUP(B106,'LOD 300 - CONTROL'!B:GL,156,FALSE)</f>
        <v>0</v>
      </c>
    </row>
    <row r="107">
      <c r="A107" s="60">
        <v>112.0</v>
      </c>
      <c r="B107" s="601" t="s">
        <v>325</v>
      </c>
      <c r="C107" s="593" t="str">
        <f>VLOOKUP(B107,'LOD 300 - CONTROL'!B:M,12,FALSE)</f>
        <v>N/A</v>
      </c>
      <c r="D107" s="594" t="str">
        <f>VLOOKUP(B107,'LOD 300 - CONTROL'!B:BY,61,FALSE)</f>
        <v>N/A</v>
      </c>
      <c r="E107" s="595" t="str">
        <f>VLOOKUP(B107,'LOD 300 - CONTROL'!B:RS,101,FALSE)</f>
        <v>N/A</v>
      </c>
      <c r="F107" s="595" t="str">
        <f>VLOOKUP(B107,'LOD 300 - CONTROL'!B:FS,137,FALSE)</f>
        <v>N/A</v>
      </c>
      <c r="G107" s="596" t="str">
        <f>VLOOKUP(B107,'LOD 300 - CONTROL'!B:GV,194,FALSE)</f>
        <v>N/A</v>
      </c>
      <c r="H107" s="597" t="str">
        <f>VLOOKUP(B107,'LOD 300 - CONTROL'!B:P,15,FALSE)</f>
        <v>N/A</v>
      </c>
      <c r="I107" s="595" t="str">
        <f>VLOOKUP(B107,'LOD 300 - CONTROL'!B:GJ,154,FALSE)</f>
        <v>N/A</v>
      </c>
      <c r="J107" s="598" t="str">
        <f>VLOOKUP(B107,'LOD 300 - CONTROL'!B:S,18,FALSE)</f>
        <v>N/A</v>
      </c>
      <c r="K107" s="599">
        <f>VLOOKUP(B107,'LOD 300 - CONTROL'!B:GL,156,FALSE)</f>
        <v>0</v>
      </c>
    </row>
    <row r="108">
      <c r="A108" s="60">
        <v>113.0</v>
      </c>
      <c r="B108" s="601" t="s">
        <v>327</v>
      </c>
      <c r="C108" s="593" t="str">
        <f>VLOOKUP(B108,'LOD 300 - CONTROL'!B:M,12,FALSE)</f>
        <v>V4</v>
      </c>
      <c r="D108" s="594" t="str">
        <f>VLOOKUP(B108,'LOD 300 - CONTROL'!B:BY,61,FALSE)</f>
        <v>N/A</v>
      </c>
      <c r="E108" s="595" t="str">
        <f>VLOOKUP(B108,'LOD 300 - CONTROL'!B:RS,101,FALSE)</f>
        <v>N/A</v>
      </c>
      <c r="F108" s="595" t="str">
        <f>VLOOKUP(B108,'LOD 300 - CONTROL'!B:FS,137,FALSE)</f>
        <v>N/A</v>
      </c>
      <c r="G108" s="596">
        <f>VLOOKUP(B108,'LOD 300 - CONTROL'!B:GV,194,FALSE)</f>
        <v>1</v>
      </c>
      <c r="H108" s="597" t="str">
        <f>VLOOKUP(B108,'LOD 300 - CONTROL'!B:P,15,FALSE)</f>
        <v>N/A</v>
      </c>
      <c r="I108" s="595" t="str">
        <f>VLOOKUP(B108,'LOD 300 - CONTROL'!B:GJ,154,FALSE)</f>
        <v>N/A</v>
      </c>
      <c r="J108" s="598" t="str">
        <f>VLOOKUP(B108,'LOD 300 - CONTROL'!B:S,18,FALSE)</f>
        <v>N/A</v>
      </c>
      <c r="K108" s="599" t="str">
        <f>VLOOKUP(B108,'LOD 300 - CONTROL'!B:GL,156,FALSE)</f>
        <v>N/A</v>
      </c>
    </row>
    <row r="109">
      <c r="A109" s="60">
        <v>114.0</v>
      </c>
      <c r="B109" s="601" t="s">
        <v>328</v>
      </c>
      <c r="C109" s="593" t="str">
        <f>VLOOKUP(B109,'LOD 300 - CONTROL'!B:M,12,FALSE)</f>
        <v>V5</v>
      </c>
      <c r="D109" s="594" t="str">
        <f>VLOOKUP(B109,'LOD 300 - CONTROL'!B:BY,61,FALSE)</f>
        <v>N/A</v>
      </c>
      <c r="E109" s="595" t="str">
        <f>VLOOKUP(B109,'LOD 300 - CONTROL'!B:RS,101,FALSE)</f>
        <v>N/A</v>
      </c>
      <c r="F109" s="595" t="str">
        <f>VLOOKUP(B109,'LOD 300 - CONTROL'!B:FS,137,FALSE)</f>
        <v>N/A</v>
      </c>
      <c r="G109" s="596">
        <f>VLOOKUP(B109,'LOD 300 - CONTROL'!B:GV,194,FALSE)</f>
        <v>1</v>
      </c>
      <c r="H109" s="597" t="str">
        <f>VLOOKUP(B109,'LOD 300 - CONTROL'!B:P,15,FALSE)</f>
        <v>N/A</v>
      </c>
      <c r="I109" s="595" t="str">
        <f>VLOOKUP(B109,'LOD 300 - CONTROL'!B:GJ,154,FALSE)</f>
        <v>N/A</v>
      </c>
      <c r="J109" s="598" t="str">
        <f>VLOOKUP(B109,'LOD 300 - CONTROL'!B:S,18,FALSE)</f>
        <v>N/A</v>
      </c>
      <c r="K109" s="599" t="str">
        <f>VLOOKUP(B109,'LOD 300 - CONTROL'!B:GL,156,FALSE)</f>
        <v>N/A</v>
      </c>
    </row>
    <row r="110">
      <c r="A110" s="60">
        <v>115.0</v>
      </c>
      <c r="B110" s="668" t="s">
        <v>329</v>
      </c>
      <c r="C110" s="669" t="str">
        <f>VLOOKUP(B110,'LOD 300 - CONTROL'!B:M,12,FALSE)</f>
        <v>V2</v>
      </c>
      <c r="D110" s="670" t="str">
        <f>VLOOKUP(B110,'LOD 300 - CONTROL'!B:BY,61,FALSE)</f>
        <v>N/A</v>
      </c>
      <c r="E110" s="671" t="str">
        <f>VLOOKUP(B110,'LOD 300 - CONTROL'!B:RS,101,FALSE)</f>
        <v>N/A</v>
      </c>
      <c r="F110" s="671" t="str">
        <f>VLOOKUP(B110,'LOD 300 - CONTROL'!B:FS,137,FALSE)</f>
        <v>N/A</v>
      </c>
      <c r="G110" s="672">
        <f>VLOOKUP(B110,'LOD 300 - CONTROL'!B:GV,194,FALSE)</f>
        <v>1</v>
      </c>
      <c r="H110" s="673" t="str">
        <f>VLOOKUP(B110,'LOD 300 - CONTROL'!B:P,15,FALSE)</f>
        <v>N/A</v>
      </c>
      <c r="I110" s="671" t="str">
        <f>VLOOKUP(B110,'LOD 300 - CONTROL'!B:GJ,154,FALSE)</f>
        <v>N/A</v>
      </c>
      <c r="J110" s="674" t="str">
        <f>VLOOKUP(B110,'LOD 300 - CONTROL'!B:S,18,FALSE)</f>
        <v>N/A</v>
      </c>
      <c r="K110" s="675" t="str">
        <f>VLOOKUP(B110,'LOD 300 - CONTROL'!B:GL,156,FALSE)</f>
        <v>N/A</v>
      </c>
    </row>
    <row r="111">
      <c r="F111" s="676"/>
    </row>
  </sheetData>
  <autoFilter ref="$A$1:$X$110">
    <filterColumn colId="2">
      <filters>
        <filter val="N/A"/>
        <filter val="V21"/>
        <filter val="V20"/>
        <filter val="V23"/>
        <filter val="V22"/>
        <filter val="V49"/>
        <filter val="V1"/>
        <filter val="V26"/>
        <filter val="V29"/>
        <filter val="V2"/>
        <filter val="V3"/>
        <filter val="V28"/>
        <filter val="V4"/>
        <filter val="V5"/>
        <filter val="V6"/>
        <filter val="V7"/>
        <filter val="V8"/>
        <filter val="V9"/>
        <filter val="V10"/>
        <filter val="V32"/>
        <filter val="NOT PUBLISHED"/>
        <filter val="V31"/>
        <filter val="V11"/>
        <filter val="V14"/>
        <filter val="V13"/>
        <filter val="V37"/>
        <filter val="V19"/>
      </filters>
    </filterColumn>
    <sortState ref="A1:X110">
      <sortCondition ref="A1:A110"/>
    </sortState>
  </autoFilter>
  <conditionalFormatting sqref="D3:E110 F3:F111 G3:G110 I3:I110 K3:K110">
    <cfRule type="cellIs" dxfId="8" priority="1" operator="greaterThanOrEqual">
      <formula>70%</formula>
    </cfRule>
  </conditionalFormatting>
  <conditionalFormatting sqref="D3:E110 F3:F111 G3:G110 I3:I110 K3:K110">
    <cfRule type="cellIs" dxfId="1" priority="2" operator="between">
      <formula>"49%"</formula>
      <formula>"69%"</formula>
    </cfRule>
  </conditionalFormatting>
  <conditionalFormatting sqref="D3:E110 F3:F111 G3:G110 I3:I110 K3:K110">
    <cfRule type="cellIs" dxfId="2" priority="3" operator="between">
      <formula>"0%"</formula>
      <formula>"48%"</formula>
    </cfRule>
  </conditionalFormatting>
  <conditionalFormatting sqref="D3:E110 F3:F111 G3:G110 I3:I110 K3:K110">
    <cfRule type="cellIs" dxfId="17" priority="4" operator="equal">
      <formula>"N/A"</formula>
    </cfRule>
  </conditionalFormatting>
  <conditionalFormatting sqref="D3:E110 F3:F111 G3:G110 I3:I110 K3:K110">
    <cfRule type="cellIs" dxfId="18" priority="5" operator="equal">
      <formula>"NOT PUBLISHED"</formula>
    </cfRule>
  </conditionalFormatting>
  <conditionalFormatting sqref="D3:E110 F3:F111 G3:G110 I3:I110 K3:K110">
    <cfRule type="cellIs" dxfId="11" priority="6" operator="equal">
      <formula>"OUTDATED MODEL"</formula>
    </cfRule>
  </conditionalFormatting>
  <conditionalFormatting sqref="I3:I110 K3:K110">
    <cfRule type="cellIs" dxfId="12" priority="7" operator="equal">
      <formula>"ANALYSING"</formula>
    </cfRule>
  </conditionalFormatting>
  <conditionalFormatting sqref="D3:E110 F3:F111 G3:G110 I3:I110 K3:K110">
    <cfRule type="cellIs" dxfId="13" priority="8" operator="equal">
      <formula>"NEXT ROUND"</formula>
    </cfRule>
  </conditionalFormatting>
  <conditionalFormatting sqref="D3:E110 F3:F111 G3:G110 I3:I110 K3:K110">
    <cfRule type="cellIs" dxfId="14" priority="9" operator="equal">
      <formula>"IMPROPER"</formula>
    </cfRule>
  </conditionalFormatting>
  <printOptions gridLines="1" horizontalCentered="1" verticalCentered="1"/>
  <pageMargins bottom="0.75" footer="0.0" header="0.0" left="0.25" right="0.25" top="0.75"/>
  <pageSetup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Row="1"/>
  <cols>
    <col customWidth="1" hidden="1" min="1" max="1" width="5.88"/>
    <col customWidth="1" min="2" max="3" width="33.88"/>
    <col customWidth="1" min="4" max="4" width="10.88"/>
    <col customWidth="1" min="5" max="5" width="19.75"/>
    <col customWidth="1" hidden="1" min="6" max="6" width="10.75"/>
    <col customWidth="1" min="7" max="7" width="18.63"/>
    <col customWidth="1" hidden="1" min="8" max="8" width="9.38"/>
    <col customWidth="1" min="9" max="11" width="20.38"/>
    <col customWidth="1" min="12" max="12" width="18.75"/>
    <col customWidth="1" min="13" max="13" width="15.25"/>
    <col customWidth="1" min="14" max="15" width="14.38"/>
    <col customWidth="1" hidden="1" min="16" max="16" width="22.63"/>
    <col customWidth="1" hidden="1" min="17" max="17" width="15.38"/>
    <col customWidth="1" hidden="1" min="18" max="18" width="17.13"/>
    <col customWidth="1" hidden="1" min="19" max="19" width="16.38"/>
    <col customWidth="1" hidden="1" min="20" max="20" width="15.38"/>
    <col customWidth="1" hidden="1" min="21" max="21" width="16.38"/>
    <col customWidth="1" hidden="1" min="22" max="22" width="16.25"/>
    <col customWidth="1" hidden="1" min="23" max="23" width="16.38"/>
    <col customWidth="1" hidden="1" min="24" max="24" width="21.38"/>
    <col customWidth="1" hidden="1" min="25" max="124" width="16.88"/>
    <col customWidth="1" min="125" max="133" width="16.88"/>
    <col customWidth="1" min="134" max="134" width="153.13"/>
    <col customWidth="1" min="135" max="135" width="16.25"/>
    <col customWidth="1" min="136" max="136" width="51.75"/>
  </cols>
  <sheetData>
    <row r="1" ht="111.0" customHeight="1">
      <c r="A1" s="1"/>
      <c r="B1" s="677"/>
      <c r="C1" s="678"/>
      <c r="D1" s="679"/>
      <c r="E1" s="680" t="s">
        <v>336</v>
      </c>
      <c r="F1" s="681"/>
      <c r="G1" s="681"/>
      <c r="H1" s="681"/>
      <c r="I1" s="681"/>
      <c r="J1" s="681"/>
      <c r="K1" s="681"/>
      <c r="L1" s="681"/>
      <c r="M1" s="681"/>
      <c r="N1" s="681"/>
      <c r="O1" s="681"/>
      <c r="P1" s="681"/>
      <c r="Q1" s="681"/>
      <c r="R1" s="681"/>
      <c r="S1" s="681"/>
      <c r="T1" s="681"/>
      <c r="U1" s="681"/>
      <c r="V1" s="681"/>
      <c r="W1" s="681"/>
      <c r="X1" s="681"/>
      <c r="Y1" s="681"/>
      <c r="Z1" s="681"/>
      <c r="AA1" s="681"/>
      <c r="AB1" s="681"/>
      <c r="AC1" s="681"/>
      <c r="AD1" s="681"/>
      <c r="AE1" s="681"/>
      <c r="AF1" s="681"/>
      <c r="AG1" s="681"/>
      <c r="AH1" s="681"/>
      <c r="AI1" s="681"/>
      <c r="AL1" s="8"/>
      <c r="AM1" s="682"/>
      <c r="AN1" s="681"/>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row>
    <row r="2">
      <c r="A2" s="9"/>
      <c r="B2" s="683"/>
      <c r="C2" s="684"/>
      <c r="D2" s="684"/>
      <c r="E2" s="684"/>
      <c r="F2" s="685"/>
      <c r="G2" s="684"/>
      <c r="H2" s="685"/>
      <c r="I2" s="686"/>
      <c r="J2" s="686"/>
      <c r="K2" s="686"/>
      <c r="L2" s="684"/>
      <c r="M2" s="687"/>
      <c r="N2" s="684"/>
      <c r="O2" s="684"/>
      <c r="P2" s="688" t="s">
        <v>2</v>
      </c>
      <c r="Q2" s="689" t="s">
        <v>337</v>
      </c>
      <c r="R2" s="690"/>
      <c r="S2" s="690"/>
      <c r="T2" s="690"/>
      <c r="U2" s="690"/>
      <c r="V2" s="690"/>
      <c r="W2" s="690"/>
      <c r="X2" s="690"/>
      <c r="Y2" s="690"/>
      <c r="Z2" s="690"/>
      <c r="AA2" s="690"/>
      <c r="AB2" s="690"/>
      <c r="AC2" s="690"/>
      <c r="AD2" s="690"/>
      <c r="AE2" s="690"/>
      <c r="AF2" s="690"/>
      <c r="AG2" s="690"/>
      <c r="AH2" s="690"/>
      <c r="AI2" s="690"/>
      <c r="AJ2" s="690"/>
      <c r="AK2" s="690"/>
      <c r="AL2" s="690"/>
      <c r="AM2" s="690"/>
      <c r="AN2" s="690"/>
      <c r="AO2" s="690"/>
      <c r="AP2" s="690"/>
      <c r="AQ2" s="690"/>
      <c r="AR2" s="690"/>
      <c r="AS2" s="690"/>
      <c r="AT2" s="690"/>
      <c r="AU2" s="690"/>
      <c r="AV2" s="690"/>
      <c r="AW2" s="690"/>
      <c r="AX2" s="690"/>
      <c r="AY2" s="690"/>
      <c r="AZ2" s="690"/>
      <c r="BA2" s="690"/>
      <c r="BB2" s="690"/>
      <c r="BC2" s="691"/>
      <c r="BD2" s="692"/>
      <c r="BE2" s="692"/>
      <c r="BF2" s="692"/>
      <c r="BG2" s="692"/>
      <c r="BH2" s="692"/>
      <c r="BI2" s="692"/>
      <c r="BJ2" s="692"/>
      <c r="BK2" s="692"/>
      <c r="BL2" s="692"/>
      <c r="BM2" s="692"/>
      <c r="BN2" s="692"/>
      <c r="BO2" s="692"/>
      <c r="BP2" s="692"/>
      <c r="BQ2" s="692"/>
      <c r="BR2" s="692"/>
      <c r="BS2" s="692"/>
      <c r="BT2" s="692"/>
      <c r="BU2" s="692"/>
      <c r="BV2" s="692"/>
      <c r="BW2" s="692"/>
      <c r="BX2" s="692"/>
      <c r="BY2" s="692"/>
      <c r="BZ2" s="692"/>
      <c r="CA2" s="692"/>
      <c r="CB2" s="692"/>
      <c r="CC2" s="692"/>
      <c r="CD2" s="692"/>
      <c r="CE2" s="692"/>
      <c r="CF2" s="692"/>
      <c r="CG2" s="692"/>
      <c r="CH2" s="692"/>
      <c r="CI2" s="692"/>
      <c r="CJ2" s="692"/>
      <c r="CK2" s="692"/>
      <c r="CL2" s="692"/>
      <c r="CM2" s="692"/>
      <c r="CN2" s="693"/>
      <c r="CO2" s="693"/>
      <c r="CP2" s="693"/>
      <c r="CQ2" s="693"/>
      <c r="CR2" s="693"/>
      <c r="CS2" s="693"/>
      <c r="CT2" s="693"/>
      <c r="CU2" s="693"/>
      <c r="CV2" s="693"/>
      <c r="CW2" s="693"/>
      <c r="CX2" s="693"/>
      <c r="CY2" s="693"/>
      <c r="CZ2" s="693"/>
      <c r="DA2" s="693"/>
      <c r="DB2" s="693"/>
      <c r="DC2" s="693"/>
      <c r="DD2" s="693"/>
      <c r="DE2" s="693"/>
      <c r="DF2" s="693"/>
      <c r="DG2" s="693"/>
      <c r="DH2" s="693"/>
      <c r="DI2" s="693"/>
      <c r="DJ2" s="693"/>
      <c r="DK2" s="693"/>
      <c r="DL2" s="693"/>
      <c r="DM2" s="693"/>
      <c r="DN2" s="693"/>
      <c r="DO2" s="693"/>
      <c r="DP2" s="693"/>
      <c r="DQ2" s="693"/>
      <c r="DR2" s="693"/>
      <c r="DS2" s="693"/>
      <c r="DT2" s="693"/>
      <c r="DU2" s="693"/>
      <c r="DV2" s="693"/>
      <c r="DW2" s="693"/>
      <c r="DX2" s="693"/>
      <c r="DY2" s="693"/>
      <c r="DZ2" s="693"/>
      <c r="EA2" s="693"/>
      <c r="EB2" s="693"/>
      <c r="EC2" s="693"/>
      <c r="ED2" s="8"/>
      <c r="EE2" s="8"/>
      <c r="EF2" s="8"/>
    </row>
    <row r="3" ht="54.0" customHeight="1">
      <c r="A3" s="19"/>
      <c r="B3" s="694" t="s">
        <v>9</v>
      </c>
      <c r="C3" s="695" t="s">
        <v>10</v>
      </c>
      <c r="D3" s="696" t="s">
        <v>11</v>
      </c>
      <c r="E3" s="697" t="s">
        <v>12</v>
      </c>
      <c r="F3" s="698" t="s">
        <v>13</v>
      </c>
      <c r="G3" s="697" t="s">
        <v>14</v>
      </c>
      <c r="H3" s="699" t="s">
        <v>13</v>
      </c>
      <c r="I3" s="700" t="s">
        <v>338</v>
      </c>
      <c r="J3" s="700" t="s">
        <v>16</v>
      </c>
      <c r="K3" s="701" t="s">
        <v>339</v>
      </c>
      <c r="L3" s="701" t="s">
        <v>18</v>
      </c>
      <c r="M3" s="702" t="s">
        <v>340</v>
      </c>
      <c r="N3" s="703" t="s">
        <v>341</v>
      </c>
      <c r="O3" s="704" t="s">
        <v>342</v>
      </c>
      <c r="P3" s="705" t="s">
        <v>28</v>
      </c>
      <c r="Q3" s="706" t="s">
        <v>343</v>
      </c>
      <c r="R3" s="707" t="s">
        <v>344</v>
      </c>
      <c r="S3" s="708" t="s">
        <v>345</v>
      </c>
      <c r="T3" s="709" t="s">
        <v>346</v>
      </c>
      <c r="U3" s="710" t="s">
        <v>347</v>
      </c>
      <c r="V3" s="711" t="s">
        <v>348</v>
      </c>
      <c r="W3" s="712" t="s">
        <v>349</v>
      </c>
      <c r="X3" s="713" t="s">
        <v>350</v>
      </c>
      <c r="Y3" s="714" t="s">
        <v>351</v>
      </c>
      <c r="Z3" s="715" t="s">
        <v>352</v>
      </c>
      <c r="AA3" s="716" t="s">
        <v>353</v>
      </c>
      <c r="AB3" s="717" t="s">
        <v>354</v>
      </c>
      <c r="AC3" s="718" t="s">
        <v>355</v>
      </c>
      <c r="AD3" s="719" t="s">
        <v>356</v>
      </c>
      <c r="AE3" s="720" t="s">
        <v>357</v>
      </c>
      <c r="AF3" s="721" t="s">
        <v>358</v>
      </c>
      <c r="AG3" s="722" t="s">
        <v>359</v>
      </c>
      <c r="AH3" s="723" t="s">
        <v>360</v>
      </c>
      <c r="AI3" s="724" t="s">
        <v>361</v>
      </c>
      <c r="AJ3" s="725" t="s">
        <v>362</v>
      </c>
      <c r="AK3" s="726" t="s">
        <v>363</v>
      </c>
      <c r="AL3" s="724" t="s">
        <v>364</v>
      </c>
      <c r="AM3" s="725" t="s">
        <v>365</v>
      </c>
      <c r="AN3" s="726" t="s">
        <v>366</v>
      </c>
      <c r="AO3" s="724" t="s">
        <v>367</v>
      </c>
      <c r="AP3" s="725" t="s">
        <v>368</v>
      </c>
      <c r="AQ3" s="726" t="s">
        <v>369</v>
      </c>
      <c r="AR3" s="724" t="s">
        <v>370</v>
      </c>
      <c r="AS3" s="725" t="s">
        <v>371</v>
      </c>
      <c r="AT3" s="726" t="s">
        <v>372</v>
      </c>
      <c r="AU3" s="724" t="s">
        <v>373</v>
      </c>
      <c r="AV3" s="725" t="s">
        <v>374</v>
      </c>
      <c r="AW3" s="726" t="s">
        <v>375</v>
      </c>
      <c r="AX3" s="727" t="s">
        <v>376</v>
      </c>
      <c r="AY3" s="725" t="s">
        <v>377</v>
      </c>
      <c r="AZ3" s="726" t="s">
        <v>378</v>
      </c>
      <c r="BA3" s="728" t="s">
        <v>379</v>
      </c>
      <c r="BB3" s="728" t="s">
        <v>380</v>
      </c>
      <c r="BC3" s="729" t="s">
        <v>381</v>
      </c>
      <c r="BD3" s="728" t="s">
        <v>382</v>
      </c>
      <c r="BE3" s="728" t="s">
        <v>383</v>
      </c>
      <c r="BF3" s="729" t="s">
        <v>384</v>
      </c>
      <c r="BG3" s="728" t="s">
        <v>385</v>
      </c>
      <c r="BH3" s="728" t="s">
        <v>386</v>
      </c>
      <c r="BI3" s="729" t="s">
        <v>387</v>
      </c>
      <c r="BJ3" s="728" t="s">
        <v>388</v>
      </c>
      <c r="BK3" s="728" t="s">
        <v>389</v>
      </c>
      <c r="BL3" s="729" t="s">
        <v>390</v>
      </c>
      <c r="BM3" s="728" t="s">
        <v>391</v>
      </c>
      <c r="BN3" s="728" t="s">
        <v>392</v>
      </c>
      <c r="BO3" s="729" t="s">
        <v>393</v>
      </c>
      <c r="BP3" s="728" t="s">
        <v>394</v>
      </c>
      <c r="BQ3" s="728" t="s">
        <v>395</v>
      </c>
      <c r="BR3" s="729" t="s">
        <v>396</v>
      </c>
      <c r="BS3" s="728" t="s">
        <v>397</v>
      </c>
      <c r="BT3" s="728" t="s">
        <v>398</v>
      </c>
      <c r="BU3" s="729" t="s">
        <v>399</v>
      </c>
      <c r="BV3" s="728" t="s">
        <v>400</v>
      </c>
      <c r="BW3" s="728" t="s">
        <v>401</v>
      </c>
      <c r="BX3" s="729" t="s">
        <v>402</v>
      </c>
      <c r="BY3" s="728" t="s">
        <v>403</v>
      </c>
      <c r="BZ3" s="728" t="s">
        <v>404</v>
      </c>
      <c r="CA3" s="729" t="s">
        <v>405</v>
      </c>
      <c r="CB3" s="728" t="s">
        <v>406</v>
      </c>
      <c r="CC3" s="728" t="s">
        <v>407</v>
      </c>
      <c r="CD3" s="729" t="s">
        <v>408</v>
      </c>
      <c r="CE3" s="728" t="s">
        <v>409</v>
      </c>
      <c r="CF3" s="728" t="s">
        <v>410</v>
      </c>
      <c r="CG3" s="729" t="s">
        <v>411</v>
      </c>
      <c r="CH3" s="728" t="s">
        <v>412</v>
      </c>
      <c r="CI3" s="728" t="s">
        <v>413</v>
      </c>
      <c r="CJ3" s="729" t="s">
        <v>414</v>
      </c>
      <c r="CK3" s="728" t="s">
        <v>415</v>
      </c>
      <c r="CL3" s="728" t="s">
        <v>416</v>
      </c>
      <c r="CM3" s="729" t="s">
        <v>417</v>
      </c>
      <c r="CN3" s="728" t="s">
        <v>418</v>
      </c>
      <c r="CO3" s="728" t="s">
        <v>419</v>
      </c>
      <c r="CP3" s="729" t="s">
        <v>420</v>
      </c>
      <c r="CQ3" s="728" t="s">
        <v>421</v>
      </c>
      <c r="CR3" s="728" t="s">
        <v>422</v>
      </c>
      <c r="CS3" s="729" t="s">
        <v>423</v>
      </c>
      <c r="CT3" s="728" t="s">
        <v>424</v>
      </c>
      <c r="CU3" s="728" t="s">
        <v>425</v>
      </c>
      <c r="CV3" s="729" t="s">
        <v>426</v>
      </c>
      <c r="CW3" s="728" t="s">
        <v>427</v>
      </c>
      <c r="CX3" s="728" t="s">
        <v>428</v>
      </c>
      <c r="CY3" s="729" t="s">
        <v>429</v>
      </c>
      <c r="CZ3" s="728" t="s">
        <v>430</v>
      </c>
      <c r="DA3" s="728" t="s">
        <v>431</v>
      </c>
      <c r="DB3" s="729" t="s">
        <v>432</v>
      </c>
      <c r="DC3" s="728" t="s">
        <v>433</v>
      </c>
      <c r="DD3" s="728" t="s">
        <v>434</v>
      </c>
      <c r="DE3" s="729" t="s">
        <v>435</v>
      </c>
      <c r="DF3" s="728" t="s">
        <v>436</v>
      </c>
      <c r="DG3" s="728" t="s">
        <v>437</v>
      </c>
      <c r="DH3" s="729" t="s">
        <v>438</v>
      </c>
      <c r="DI3" s="728" t="s">
        <v>439</v>
      </c>
      <c r="DJ3" s="728" t="s">
        <v>440</v>
      </c>
      <c r="DK3" s="729" t="s">
        <v>441</v>
      </c>
      <c r="DL3" s="728" t="s">
        <v>442</v>
      </c>
      <c r="DM3" s="728" t="s">
        <v>443</v>
      </c>
      <c r="DN3" s="729" t="s">
        <v>444</v>
      </c>
      <c r="DO3" s="728" t="s">
        <v>445</v>
      </c>
      <c r="DP3" s="728" t="s">
        <v>446</v>
      </c>
      <c r="DQ3" s="729" t="s">
        <v>447</v>
      </c>
      <c r="DR3" s="728" t="s">
        <v>448</v>
      </c>
      <c r="DS3" s="728" t="s">
        <v>449</v>
      </c>
      <c r="DT3" s="729" t="s">
        <v>450</v>
      </c>
      <c r="DU3" s="728" t="s">
        <v>451</v>
      </c>
      <c r="DV3" s="728" t="s">
        <v>452</v>
      </c>
      <c r="DW3" s="729" t="s">
        <v>453</v>
      </c>
      <c r="DX3" s="728" t="s">
        <v>454</v>
      </c>
      <c r="DY3" s="728" t="s">
        <v>455</v>
      </c>
      <c r="DZ3" s="729" t="s">
        <v>456</v>
      </c>
      <c r="EA3" s="728" t="s">
        <v>457</v>
      </c>
      <c r="EB3" s="728" t="s">
        <v>458</v>
      </c>
      <c r="EC3" s="729" t="s">
        <v>459</v>
      </c>
      <c r="ED3" s="59"/>
      <c r="EE3" s="59"/>
      <c r="EF3" s="59"/>
    </row>
    <row r="4" ht="30.75" customHeight="1">
      <c r="A4" s="60">
        <v>79.0</v>
      </c>
      <c r="B4" s="730" t="s">
        <v>257</v>
      </c>
      <c r="C4" s="730" t="s">
        <v>258</v>
      </c>
      <c r="D4" s="731" t="s">
        <v>85</v>
      </c>
      <c r="E4" s="732" t="s">
        <v>256</v>
      </c>
      <c r="F4" s="733">
        <v>1118.0</v>
      </c>
      <c r="G4" s="733" t="s">
        <v>256</v>
      </c>
      <c r="H4" s="734">
        <v>1118.0</v>
      </c>
      <c r="I4" s="735" t="str">
        <f>IFERROR(VLOOKUP(C2:C144,'R22 RELATÓRIO ACC'!B:F,5,FALSE),"NOT PUBLISHED")</f>
        <v>V39</v>
      </c>
      <c r="J4" s="74" t="str">
        <f>IFERROR(VLOOKUP(C2:C144,'R22 RELATÓRIO ACC'!B:P,15,FALSE),"NOT PUBLISHED")</f>
        <v>30/04/2026</v>
      </c>
      <c r="K4" s="736" t="str">
        <f>IFERROR(VLOOKUP(B2:B144,'RELATÓRIO ACC'!B:F,5,FALSE),"NOT PUBLISHED")</f>
        <v>V3</v>
      </c>
      <c r="L4" s="737" t="str">
        <f>IFERROR(VLOOKUP(B2:B144,'RELATÓRIO ACC'!B:P,15,FALSE),"NOT PUBLISHED")</f>
        <v>01/07/2026</v>
      </c>
      <c r="M4" s="738" t="s">
        <v>460</v>
      </c>
      <c r="N4" s="739" t="s">
        <v>461</v>
      </c>
      <c r="O4" s="740" t="s">
        <v>462</v>
      </c>
      <c r="P4" s="741" t="s">
        <v>129</v>
      </c>
      <c r="Q4" s="742" t="s">
        <v>462</v>
      </c>
      <c r="R4" s="743" t="s">
        <v>462</v>
      </c>
      <c r="S4" s="743" t="s">
        <v>462</v>
      </c>
      <c r="T4" s="742" t="s">
        <v>462</v>
      </c>
      <c r="U4" s="743" t="s">
        <v>462</v>
      </c>
      <c r="V4" s="743" t="s">
        <v>462</v>
      </c>
      <c r="W4" s="742" t="s">
        <v>462</v>
      </c>
      <c r="X4" s="743" t="s">
        <v>462</v>
      </c>
      <c r="Y4" s="743" t="s">
        <v>462</v>
      </c>
      <c r="Z4" s="744" t="s">
        <v>462</v>
      </c>
      <c r="AA4" s="735" t="s">
        <v>462</v>
      </c>
      <c r="AB4" s="745" t="s">
        <v>462</v>
      </c>
      <c r="AC4" s="735" t="s">
        <v>462</v>
      </c>
      <c r="AD4" s="735" t="s">
        <v>462</v>
      </c>
      <c r="AE4" s="735" t="s">
        <v>462</v>
      </c>
      <c r="AF4" s="744" t="s">
        <v>462</v>
      </c>
      <c r="AG4" s="735" t="s">
        <v>462</v>
      </c>
      <c r="AH4" s="745" t="s">
        <v>462</v>
      </c>
      <c r="AI4" s="735" t="s">
        <v>462</v>
      </c>
      <c r="AJ4" s="735" t="s">
        <v>462</v>
      </c>
      <c r="AK4" s="735" t="s">
        <v>462</v>
      </c>
      <c r="AL4" s="68" t="s">
        <v>462</v>
      </c>
      <c r="AM4" s="74" t="s">
        <v>462</v>
      </c>
      <c r="AN4" s="746" t="s">
        <v>462</v>
      </c>
      <c r="AO4" s="746" t="s">
        <v>462</v>
      </c>
      <c r="AP4" s="74" t="s">
        <v>462</v>
      </c>
      <c r="AQ4" s="746" t="s">
        <v>462</v>
      </c>
      <c r="AR4" s="68" t="s">
        <v>462</v>
      </c>
      <c r="AS4" s="68" t="s">
        <v>462</v>
      </c>
      <c r="AT4" s="68" t="s">
        <v>462</v>
      </c>
      <c r="AU4" s="68" t="s">
        <v>462</v>
      </c>
      <c r="AV4" s="68" t="s">
        <v>462</v>
      </c>
      <c r="AW4" s="68" t="s">
        <v>462</v>
      </c>
      <c r="AX4" s="68" t="s">
        <v>462</v>
      </c>
      <c r="AY4" s="68" t="s">
        <v>462</v>
      </c>
      <c r="AZ4" s="68" t="s">
        <v>462</v>
      </c>
      <c r="BA4" s="68" t="s">
        <v>462</v>
      </c>
      <c r="BB4" s="68" t="s">
        <v>462</v>
      </c>
      <c r="BC4" s="68" t="s">
        <v>462</v>
      </c>
      <c r="BD4" s="68" t="s">
        <v>462</v>
      </c>
      <c r="BE4" s="68" t="s">
        <v>462</v>
      </c>
      <c r="BF4" s="68" t="s">
        <v>462</v>
      </c>
      <c r="BG4" s="68" t="s">
        <v>462</v>
      </c>
      <c r="BH4" s="68" t="s">
        <v>462</v>
      </c>
      <c r="BI4" s="68" t="s">
        <v>462</v>
      </c>
      <c r="BJ4" s="68" t="s">
        <v>462</v>
      </c>
      <c r="BK4" s="68" t="s">
        <v>462</v>
      </c>
      <c r="BL4" s="68" t="s">
        <v>462</v>
      </c>
      <c r="BM4" s="68" t="s">
        <v>462</v>
      </c>
      <c r="BN4" s="68" t="s">
        <v>462</v>
      </c>
      <c r="BO4" s="68" t="s">
        <v>462</v>
      </c>
      <c r="BP4" s="68" t="s">
        <v>462</v>
      </c>
      <c r="BQ4" s="68" t="s">
        <v>462</v>
      </c>
      <c r="BR4" s="68" t="s">
        <v>462</v>
      </c>
      <c r="BS4" s="68" t="s">
        <v>462</v>
      </c>
      <c r="BT4" s="68" t="s">
        <v>462</v>
      </c>
      <c r="BU4" s="68" t="s">
        <v>462</v>
      </c>
      <c r="BV4" s="68" t="s">
        <v>462</v>
      </c>
      <c r="BW4" s="68" t="s">
        <v>462</v>
      </c>
      <c r="BX4" s="68" t="s">
        <v>462</v>
      </c>
      <c r="BY4" s="68" t="s">
        <v>462</v>
      </c>
      <c r="BZ4" s="68" t="s">
        <v>462</v>
      </c>
      <c r="CA4" s="68" t="s">
        <v>462</v>
      </c>
      <c r="CB4" s="68" t="s">
        <v>462</v>
      </c>
      <c r="CC4" s="68" t="s">
        <v>462</v>
      </c>
      <c r="CD4" s="68" t="s">
        <v>462</v>
      </c>
      <c r="CE4" s="68" t="s">
        <v>462</v>
      </c>
      <c r="CF4" s="68" t="s">
        <v>462</v>
      </c>
      <c r="CG4" s="68" t="s">
        <v>462</v>
      </c>
      <c r="CH4" s="68" t="s">
        <v>462</v>
      </c>
      <c r="CI4" s="68" t="s">
        <v>462</v>
      </c>
      <c r="CJ4" s="68" t="s">
        <v>462</v>
      </c>
      <c r="CK4" s="68" t="s">
        <v>462</v>
      </c>
      <c r="CL4" s="68" t="s">
        <v>462</v>
      </c>
      <c r="CM4" s="68" t="s">
        <v>462</v>
      </c>
      <c r="CN4" s="68" t="s">
        <v>462</v>
      </c>
      <c r="CO4" s="68" t="s">
        <v>462</v>
      </c>
      <c r="CP4" s="68" t="s">
        <v>462</v>
      </c>
      <c r="CQ4" s="68" t="s">
        <v>462</v>
      </c>
      <c r="CR4" s="68" t="s">
        <v>462</v>
      </c>
      <c r="CS4" s="68" t="s">
        <v>462</v>
      </c>
      <c r="CT4" s="68" t="s">
        <v>462</v>
      </c>
      <c r="CU4" s="68" t="s">
        <v>462</v>
      </c>
      <c r="CV4" s="68" t="s">
        <v>462</v>
      </c>
      <c r="CW4" s="68" t="s">
        <v>462</v>
      </c>
      <c r="CX4" s="68" t="s">
        <v>462</v>
      </c>
      <c r="CY4" s="68" t="s">
        <v>462</v>
      </c>
      <c r="CZ4" s="68" t="s">
        <v>462</v>
      </c>
      <c r="DA4" s="68" t="s">
        <v>462</v>
      </c>
      <c r="DB4" s="68" t="s">
        <v>462</v>
      </c>
      <c r="DC4" s="68" t="s">
        <v>462</v>
      </c>
      <c r="DD4" s="68" t="s">
        <v>462</v>
      </c>
      <c r="DE4" s="68" t="s">
        <v>462</v>
      </c>
      <c r="DF4" s="68" t="s">
        <v>462</v>
      </c>
      <c r="DG4" s="68" t="s">
        <v>462</v>
      </c>
      <c r="DH4" s="68" t="s">
        <v>462</v>
      </c>
      <c r="DI4" s="68" t="s">
        <v>462</v>
      </c>
      <c r="DJ4" s="68" t="s">
        <v>462</v>
      </c>
      <c r="DK4" s="68" t="s">
        <v>462</v>
      </c>
      <c r="DL4" s="68" t="s">
        <v>462</v>
      </c>
      <c r="DM4" s="68" t="s">
        <v>462</v>
      </c>
      <c r="DN4" s="68" t="s">
        <v>462</v>
      </c>
      <c r="DO4" s="746" t="s">
        <v>462</v>
      </c>
      <c r="DP4" s="746" t="s">
        <v>462</v>
      </c>
      <c r="DQ4" s="746" t="s">
        <v>462</v>
      </c>
      <c r="DR4" s="746" t="s">
        <v>462</v>
      </c>
      <c r="DS4" s="746" t="s">
        <v>462</v>
      </c>
      <c r="DT4" s="746" t="s">
        <v>462</v>
      </c>
      <c r="DU4" s="746" t="s">
        <v>462</v>
      </c>
      <c r="DV4" s="746" t="s">
        <v>462</v>
      </c>
      <c r="DW4" s="746" t="s">
        <v>462</v>
      </c>
      <c r="DX4" s="746" t="s">
        <v>462</v>
      </c>
      <c r="DY4" s="746" t="s">
        <v>462</v>
      </c>
      <c r="DZ4" s="746" t="s">
        <v>462</v>
      </c>
      <c r="EA4" s="746" t="s">
        <v>462</v>
      </c>
      <c r="EB4" s="746" t="s">
        <v>462</v>
      </c>
      <c r="EC4" s="746" t="s">
        <v>462</v>
      </c>
      <c r="ED4" s="111"/>
      <c r="EE4" s="111"/>
      <c r="EF4" s="111"/>
    </row>
    <row r="5" ht="16.5" customHeight="1" outlineLevel="1">
      <c r="A5" s="60">
        <v>25.0</v>
      </c>
      <c r="B5" s="747" t="s">
        <v>140</v>
      </c>
      <c r="C5" s="747" t="s">
        <v>141</v>
      </c>
      <c r="D5" s="71" t="s">
        <v>142</v>
      </c>
      <c r="E5" s="146" t="s">
        <v>138</v>
      </c>
      <c r="F5" s="125">
        <v>1101.0</v>
      </c>
      <c r="G5" s="139" t="s">
        <v>139</v>
      </c>
      <c r="H5" s="139">
        <v>1126.0</v>
      </c>
      <c r="I5" s="74" t="str">
        <f>IFERROR(VLOOKUP(C3:C145,'R22 RELATÓRIO ACC'!B:F,5,FALSE),"NOT PUBLISHED")</f>
        <v>V14</v>
      </c>
      <c r="J5" s="74" t="str">
        <f>IFERROR(VLOOKUP(C3:C145,'R22 RELATÓRIO ACC'!B:P,15,FALSE),"NOT PUBLISHED")</f>
        <v>30/01/2026</v>
      </c>
      <c r="K5" s="141" t="str">
        <f>IFERROR(VLOOKUP(B3:B145,'RELATÓRIO ACC'!B:F,5,FALSE),"NOT PUBLISHED")</f>
        <v>V1</v>
      </c>
      <c r="L5" s="748" t="str">
        <f>IFERROR(VLOOKUP(B3:B145,'RELATÓRIO ACC'!B:P,15,FALSE),"NOT PUBLISHED")</f>
        <v>19/05/2026</v>
      </c>
      <c r="M5" s="141" t="s">
        <v>462</v>
      </c>
      <c r="N5" s="749" t="s">
        <v>462</v>
      </c>
      <c r="O5" s="740" t="s">
        <v>462</v>
      </c>
      <c r="P5" s="741"/>
      <c r="Q5" s="746" t="s">
        <v>462</v>
      </c>
      <c r="R5" s="74" t="s">
        <v>462</v>
      </c>
      <c r="S5" s="749" t="s">
        <v>462</v>
      </c>
      <c r="T5" s="746" t="s">
        <v>462</v>
      </c>
      <c r="U5" s="74" t="s">
        <v>462</v>
      </c>
      <c r="V5" s="746" t="s">
        <v>462</v>
      </c>
      <c r="W5" s="746" t="s">
        <v>462</v>
      </c>
      <c r="X5" s="74" t="s">
        <v>462</v>
      </c>
      <c r="Y5" s="749" t="s">
        <v>462</v>
      </c>
      <c r="Z5" s="746" t="s">
        <v>462</v>
      </c>
      <c r="AA5" s="74" t="s">
        <v>462</v>
      </c>
      <c r="AB5" s="750" t="s">
        <v>462</v>
      </c>
      <c r="AC5" s="746" t="s">
        <v>462</v>
      </c>
      <c r="AD5" s="74" t="s">
        <v>462</v>
      </c>
      <c r="AE5" s="746" t="s">
        <v>462</v>
      </c>
      <c r="AF5" s="746" t="s">
        <v>462</v>
      </c>
      <c r="AG5" s="74" t="s">
        <v>462</v>
      </c>
      <c r="AH5" s="746" t="s">
        <v>462</v>
      </c>
      <c r="AI5" s="746" t="s">
        <v>462</v>
      </c>
      <c r="AJ5" s="74" t="s">
        <v>462</v>
      </c>
      <c r="AK5" s="746" t="s">
        <v>462</v>
      </c>
      <c r="AL5" s="746" t="s">
        <v>462</v>
      </c>
      <c r="AM5" s="74" t="s">
        <v>462</v>
      </c>
      <c r="AN5" s="746" t="s">
        <v>462</v>
      </c>
      <c r="AO5" s="746" t="s">
        <v>462</v>
      </c>
      <c r="AP5" s="74" t="s">
        <v>462</v>
      </c>
      <c r="AQ5" s="746" t="s">
        <v>462</v>
      </c>
      <c r="AR5" s="68" t="s">
        <v>462</v>
      </c>
      <c r="AS5" s="68" t="s">
        <v>462</v>
      </c>
      <c r="AT5" s="68" t="s">
        <v>462</v>
      </c>
      <c r="AU5" s="68" t="s">
        <v>462</v>
      </c>
      <c r="AV5" s="68" t="s">
        <v>462</v>
      </c>
      <c r="AW5" s="68" t="s">
        <v>462</v>
      </c>
      <c r="AX5" s="68" t="s">
        <v>462</v>
      </c>
      <c r="AY5" s="68" t="s">
        <v>462</v>
      </c>
      <c r="AZ5" s="68" t="s">
        <v>462</v>
      </c>
      <c r="BA5" s="68" t="s">
        <v>462</v>
      </c>
      <c r="BB5" s="68" t="s">
        <v>462</v>
      </c>
      <c r="BC5" s="68" t="s">
        <v>462</v>
      </c>
      <c r="BD5" s="68" t="s">
        <v>462</v>
      </c>
      <c r="BE5" s="68" t="s">
        <v>462</v>
      </c>
      <c r="BF5" s="746" t="s">
        <v>462</v>
      </c>
      <c r="BG5" s="746" t="s">
        <v>462</v>
      </c>
      <c r="BH5" s="68" t="s">
        <v>462</v>
      </c>
      <c r="BI5" s="746" t="s">
        <v>462</v>
      </c>
      <c r="BJ5" s="746" t="s">
        <v>462</v>
      </c>
      <c r="BK5" s="68" t="s">
        <v>462</v>
      </c>
      <c r="BL5" s="746" t="s">
        <v>462</v>
      </c>
      <c r="BM5" s="746" t="s">
        <v>462</v>
      </c>
      <c r="BN5" s="68" t="s">
        <v>462</v>
      </c>
      <c r="BO5" s="746" t="s">
        <v>462</v>
      </c>
      <c r="BP5" s="746" t="s">
        <v>462</v>
      </c>
      <c r="BQ5" s="68" t="s">
        <v>462</v>
      </c>
      <c r="BR5" s="746" t="s">
        <v>462</v>
      </c>
      <c r="BS5" s="68" t="s">
        <v>462</v>
      </c>
      <c r="BT5" s="68" t="s">
        <v>462</v>
      </c>
      <c r="BU5" s="68" t="s">
        <v>462</v>
      </c>
      <c r="BV5" s="746" t="s">
        <v>462</v>
      </c>
      <c r="BW5" s="68" t="s">
        <v>462</v>
      </c>
      <c r="BX5" s="746" t="s">
        <v>462</v>
      </c>
      <c r="BY5" s="746" t="s">
        <v>462</v>
      </c>
      <c r="BZ5" s="68" t="s">
        <v>462</v>
      </c>
      <c r="CA5" s="746" t="s">
        <v>462</v>
      </c>
      <c r="CB5" s="746" t="s">
        <v>462</v>
      </c>
      <c r="CC5" s="68" t="s">
        <v>462</v>
      </c>
      <c r="CD5" s="68" t="s">
        <v>462</v>
      </c>
      <c r="CE5" s="68" t="s">
        <v>462</v>
      </c>
      <c r="CF5" s="68" t="s">
        <v>462</v>
      </c>
      <c r="CG5" s="68" t="s">
        <v>462</v>
      </c>
      <c r="CH5" s="68" t="s">
        <v>462</v>
      </c>
      <c r="CI5" s="68" t="s">
        <v>462</v>
      </c>
      <c r="CJ5" s="68" t="s">
        <v>462</v>
      </c>
      <c r="CK5" s="68" t="s">
        <v>462</v>
      </c>
      <c r="CL5" s="68" t="s">
        <v>462</v>
      </c>
      <c r="CM5" s="68" t="s">
        <v>462</v>
      </c>
      <c r="CN5" s="68" t="s">
        <v>462</v>
      </c>
      <c r="CO5" s="68" t="s">
        <v>462</v>
      </c>
      <c r="CP5" s="68" t="s">
        <v>462</v>
      </c>
      <c r="CQ5" s="68" t="s">
        <v>462</v>
      </c>
      <c r="CR5" s="68" t="s">
        <v>462</v>
      </c>
      <c r="CS5" s="68" t="s">
        <v>462</v>
      </c>
      <c r="CT5" s="68" t="s">
        <v>462</v>
      </c>
      <c r="CU5" s="68" t="s">
        <v>462</v>
      </c>
      <c r="CV5" s="68" t="s">
        <v>462</v>
      </c>
      <c r="CW5" s="68" t="s">
        <v>462</v>
      </c>
      <c r="CX5" s="68" t="s">
        <v>462</v>
      </c>
      <c r="CY5" s="68" t="s">
        <v>462</v>
      </c>
      <c r="CZ5" s="68" t="s">
        <v>462</v>
      </c>
      <c r="DA5" s="68" t="s">
        <v>462</v>
      </c>
      <c r="DB5" s="68" t="s">
        <v>462</v>
      </c>
      <c r="DC5" s="68" t="s">
        <v>462</v>
      </c>
      <c r="DD5" s="68" t="s">
        <v>462</v>
      </c>
      <c r="DE5" s="68" t="s">
        <v>462</v>
      </c>
      <c r="DF5" s="68" t="s">
        <v>462</v>
      </c>
      <c r="DG5" s="68" t="s">
        <v>462</v>
      </c>
      <c r="DH5" s="68" t="s">
        <v>462</v>
      </c>
      <c r="DI5" s="68" t="s">
        <v>462</v>
      </c>
      <c r="DJ5" s="68" t="s">
        <v>462</v>
      </c>
      <c r="DK5" s="68" t="s">
        <v>462</v>
      </c>
      <c r="DL5" s="68" t="s">
        <v>462</v>
      </c>
      <c r="DM5" s="68" t="s">
        <v>462</v>
      </c>
      <c r="DN5" s="68" t="s">
        <v>462</v>
      </c>
      <c r="DO5" s="746" t="s">
        <v>462</v>
      </c>
      <c r="DP5" s="746" t="s">
        <v>462</v>
      </c>
      <c r="DQ5" s="746" t="s">
        <v>462</v>
      </c>
      <c r="DR5" s="746" t="s">
        <v>462</v>
      </c>
      <c r="DS5" s="746" t="s">
        <v>462</v>
      </c>
      <c r="DT5" s="746" t="s">
        <v>462</v>
      </c>
      <c r="DU5" s="746" t="s">
        <v>462</v>
      </c>
      <c r="DV5" s="746" t="s">
        <v>462</v>
      </c>
      <c r="DW5" s="746" t="s">
        <v>462</v>
      </c>
      <c r="DX5" s="746" t="s">
        <v>462</v>
      </c>
      <c r="DY5" s="746" t="s">
        <v>462</v>
      </c>
      <c r="DZ5" s="746" t="s">
        <v>462</v>
      </c>
      <c r="EA5" s="746" t="s">
        <v>462</v>
      </c>
      <c r="EB5" s="746" t="s">
        <v>462</v>
      </c>
      <c r="EC5" s="746" t="s">
        <v>462</v>
      </c>
      <c r="ED5" s="111"/>
      <c r="EE5" s="111"/>
      <c r="EF5" s="111"/>
    </row>
    <row r="6" outlineLevel="1">
      <c r="A6" s="60">
        <v>106.0</v>
      </c>
      <c r="B6" s="747" t="s">
        <v>318</v>
      </c>
      <c r="C6" s="747" t="s">
        <v>318</v>
      </c>
      <c r="D6" s="71" t="s">
        <v>319</v>
      </c>
      <c r="E6" s="146" t="s">
        <v>317</v>
      </c>
      <c r="F6" s="72">
        <v>1125.0</v>
      </c>
      <c r="G6" s="139" t="s">
        <v>317</v>
      </c>
      <c r="H6" s="139">
        <v>1125.0</v>
      </c>
      <c r="I6" s="74" t="str">
        <f>IFERROR(VLOOKUP(C4:C146,'R22 RELATÓRIO ACC'!B:F,5,FALSE),"NOT PUBLISHED")</f>
        <v>V7</v>
      </c>
      <c r="J6" s="74" t="str">
        <f>IFERROR(VLOOKUP(C4:C146,'R22 RELATÓRIO ACC'!B:P,15,FALSE),"NOT PUBLISHED")</f>
        <v>07/11/2025</v>
      </c>
      <c r="K6" s="141" t="str">
        <f>IFERROR(VLOOKUP(B4:B146,'RELATÓRIO ACC'!B:F,5,FALSE),"NOT PUBLISHED")</f>
        <v>V1</v>
      </c>
      <c r="L6" s="748" t="str">
        <f>IFERROR(VLOOKUP(B4:B146,'RELATÓRIO ACC'!B:P,15,FALSE),"NOT PUBLISHED")</f>
        <v>21/05/2026</v>
      </c>
      <c r="M6" s="141" t="s">
        <v>462</v>
      </c>
      <c r="N6" s="749" t="s">
        <v>462</v>
      </c>
      <c r="O6" s="740" t="s">
        <v>462</v>
      </c>
      <c r="P6" s="751" t="s">
        <v>194</v>
      </c>
      <c r="Q6" s="752" t="s">
        <v>462</v>
      </c>
      <c r="R6" s="141" t="s">
        <v>462</v>
      </c>
      <c r="S6" s="749" t="s">
        <v>462</v>
      </c>
      <c r="T6" s="746" t="s">
        <v>462</v>
      </c>
      <c r="U6" s="74" t="s">
        <v>462</v>
      </c>
      <c r="V6" s="749" t="s">
        <v>462</v>
      </c>
      <c r="W6" s="746" t="s">
        <v>462</v>
      </c>
      <c r="X6" s="74" t="s">
        <v>462</v>
      </c>
      <c r="Y6" s="749" t="s">
        <v>462</v>
      </c>
      <c r="Z6" s="746" t="s">
        <v>462</v>
      </c>
      <c r="AA6" s="74" t="s">
        <v>462</v>
      </c>
      <c r="AB6" s="753" t="s">
        <v>462</v>
      </c>
      <c r="AC6" s="746" t="s">
        <v>462</v>
      </c>
      <c r="AD6" s="74" t="s">
        <v>462</v>
      </c>
      <c r="AE6" s="753" t="s">
        <v>462</v>
      </c>
      <c r="AF6" s="746" t="s">
        <v>462</v>
      </c>
      <c r="AG6" s="74" t="s">
        <v>462</v>
      </c>
      <c r="AH6" s="753" t="s">
        <v>462</v>
      </c>
      <c r="AI6" s="746" t="s">
        <v>462</v>
      </c>
      <c r="AJ6" s="74" t="s">
        <v>462</v>
      </c>
      <c r="AK6" s="753" t="s">
        <v>462</v>
      </c>
      <c r="AL6" s="746" t="s">
        <v>462</v>
      </c>
      <c r="AM6" s="74" t="s">
        <v>462</v>
      </c>
      <c r="AN6" s="753" t="s">
        <v>462</v>
      </c>
      <c r="AO6" s="746" t="s">
        <v>462</v>
      </c>
      <c r="AP6" s="74" t="s">
        <v>462</v>
      </c>
      <c r="AQ6" s="753" t="s">
        <v>462</v>
      </c>
      <c r="AR6" s="68" t="s">
        <v>462</v>
      </c>
      <c r="AS6" s="68" t="s">
        <v>462</v>
      </c>
      <c r="AT6" s="68" t="s">
        <v>462</v>
      </c>
      <c r="AU6" s="68" t="s">
        <v>462</v>
      </c>
      <c r="AV6" s="68" t="s">
        <v>462</v>
      </c>
      <c r="AW6" s="68" t="s">
        <v>462</v>
      </c>
      <c r="AX6" s="68" t="s">
        <v>462</v>
      </c>
      <c r="AY6" s="68" t="s">
        <v>462</v>
      </c>
      <c r="AZ6" s="68" t="s">
        <v>462</v>
      </c>
      <c r="BA6" s="68" t="s">
        <v>462</v>
      </c>
      <c r="BB6" s="68" t="s">
        <v>462</v>
      </c>
      <c r="BC6" s="68" t="s">
        <v>462</v>
      </c>
      <c r="BD6" s="68" t="s">
        <v>462</v>
      </c>
      <c r="BE6" s="68" t="s">
        <v>462</v>
      </c>
      <c r="BF6" s="68" t="s">
        <v>462</v>
      </c>
      <c r="BG6" s="68" t="s">
        <v>462</v>
      </c>
      <c r="BH6" s="68" t="s">
        <v>462</v>
      </c>
      <c r="BI6" s="746" t="s">
        <v>462</v>
      </c>
      <c r="BJ6" s="68" t="s">
        <v>462</v>
      </c>
      <c r="BK6" s="68" t="s">
        <v>462</v>
      </c>
      <c r="BL6" s="68" t="s">
        <v>462</v>
      </c>
      <c r="BM6" s="746" t="s">
        <v>462</v>
      </c>
      <c r="BN6" s="68" t="s">
        <v>462</v>
      </c>
      <c r="BO6" s="746" t="s">
        <v>462</v>
      </c>
      <c r="BP6" s="746" t="s">
        <v>462</v>
      </c>
      <c r="BQ6" s="68" t="s">
        <v>462</v>
      </c>
      <c r="BR6" s="746" t="s">
        <v>462</v>
      </c>
      <c r="BS6" s="746" t="s">
        <v>462</v>
      </c>
      <c r="BT6" s="68" t="s">
        <v>462</v>
      </c>
      <c r="BU6" s="746" t="s">
        <v>462</v>
      </c>
      <c r="BV6" s="746" t="s">
        <v>462</v>
      </c>
      <c r="BW6" s="68" t="s">
        <v>462</v>
      </c>
      <c r="BX6" s="746" t="s">
        <v>462</v>
      </c>
      <c r="BY6" s="746" t="s">
        <v>462</v>
      </c>
      <c r="BZ6" s="68" t="s">
        <v>462</v>
      </c>
      <c r="CA6" s="68" t="s">
        <v>462</v>
      </c>
      <c r="CB6" s="68" t="s">
        <v>462</v>
      </c>
      <c r="CC6" s="68" t="s">
        <v>462</v>
      </c>
      <c r="CD6" s="68" t="s">
        <v>462</v>
      </c>
      <c r="CE6" s="68" t="s">
        <v>462</v>
      </c>
      <c r="CF6" s="68" t="s">
        <v>462</v>
      </c>
      <c r="CG6" s="68" t="s">
        <v>462</v>
      </c>
      <c r="CH6" s="68" t="s">
        <v>462</v>
      </c>
      <c r="CI6" s="68" t="s">
        <v>462</v>
      </c>
      <c r="CJ6" s="68" t="s">
        <v>462</v>
      </c>
      <c r="CK6" s="68" t="s">
        <v>462</v>
      </c>
      <c r="CL6" s="68" t="s">
        <v>462</v>
      </c>
      <c r="CM6" s="68" t="s">
        <v>462</v>
      </c>
      <c r="CN6" s="68" t="s">
        <v>462</v>
      </c>
      <c r="CO6" s="68" t="s">
        <v>462</v>
      </c>
      <c r="CP6" s="68" t="s">
        <v>462</v>
      </c>
      <c r="CQ6" s="68" t="s">
        <v>462</v>
      </c>
      <c r="CR6" s="68" t="s">
        <v>462</v>
      </c>
      <c r="CS6" s="68" t="s">
        <v>462</v>
      </c>
      <c r="CT6" s="68" t="s">
        <v>462</v>
      </c>
      <c r="CU6" s="68" t="s">
        <v>462</v>
      </c>
      <c r="CV6" s="68" t="s">
        <v>462</v>
      </c>
      <c r="CW6" s="68" t="s">
        <v>462</v>
      </c>
      <c r="CX6" s="68" t="s">
        <v>462</v>
      </c>
      <c r="CY6" s="68" t="s">
        <v>462</v>
      </c>
      <c r="CZ6" s="68" t="s">
        <v>462</v>
      </c>
      <c r="DA6" s="68" t="s">
        <v>462</v>
      </c>
      <c r="DB6" s="68" t="s">
        <v>462</v>
      </c>
      <c r="DC6" s="68" t="s">
        <v>462</v>
      </c>
      <c r="DD6" s="68" t="s">
        <v>462</v>
      </c>
      <c r="DE6" s="68" t="s">
        <v>462</v>
      </c>
      <c r="DF6" s="68" t="s">
        <v>462</v>
      </c>
      <c r="DG6" s="68" t="s">
        <v>462</v>
      </c>
      <c r="DH6" s="68" t="s">
        <v>462</v>
      </c>
      <c r="DI6" s="68" t="s">
        <v>462</v>
      </c>
      <c r="DJ6" s="68" t="s">
        <v>462</v>
      </c>
      <c r="DK6" s="68" t="s">
        <v>462</v>
      </c>
      <c r="DL6" s="68" t="s">
        <v>462</v>
      </c>
      <c r="DM6" s="68" t="s">
        <v>462</v>
      </c>
      <c r="DN6" s="68" t="s">
        <v>462</v>
      </c>
      <c r="DO6" s="746" t="s">
        <v>462</v>
      </c>
      <c r="DP6" s="746" t="s">
        <v>462</v>
      </c>
      <c r="DQ6" s="746" t="s">
        <v>462</v>
      </c>
      <c r="DR6" s="746" t="s">
        <v>462</v>
      </c>
      <c r="DS6" s="746" t="s">
        <v>462</v>
      </c>
      <c r="DT6" s="746" t="s">
        <v>462</v>
      </c>
      <c r="DU6" s="746" t="s">
        <v>462</v>
      </c>
      <c r="DV6" s="746" t="s">
        <v>462</v>
      </c>
      <c r="DW6" s="746" t="s">
        <v>462</v>
      </c>
      <c r="DX6" s="746" t="s">
        <v>462</v>
      </c>
      <c r="DY6" s="746" t="s">
        <v>462</v>
      </c>
      <c r="DZ6" s="746" t="s">
        <v>462</v>
      </c>
      <c r="EA6" s="746" t="s">
        <v>462</v>
      </c>
      <c r="EB6" s="746" t="s">
        <v>462</v>
      </c>
      <c r="EC6" s="746" t="s">
        <v>462</v>
      </c>
      <c r="ED6" s="111"/>
      <c r="EE6" s="111"/>
      <c r="EF6" s="111"/>
    </row>
    <row r="7" ht="15.0" customHeight="1" outlineLevel="1">
      <c r="A7" s="60">
        <v>107.0</v>
      </c>
      <c r="B7" s="747" t="s">
        <v>320</v>
      </c>
      <c r="C7" s="747" t="s">
        <v>320</v>
      </c>
      <c r="D7" s="71" t="s">
        <v>321</v>
      </c>
      <c r="E7" s="146" t="s">
        <v>317</v>
      </c>
      <c r="F7" s="72">
        <v>1125.0</v>
      </c>
      <c r="G7" s="139" t="s">
        <v>317</v>
      </c>
      <c r="H7" s="139">
        <v>1125.0</v>
      </c>
      <c r="I7" s="74" t="str">
        <f>IFERROR(VLOOKUP(C5:C147,'R22 RELATÓRIO ACC'!B:F,5,FALSE),"NOT PUBLISHED")</f>
        <v>V6</v>
      </c>
      <c r="J7" s="74" t="str">
        <f>IFERROR(VLOOKUP(C5:C147,'R22 RELATÓRIO ACC'!B:P,15,FALSE),"NOT PUBLISHED")</f>
        <v>07/11/2025</v>
      </c>
      <c r="K7" s="141" t="str">
        <f>IFERROR(VLOOKUP(B5:B147,'RELATÓRIO ACC'!B:F,5,FALSE),"NOT PUBLISHED")</f>
        <v>V1</v>
      </c>
      <c r="L7" s="748" t="str">
        <f>IFERROR(VLOOKUP(B5:B147,'RELATÓRIO ACC'!B:P,15,FALSE),"NOT PUBLISHED")</f>
        <v>21/05/2026</v>
      </c>
      <c r="M7" s="141" t="s">
        <v>462</v>
      </c>
      <c r="N7" s="749" t="s">
        <v>462</v>
      </c>
      <c r="O7" s="740" t="s">
        <v>462</v>
      </c>
      <c r="P7" s="751"/>
      <c r="Q7" s="746" t="s">
        <v>462</v>
      </c>
      <c r="R7" s="74" t="s">
        <v>462</v>
      </c>
      <c r="S7" s="749" t="s">
        <v>462</v>
      </c>
      <c r="T7" s="746" t="s">
        <v>462</v>
      </c>
      <c r="U7" s="74" t="s">
        <v>462</v>
      </c>
      <c r="V7" s="749" t="s">
        <v>462</v>
      </c>
      <c r="W7" s="746" t="s">
        <v>462</v>
      </c>
      <c r="X7" s="74" t="s">
        <v>462</v>
      </c>
      <c r="Y7" s="749" t="s">
        <v>462</v>
      </c>
      <c r="Z7" s="746" t="s">
        <v>462</v>
      </c>
      <c r="AA7" s="74" t="s">
        <v>462</v>
      </c>
      <c r="AB7" s="753" t="s">
        <v>462</v>
      </c>
      <c r="AC7" s="746" t="s">
        <v>462</v>
      </c>
      <c r="AD7" s="74" t="s">
        <v>462</v>
      </c>
      <c r="AE7" s="753" t="s">
        <v>462</v>
      </c>
      <c r="AF7" s="746" t="s">
        <v>462</v>
      </c>
      <c r="AG7" s="74" t="s">
        <v>462</v>
      </c>
      <c r="AH7" s="753" t="s">
        <v>462</v>
      </c>
      <c r="AI7" s="746" t="s">
        <v>462</v>
      </c>
      <c r="AJ7" s="74" t="s">
        <v>462</v>
      </c>
      <c r="AK7" s="753" t="s">
        <v>462</v>
      </c>
      <c r="AL7" s="746" t="s">
        <v>462</v>
      </c>
      <c r="AM7" s="74" t="s">
        <v>462</v>
      </c>
      <c r="AN7" s="753" t="s">
        <v>462</v>
      </c>
      <c r="AO7" s="746" t="s">
        <v>462</v>
      </c>
      <c r="AP7" s="74" t="s">
        <v>462</v>
      </c>
      <c r="AQ7" s="753" t="s">
        <v>462</v>
      </c>
      <c r="AR7" s="68" t="s">
        <v>462</v>
      </c>
      <c r="AS7" s="68" t="s">
        <v>462</v>
      </c>
      <c r="AT7" s="68" t="s">
        <v>462</v>
      </c>
      <c r="AU7" s="68" t="s">
        <v>462</v>
      </c>
      <c r="AV7" s="68" t="s">
        <v>462</v>
      </c>
      <c r="AW7" s="68" t="s">
        <v>462</v>
      </c>
      <c r="AX7" s="68" t="s">
        <v>462</v>
      </c>
      <c r="AY7" s="68" t="s">
        <v>462</v>
      </c>
      <c r="AZ7" s="68" t="s">
        <v>462</v>
      </c>
      <c r="BA7" s="68" t="s">
        <v>462</v>
      </c>
      <c r="BB7" s="68" t="s">
        <v>462</v>
      </c>
      <c r="BC7" s="68" t="s">
        <v>462</v>
      </c>
      <c r="BD7" s="68" t="s">
        <v>462</v>
      </c>
      <c r="BE7" s="68" t="s">
        <v>462</v>
      </c>
      <c r="BF7" s="68" t="s">
        <v>462</v>
      </c>
      <c r="BG7" s="68" t="s">
        <v>462</v>
      </c>
      <c r="BH7" s="68" t="s">
        <v>462</v>
      </c>
      <c r="BI7" s="746" t="s">
        <v>462</v>
      </c>
      <c r="BJ7" s="68" t="s">
        <v>462</v>
      </c>
      <c r="BK7" s="68" t="s">
        <v>462</v>
      </c>
      <c r="BL7" s="68" t="s">
        <v>462</v>
      </c>
      <c r="BM7" s="746" t="s">
        <v>462</v>
      </c>
      <c r="BN7" s="68" t="s">
        <v>462</v>
      </c>
      <c r="BO7" s="746" t="s">
        <v>462</v>
      </c>
      <c r="BP7" s="746" t="s">
        <v>462</v>
      </c>
      <c r="BQ7" s="68" t="s">
        <v>462</v>
      </c>
      <c r="BR7" s="746" t="s">
        <v>462</v>
      </c>
      <c r="BS7" s="746" t="s">
        <v>462</v>
      </c>
      <c r="BT7" s="68" t="s">
        <v>462</v>
      </c>
      <c r="BU7" s="746" t="s">
        <v>462</v>
      </c>
      <c r="BV7" s="746" t="s">
        <v>462</v>
      </c>
      <c r="BW7" s="68" t="s">
        <v>462</v>
      </c>
      <c r="BX7" s="746" t="s">
        <v>462</v>
      </c>
      <c r="BY7" s="746" t="s">
        <v>462</v>
      </c>
      <c r="BZ7" s="68" t="s">
        <v>462</v>
      </c>
      <c r="CA7" s="746" t="s">
        <v>462</v>
      </c>
      <c r="CB7" s="746" t="s">
        <v>462</v>
      </c>
      <c r="CC7" s="68" t="s">
        <v>462</v>
      </c>
      <c r="CD7" s="746" t="s">
        <v>462</v>
      </c>
      <c r="CE7" s="746" t="s">
        <v>462</v>
      </c>
      <c r="CF7" s="68" t="s">
        <v>462</v>
      </c>
      <c r="CG7" s="746" t="s">
        <v>462</v>
      </c>
      <c r="CH7" s="746" t="s">
        <v>462</v>
      </c>
      <c r="CI7" s="68" t="s">
        <v>462</v>
      </c>
      <c r="CJ7" s="746" t="s">
        <v>462</v>
      </c>
      <c r="CK7" s="746" t="s">
        <v>462</v>
      </c>
      <c r="CL7" s="68" t="s">
        <v>462</v>
      </c>
      <c r="CM7" s="746" t="s">
        <v>462</v>
      </c>
      <c r="CN7" s="746" t="s">
        <v>462</v>
      </c>
      <c r="CO7" s="68" t="s">
        <v>462</v>
      </c>
      <c r="CP7" s="746" t="s">
        <v>462</v>
      </c>
      <c r="CQ7" s="746" t="s">
        <v>462</v>
      </c>
      <c r="CR7" s="68" t="s">
        <v>462</v>
      </c>
      <c r="CS7" s="746" t="s">
        <v>462</v>
      </c>
      <c r="CT7" s="746" t="s">
        <v>462</v>
      </c>
      <c r="CU7" s="68" t="s">
        <v>462</v>
      </c>
      <c r="CV7" s="746" t="s">
        <v>462</v>
      </c>
      <c r="CW7" s="746" t="s">
        <v>462</v>
      </c>
      <c r="CX7" s="68" t="s">
        <v>462</v>
      </c>
      <c r="CY7" s="746" t="s">
        <v>462</v>
      </c>
      <c r="CZ7" s="746" t="s">
        <v>462</v>
      </c>
      <c r="DA7" s="68" t="s">
        <v>462</v>
      </c>
      <c r="DB7" s="746" t="s">
        <v>462</v>
      </c>
      <c r="DC7" s="746" t="s">
        <v>462</v>
      </c>
      <c r="DD7" s="68" t="s">
        <v>462</v>
      </c>
      <c r="DE7" s="746" t="s">
        <v>462</v>
      </c>
      <c r="DF7" s="746" t="s">
        <v>462</v>
      </c>
      <c r="DG7" s="68" t="s">
        <v>462</v>
      </c>
      <c r="DH7" s="746" t="s">
        <v>462</v>
      </c>
      <c r="DI7" s="746" t="s">
        <v>462</v>
      </c>
      <c r="DJ7" s="68" t="s">
        <v>462</v>
      </c>
      <c r="DK7" s="746" t="s">
        <v>462</v>
      </c>
      <c r="DL7" s="746" t="s">
        <v>462</v>
      </c>
      <c r="DM7" s="68" t="s">
        <v>462</v>
      </c>
      <c r="DN7" s="746" t="s">
        <v>462</v>
      </c>
      <c r="DO7" s="746" t="s">
        <v>462</v>
      </c>
      <c r="DP7" s="746" t="s">
        <v>462</v>
      </c>
      <c r="DQ7" s="746" t="s">
        <v>462</v>
      </c>
      <c r="DR7" s="746" t="s">
        <v>462</v>
      </c>
      <c r="DS7" s="746" t="s">
        <v>462</v>
      </c>
      <c r="DT7" s="746" t="s">
        <v>462</v>
      </c>
      <c r="DU7" s="746" t="s">
        <v>462</v>
      </c>
      <c r="DV7" s="746" t="s">
        <v>462</v>
      </c>
      <c r="DW7" s="746" t="s">
        <v>462</v>
      </c>
      <c r="DX7" s="746" t="s">
        <v>462</v>
      </c>
      <c r="DY7" s="746" t="s">
        <v>462</v>
      </c>
      <c r="DZ7" s="746" t="s">
        <v>462</v>
      </c>
      <c r="EA7" s="746" t="s">
        <v>462</v>
      </c>
      <c r="EB7" s="746" t="s">
        <v>462</v>
      </c>
      <c r="EC7" s="746" t="s">
        <v>462</v>
      </c>
      <c r="ED7" s="111"/>
      <c r="EE7" s="111"/>
      <c r="EF7" s="111"/>
    </row>
    <row r="8" ht="15.0" customHeight="1" outlineLevel="1">
      <c r="A8" s="60">
        <v>108.0</v>
      </c>
      <c r="B8" s="747" t="s">
        <v>322</v>
      </c>
      <c r="C8" s="747" t="s">
        <v>322</v>
      </c>
      <c r="D8" s="71" t="s">
        <v>323</v>
      </c>
      <c r="E8" s="146" t="s">
        <v>317</v>
      </c>
      <c r="F8" s="146">
        <v>1125.0</v>
      </c>
      <c r="G8" s="146" t="s">
        <v>317</v>
      </c>
      <c r="H8" s="139">
        <v>1125.0</v>
      </c>
      <c r="I8" s="74" t="str">
        <f>IFERROR(VLOOKUP(C6:C148,'R22 RELATÓRIO ACC'!B:F,5,FALSE),"NOT PUBLISHED")</f>
        <v>V6</v>
      </c>
      <c r="J8" s="74" t="str">
        <f>IFERROR(VLOOKUP(C6:C148,'R22 RELATÓRIO ACC'!B:P,15,FALSE),"NOT PUBLISHED")</f>
        <v>07/11/2025</v>
      </c>
      <c r="K8" s="141" t="str">
        <f>IFERROR(VLOOKUP(B6:B148,'RELATÓRIO ACC'!B:F,5,FALSE),"NOT PUBLISHED")</f>
        <v>V1</v>
      </c>
      <c r="L8" s="748" t="str">
        <f>IFERROR(VLOOKUP(B6:B148,'RELATÓRIO ACC'!B:P,15,FALSE),"NOT PUBLISHED")</f>
        <v>21/05/2026</v>
      </c>
      <c r="M8" s="141" t="s">
        <v>462</v>
      </c>
      <c r="N8" s="749" t="s">
        <v>462</v>
      </c>
      <c r="O8" s="740" t="s">
        <v>462</v>
      </c>
      <c r="P8" s="751"/>
      <c r="Q8" s="746" t="s">
        <v>462</v>
      </c>
      <c r="R8" s="74" t="s">
        <v>462</v>
      </c>
      <c r="S8" s="749" t="s">
        <v>462</v>
      </c>
      <c r="T8" s="746" t="s">
        <v>462</v>
      </c>
      <c r="U8" s="74" t="s">
        <v>462</v>
      </c>
      <c r="V8" s="749" t="s">
        <v>462</v>
      </c>
      <c r="W8" s="746" t="s">
        <v>462</v>
      </c>
      <c r="X8" s="74" t="s">
        <v>462</v>
      </c>
      <c r="Y8" s="749" t="s">
        <v>462</v>
      </c>
      <c r="Z8" s="746" t="s">
        <v>462</v>
      </c>
      <c r="AA8" s="74" t="s">
        <v>462</v>
      </c>
      <c r="AB8" s="753" t="s">
        <v>462</v>
      </c>
      <c r="AC8" s="746" t="s">
        <v>462</v>
      </c>
      <c r="AD8" s="74" t="s">
        <v>462</v>
      </c>
      <c r="AE8" s="753" t="s">
        <v>462</v>
      </c>
      <c r="AF8" s="746" t="s">
        <v>462</v>
      </c>
      <c r="AG8" s="74" t="s">
        <v>462</v>
      </c>
      <c r="AH8" s="753" t="s">
        <v>462</v>
      </c>
      <c r="AI8" s="746" t="s">
        <v>462</v>
      </c>
      <c r="AJ8" s="74" t="s">
        <v>462</v>
      </c>
      <c r="AK8" s="753" t="s">
        <v>462</v>
      </c>
      <c r="AL8" s="746" t="s">
        <v>462</v>
      </c>
      <c r="AM8" s="74" t="s">
        <v>462</v>
      </c>
      <c r="AN8" s="753" t="s">
        <v>462</v>
      </c>
      <c r="AO8" s="746" t="s">
        <v>462</v>
      </c>
      <c r="AP8" s="74" t="s">
        <v>462</v>
      </c>
      <c r="AQ8" s="753" t="s">
        <v>462</v>
      </c>
      <c r="AR8" s="746" t="s">
        <v>462</v>
      </c>
      <c r="AS8" s="74" t="s">
        <v>462</v>
      </c>
      <c r="AT8" s="753" t="s">
        <v>462</v>
      </c>
      <c r="AU8" s="746" t="s">
        <v>462</v>
      </c>
      <c r="AV8" s="74" t="s">
        <v>462</v>
      </c>
      <c r="AW8" s="753" t="s">
        <v>462</v>
      </c>
      <c r="AX8" s="746" t="s">
        <v>462</v>
      </c>
      <c r="AY8" s="74" t="s">
        <v>462</v>
      </c>
      <c r="AZ8" s="746" t="s">
        <v>462</v>
      </c>
      <c r="BA8" s="746" t="s">
        <v>462</v>
      </c>
      <c r="BB8" s="68" t="s">
        <v>462</v>
      </c>
      <c r="BC8" s="746" t="s">
        <v>462</v>
      </c>
      <c r="BD8" s="746" t="s">
        <v>462</v>
      </c>
      <c r="BE8" s="68" t="s">
        <v>462</v>
      </c>
      <c r="BF8" s="746" t="s">
        <v>462</v>
      </c>
      <c r="BG8" s="746" t="s">
        <v>462</v>
      </c>
      <c r="BH8" s="68" t="s">
        <v>462</v>
      </c>
      <c r="BI8" s="746" t="s">
        <v>462</v>
      </c>
      <c r="BJ8" s="746" t="s">
        <v>462</v>
      </c>
      <c r="BK8" s="68" t="s">
        <v>462</v>
      </c>
      <c r="BL8" s="746" t="s">
        <v>462</v>
      </c>
      <c r="BM8" s="746" t="s">
        <v>462</v>
      </c>
      <c r="BN8" s="68" t="s">
        <v>462</v>
      </c>
      <c r="BO8" s="746" t="s">
        <v>462</v>
      </c>
      <c r="BP8" s="746" t="s">
        <v>462</v>
      </c>
      <c r="BQ8" s="68" t="s">
        <v>462</v>
      </c>
      <c r="BR8" s="746" t="s">
        <v>462</v>
      </c>
      <c r="BS8" s="746" t="s">
        <v>462</v>
      </c>
      <c r="BT8" s="68" t="s">
        <v>462</v>
      </c>
      <c r="BU8" s="746" t="s">
        <v>462</v>
      </c>
      <c r="BV8" s="746" t="s">
        <v>462</v>
      </c>
      <c r="BW8" s="68" t="s">
        <v>462</v>
      </c>
      <c r="BX8" s="746" t="s">
        <v>462</v>
      </c>
      <c r="BY8" s="746" t="s">
        <v>462</v>
      </c>
      <c r="BZ8" s="68" t="s">
        <v>462</v>
      </c>
      <c r="CA8" s="746" t="s">
        <v>462</v>
      </c>
      <c r="CB8" s="746" t="s">
        <v>462</v>
      </c>
      <c r="CC8" s="68" t="s">
        <v>462</v>
      </c>
      <c r="CD8" s="746" t="s">
        <v>462</v>
      </c>
      <c r="CE8" s="746" t="s">
        <v>462</v>
      </c>
      <c r="CF8" s="68" t="s">
        <v>462</v>
      </c>
      <c r="CG8" s="746" t="s">
        <v>462</v>
      </c>
      <c r="CH8" s="746" t="s">
        <v>462</v>
      </c>
      <c r="CI8" s="68" t="s">
        <v>462</v>
      </c>
      <c r="CJ8" s="746" t="s">
        <v>462</v>
      </c>
      <c r="CK8" s="746" t="s">
        <v>462</v>
      </c>
      <c r="CL8" s="68" t="s">
        <v>462</v>
      </c>
      <c r="CM8" s="746" t="s">
        <v>462</v>
      </c>
      <c r="CN8" s="746" t="s">
        <v>462</v>
      </c>
      <c r="CO8" s="68" t="s">
        <v>462</v>
      </c>
      <c r="CP8" s="746" t="s">
        <v>462</v>
      </c>
      <c r="CQ8" s="746" t="s">
        <v>462</v>
      </c>
      <c r="CR8" s="68" t="s">
        <v>462</v>
      </c>
      <c r="CS8" s="746" t="s">
        <v>462</v>
      </c>
      <c r="CT8" s="746" t="s">
        <v>462</v>
      </c>
      <c r="CU8" s="68" t="s">
        <v>462</v>
      </c>
      <c r="CV8" s="746" t="s">
        <v>462</v>
      </c>
      <c r="CW8" s="746" t="s">
        <v>462</v>
      </c>
      <c r="CX8" s="68" t="s">
        <v>462</v>
      </c>
      <c r="CY8" s="746" t="s">
        <v>462</v>
      </c>
      <c r="CZ8" s="746" t="s">
        <v>462</v>
      </c>
      <c r="DA8" s="68" t="s">
        <v>462</v>
      </c>
      <c r="DB8" s="746" t="s">
        <v>462</v>
      </c>
      <c r="DC8" s="746" t="s">
        <v>462</v>
      </c>
      <c r="DD8" s="68" t="s">
        <v>462</v>
      </c>
      <c r="DE8" s="746" t="s">
        <v>462</v>
      </c>
      <c r="DF8" s="746" t="s">
        <v>462</v>
      </c>
      <c r="DG8" s="68" t="s">
        <v>462</v>
      </c>
      <c r="DH8" s="746" t="s">
        <v>462</v>
      </c>
      <c r="DI8" s="746" t="s">
        <v>462</v>
      </c>
      <c r="DJ8" s="68" t="s">
        <v>462</v>
      </c>
      <c r="DK8" s="746" t="s">
        <v>462</v>
      </c>
      <c r="DL8" s="746" t="s">
        <v>462</v>
      </c>
      <c r="DM8" s="68" t="s">
        <v>462</v>
      </c>
      <c r="DN8" s="746" t="s">
        <v>462</v>
      </c>
      <c r="DO8" s="746" t="s">
        <v>462</v>
      </c>
      <c r="DP8" s="746" t="s">
        <v>462</v>
      </c>
      <c r="DQ8" s="746" t="s">
        <v>462</v>
      </c>
      <c r="DR8" s="746" t="s">
        <v>462</v>
      </c>
      <c r="DS8" s="746" t="s">
        <v>462</v>
      </c>
      <c r="DT8" s="746" t="s">
        <v>462</v>
      </c>
      <c r="DU8" s="746" t="s">
        <v>462</v>
      </c>
      <c r="DV8" s="746" t="s">
        <v>462</v>
      </c>
      <c r="DW8" s="746" t="s">
        <v>462</v>
      </c>
      <c r="DX8" s="746" t="s">
        <v>462</v>
      </c>
      <c r="DY8" s="746" t="s">
        <v>462</v>
      </c>
      <c r="DZ8" s="746" t="s">
        <v>462</v>
      </c>
      <c r="EA8" s="746" t="s">
        <v>462</v>
      </c>
      <c r="EB8" s="746" t="s">
        <v>462</v>
      </c>
      <c r="EC8" s="746" t="s">
        <v>462</v>
      </c>
      <c r="ED8" s="111"/>
      <c r="EE8" s="111"/>
      <c r="EF8" s="111"/>
    </row>
    <row r="9" ht="20.25" customHeight="1" outlineLevel="1">
      <c r="A9" s="60">
        <v>109.0</v>
      </c>
      <c r="B9" s="747" t="s">
        <v>324</v>
      </c>
      <c r="C9" s="747" t="s">
        <v>324</v>
      </c>
      <c r="D9" s="71" t="s">
        <v>7</v>
      </c>
      <c r="E9" s="146" t="s">
        <v>317</v>
      </c>
      <c r="F9" s="72">
        <v>1125.0</v>
      </c>
      <c r="G9" s="139" t="s">
        <v>317</v>
      </c>
      <c r="H9" s="139">
        <v>1125.0</v>
      </c>
      <c r="I9" s="74" t="str">
        <f>IFERROR(VLOOKUP(C7:C149,'R22 RELATÓRIO ACC'!B:F,5,FALSE),"NOT PUBLISHED")</f>
        <v>V7</v>
      </c>
      <c r="J9" s="74" t="str">
        <f>IFERROR(VLOOKUP(C7:C149,'R22 RELATÓRIO ACC'!B:P,15,FALSE),"NOT PUBLISHED")</f>
        <v>05/12/2025</v>
      </c>
      <c r="K9" s="141" t="str">
        <f>IFERROR(VLOOKUP(B7:B149,'RELATÓRIO ACC'!B:F,5,FALSE),"NOT PUBLISHED")</f>
        <v>V1</v>
      </c>
      <c r="L9" s="748" t="str">
        <f>IFERROR(VLOOKUP(B7:B149,'RELATÓRIO ACC'!B:P,15,FALSE),"NOT PUBLISHED")</f>
        <v>21/05/2026</v>
      </c>
      <c r="M9" s="141" t="s">
        <v>462</v>
      </c>
      <c r="N9" s="749" t="s">
        <v>462</v>
      </c>
      <c r="O9" s="740" t="s">
        <v>462</v>
      </c>
      <c r="P9" s="751"/>
      <c r="Q9" s="746" t="s">
        <v>462</v>
      </c>
      <c r="R9" s="74" t="s">
        <v>462</v>
      </c>
      <c r="S9" s="749" t="s">
        <v>462</v>
      </c>
      <c r="T9" s="749" t="s">
        <v>462</v>
      </c>
      <c r="U9" s="74" t="s">
        <v>462</v>
      </c>
      <c r="V9" s="749" t="s">
        <v>462</v>
      </c>
      <c r="W9" s="746" t="s">
        <v>462</v>
      </c>
      <c r="X9" s="74" t="s">
        <v>462</v>
      </c>
      <c r="Y9" s="749" t="s">
        <v>462</v>
      </c>
      <c r="Z9" s="746" t="s">
        <v>462</v>
      </c>
      <c r="AA9" s="74" t="s">
        <v>462</v>
      </c>
      <c r="AB9" s="749" t="s">
        <v>462</v>
      </c>
      <c r="AC9" s="746" t="s">
        <v>462</v>
      </c>
      <c r="AD9" s="74" t="s">
        <v>462</v>
      </c>
      <c r="AE9" s="753" t="s">
        <v>462</v>
      </c>
      <c r="AF9" s="746" t="s">
        <v>462</v>
      </c>
      <c r="AG9" s="74" t="s">
        <v>462</v>
      </c>
      <c r="AH9" s="753" t="s">
        <v>462</v>
      </c>
      <c r="AI9" s="746" t="s">
        <v>462</v>
      </c>
      <c r="AJ9" s="74" t="s">
        <v>462</v>
      </c>
      <c r="AK9" s="753" t="s">
        <v>462</v>
      </c>
      <c r="AL9" s="746" t="s">
        <v>462</v>
      </c>
      <c r="AM9" s="74" t="s">
        <v>462</v>
      </c>
      <c r="AN9" s="753" t="s">
        <v>462</v>
      </c>
      <c r="AO9" s="746" t="s">
        <v>462</v>
      </c>
      <c r="AP9" s="74" t="s">
        <v>462</v>
      </c>
      <c r="AQ9" s="753" t="s">
        <v>462</v>
      </c>
      <c r="AR9" s="746" t="s">
        <v>462</v>
      </c>
      <c r="AS9" s="74" t="s">
        <v>462</v>
      </c>
      <c r="AT9" s="753" t="s">
        <v>462</v>
      </c>
      <c r="AU9" s="746" t="s">
        <v>462</v>
      </c>
      <c r="AV9" s="74" t="s">
        <v>462</v>
      </c>
      <c r="AW9" s="753" t="s">
        <v>462</v>
      </c>
      <c r="AX9" s="746" t="s">
        <v>462</v>
      </c>
      <c r="AY9" s="74" t="s">
        <v>462</v>
      </c>
      <c r="AZ9" s="746" t="s">
        <v>462</v>
      </c>
      <c r="BA9" s="68" t="s">
        <v>462</v>
      </c>
      <c r="BB9" s="68" t="s">
        <v>462</v>
      </c>
      <c r="BC9" s="68" t="s">
        <v>462</v>
      </c>
      <c r="BD9" s="68" t="s">
        <v>462</v>
      </c>
      <c r="BE9" s="68" t="s">
        <v>462</v>
      </c>
      <c r="BF9" s="68" t="s">
        <v>462</v>
      </c>
      <c r="BG9" s="68" t="s">
        <v>462</v>
      </c>
      <c r="BH9" s="68" t="s">
        <v>462</v>
      </c>
      <c r="BI9" s="68" t="s">
        <v>462</v>
      </c>
      <c r="BJ9" s="68" t="s">
        <v>462</v>
      </c>
      <c r="BK9" s="68" t="s">
        <v>462</v>
      </c>
      <c r="BL9" s="68" t="s">
        <v>462</v>
      </c>
      <c r="BM9" s="68" t="s">
        <v>462</v>
      </c>
      <c r="BN9" s="68" t="s">
        <v>462</v>
      </c>
      <c r="BO9" s="68" t="s">
        <v>462</v>
      </c>
      <c r="BP9" s="68" t="s">
        <v>462</v>
      </c>
      <c r="BQ9" s="68" t="s">
        <v>462</v>
      </c>
      <c r="BR9" s="68" t="s">
        <v>462</v>
      </c>
      <c r="BS9" s="68" t="s">
        <v>462</v>
      </c>
      <c r="BT9" s="68" t="s">
        <v>462</v>
      </c>
      <c r="BU9" s="68" t="s">
        <v>462</v>
      </c>
      <c r="BV9" s="68" t="s">
        <v>462</v>
      </c>
      <c r="BW9" s="68" t="s">
        <v>462</v>
      </c>
      <c r="BX9" s="68" t="s">
        <v>462</v>
      </c>
      <c r="BY9" s="68" t="s">
        <v>462</v>
      </c>
      <c r="BZ9" s="68" t="s">
        <v>462</v>
      </c>
      <c r="CA9" s="68" t="s">
        <v>462</v>
      </c>
      <c r="CB9" s="68" t="s">
        <v>462</v>
      </c>
      <c r="CC9" s="68" t="s">
        <v>462</v>
      </c>
      <c r="CD9" s="68" t="s">
        <v>462</v>
      </c>
      <c r="CE9" s="68" t="s">
        <v>462</v>
      </c>
      <c r="CF9" s="68" t="s">
        <v>462</v>
      </c>
      <c r="CG9" s="68" t="s">
        <v>462</v>
      </c>
      <c r="CH9" s="68" t="s">
        <v>462</v>
      </c>
      <c r="CI9" s="68" t="s">
        <v>462</v>
      </c>
      <c r="CJ9" s="68" t="s">
        <v>462</v>
      </c>
      <c r="CK9" s="68" t="s">
        <v>462</v>
      </c>
      <c r="CL9" s="68" t="s">
        <v>462</v>
      </c>
      <c r="CM9" s="68" t="s">
        <v>462</v>
      </c>
      <c r="CN9" s="68" t="s">
        <v>462</v>
      </c>
      <c r="CO9" s="68" t="s">
        <v>462</v>
      </c>
      <c r="CP9" s="68" t="s">
        <v>462</v>
      </c>
      <c r="CQ9" s="68" t="s">
        <v>462</v>
      </c>
      <c r="CR9" s="68" t="s">
        <v>462</v>
      </c>
      <c r="CS9" s="68" t="s">
        <v>462</v>
      </c>
      <c r="CT9" s="68" t="s">
        <v>462</v>
      </c>
      <c r="CU9" s="68" t="s">
        <v>462</v>
      </c>
      <c r="CV9" s="68" t="s">
        <v>462</v>
      </c>
      <c r="CW9" s="68" t="s">
        <v>462</v>
      </c>
      <c r="CX9" s="68" t="s">
        <v>462</v>
      </c>
      <c r="CY9" s="68" t="s">
        <v>462</v>
      </c>
      <c r="CZ9" s="68" t="s">
        <v>462</v>
      </c>
      <c r="DA9" s="68" t="s">
        <v>462</v>
      </c>
      <c r="DB9" s="68" t="s">
        <v>462</v>
      </c>
      <c r="DC9" s="68" t="s">
        <v>462</v>
      </c>
      <c r="DD9" s="68" t="s">
        <v>462</v>
      </c>
      <c r="DE9" s="68" t="s">
        <v>462</v>
      </c>
      <c r="DF9" s="68" t="s">
        <v>462</v>
      </c>
      <c r="DG9" s="68" t="s">
        <v>462</v>
      </c>
      <c r="DH9" s="68" t="s">
        <v>462</v>
      </c>
      <c r="DI9" s="68" t="s">
        <v>462</v>
      </c>
      <c r="DJ9" s="68" t="s">
        <v>462</v>
      </c>
      <c r="DK9" s="68" t="s">
        <v>462</v>
      </c>
      <c r="DL9" s="68" t="s">
        <v>462</v>
      </c>
      <c r="DM9" s="68" t="s">
        <v>462</v>
      </c>
      <c r="DN9" s="68" t="s">
        <v>462</v>
      </c>
      <c r="DO9" s="746" t="s">
        <v>462</v>
      </c>
      <c r="DP9" s="746" t="s">
        <v>462</v>
      </c>
      <c r="DQ9" s="746" t="s">
        <v>462</v>
      </c>
      <c r="DR9" s="746" t="s">
        <v>462</v>
      </c>
      <c r="DS9" s="746" t="s">
        <v>462</v>
      </c>
      <c r="DT9" s="746" t="s">
        <v>462</v>
      </c>
      <c r="DU9" s="746" t="s">
        <v>462</v>
      </c>
      <c r="DV9" s="746" t="s">
        <v>462</v>
      </c>
      <c r="DW9" s="746" t="s">
        <v>462</v>
      </c>
      <c r="DX9" s="746" t="s">
        <v>462</v>
      </c>
      <c r="DY9" s="746" t="s">
        <v>462</v>
      </c>
      <c r="DZ9" s="746" t="s">
        <v>462</v>
      </c>
      <c r="EA9" s="746" t="s">
        <v>462</v>
      </c>
      <c r="EB9" s="746" t="s">
        <v>462</v>
      </c>
      <c r="EC9" s="746" t="s">
        <v>462</v>
      </c>
      <c r="ED9" s="111"/>
      <c r="EE9" s="111"/>
      <c r="EF9" s="111"/>
    </row>
    <row r="10" ht="15.0" customHeight="1" outlineLevel="1">
      <c r="A10" s="60">
        <v>110.0</v>
      </c>
      <c r="B10" s="747" t="s">
        <v>325</v>
      </c>
      <c r="C10" s="747" t="s">
        <v>325</v>
      </c>
      <c r="D10" s="71" t="s">
        <v>326</v>
      </c>
      <c r="E10" s="146" t="s">
        <v>317</v>
      </c>
      <c r="F10" s="72">
        <v>1125.0</v>
      </c>
      <c r="G10" s="139" t="s">
        <v>317</v>
      </c>
      <c r="H10" s="139">
        <v>1125.0</v>
      </c>
      <c r="I10" s="74" t="str">
        <f>IFERROR(VLOOKUP(C8:C150,'R22 RELATÓRIO ACC'!B:F,5,FALSE),"NOT PUBLISHED")</f>
        <v>V6</v>
      </c>
      <c r="J10" s="74" t="str">
        <f>IFERROR(VLOOKUP(C8:C150,'R22 RELATÓRIO ACC'!B:P,15,FALSE),"NOT PUBLISHED")</f>
        <v>07/11/2025</v>
      </c>
      <c r="K10" s="141" t="str">
        <f>IFERROR(VLOOKUP(B8:B150,'RELATÓRIO ACC'!B:F,5,FALSE),"NOT PUBLISHED")</f>
        <v>V1</v>
      </c>
      <c r="L10" s="748" t="str">
        <f>IFERROR(VLOOKUP(B8:B150,'RELATÓRIO ACC'!B:P,15,FALSE),"NOT PUBLISHED")</f>
        <v>21/05/2026</v>
      </c>
      <c r="M10" s="141" t="s">
        <v>462</v>
      </c>
      <c r="N10" s="749" t="s">
        <v>462</v>
      </c>
      <c r="O10" s="740" t="s">
        <v>462</v>
      </c>
      <c r="P10" s="751"/>
      <c r="Q10" s="746" t="s">
        <v>462</v>
      </c>
      <c r="R10" s="74" t="s">
        <v>462</v>
      </c>
      <c r="S10" s="749" t="s">
        <v>462</v>
      </c>
      <c r="T10" s="746" t="s">
        <v>462</v>
      </c>
      <c r="U10" s="74" t="s">
        <v>462</v>
      </c>
      <c r="V10" s="749" t="s">
        <v>462</v>
      </c>
      <c r="W10" s="746" t="s">
        <v>462</v>
      </c>
      <c r="X10" s="74" t="s">
        <v>462</v>
      </c>
      <c r="Y10" s="749" t="s">
        <v>462</v>
      </c>
      <c r="Z10" s="746" t="s">
        <v>462</v>
      </c>
      <c r="AA10" s="74" t="s">
        <v>462</v>
      </c>
      <c r="AB10" s="749" t="s">
        <v>462</v>
      </c>
      <c r="AC10" s="746" t="s">
        <v>462</v>
      </c>
      <c r="AD10" s="74" t="s">
        <v>462</v>
      </c>
      <c r="AE10" s="753" t="s">
        <v>462</v>
      </c>
      <c r="AF10" s="746" t="s">
        <v>462</v>
      </c>
      <c r="AG10" s="74" t="s">
        <v>462</v>
      </c>
      <c r="AH10" s="753" t="s">
        <v>462</v>
      </c>
      <c r="AI10" s="746" t="s">
        <v>462</v>
      </c>
      <c r="AJ10" s="74" t="s">
        <v>462</v>
      </c>
      <c r="AK10" s="753" t="s">
        <v>462</v>
      </c>
      <c r="AL10" s="746" t="s">
        <v>462</v>
      </c>
      <c r="AM10" s="74" t="s">
        <v>462</v>
      </c>
      <c r="AN10" s="753" t="s">
        <v>462</v>
      </c>
      <c r="AO10" s="746" t="s">
        <v>462</v>
      </c>
      <c r="AP10" s="74" t="s">
        <v>462</v>
      </c>
      <c r="AQ10" s="753" t="s">
        <v>462</v>
      </c>
      <c r="AR10" s="746" t="s">
        <v>462</v>
      </c>
      <c r="AS10" s="74" t="s">
        <v>462</v>
      </c>
      <c r="AT10" s="753" t="s">
        <v>462</v>
      </c>
      <c r="AU10" s="746" t="s">
        <v>462</v>
      </c>
      <c r="AV10" s="74" t="s">
        <v>462</v>
      </c>
      <c r="AW10" s="753" t="s">
        <v>462</v>
      </c>
      <c r="AX10" s="746" t="s">
        <v>462</v>
      </c>
      <c r="AY10" s="74" t="s">
        <v>462</v>
      </c>
      <c r="AZ10" s="746" t="s">
        <v>462</v>
      </c>
      <c r="BA10" s="68" t="s">
        <v>462</v>
      </c>
      <c r="BB10" s="68" t="s">
        <v>462</v>
      </c>
      <c r="BC10" s="68" t="s">
        <v>462</v>
      </c>
      <c r="BD10" s="68" t="s">
        <v>462</v>
      </c>
      <c r="BE10" s="68" t="s">
        <v>462</v>
      </c>
      <c r="BF10" s="68" t="s">
        <v>462</v>
      </c>
      <c r="BG10" s="68" t="s">
        <v>462</v>
      </c>
      <c r="BH10" s="68" t="s">
        <v>462</v>
      </c>
      <c r="BI10" s="68" t="s">
        <v>462</v>
      </c>
      <c r="BJ10" s="68" t="s">
        <v>462</v>
      </c>
      <c r="BK10" s="68" t="s">
        <v>462</v>
      </c>
      <c r="BL10" s="68" t="s">
        <v>462</v>
      </c>
      <c r="BM10" s="68" t="s">
        <v>462</v>
      </c>
      <c r="BN10" s="68" t="s">
        <v>462</v>
      </c>
      <c r="BO10" s="68" t="s">
        <v>462</v>
      </c>
      <c r="BP10" s="68" t="s">
        <v>462</v>
      </c>
      <c r="BQ10" s="68" t="s">
        <v>462</v>
      </c>
      <c r="BR10" s="68" t="s">
        <v>462</v>
      </c>
      <c r="BS10" s="68" t="s">
        <v>462</v>
      </c>
      <c r="BT10" s="68" t="s">
        <v>462</v>
      </c>
      <c r="BU10" s="68" t="s">
        <v>462</v>
      </c>
      <c r="BV10" s="68" t="s">
        <v>462</v>
      </c>
      <c r="BW10" s="68" t="s">
        <v>462</v>
      </c>
      <c r="BX10" s="68" t="s">
        <v>462</v>
      </c>
      <c r="BY10" s="68" t="s">
        <v>462</v>
      </c>
      <c r="BZ10" s="68" t="s">
        <v>462</v>
      </c>
      <c r="CA10" s="68" t="s">
        <v>462</v>
      </c>
      <c r="CB10" s="68" t="s">
        <v>462</v>
      </c>
      <c r="CC10" s="68" t="s">
        <v>462</v>
      </c>
      <c r="CD10" s="68" t="s">
        <v>462</v>
      </c>
      <c r="CE10" s="68" t="s">
        <v>462</v>
      </c>
      <c r="CF10" s="68" t="s">
        <v>462</v>
      </c>
      <c r="CG10" s="68" t="s">
        <v>462</v>
      </c>
      <c r="CH10" s="68" t="s">
        <v>462</v>
      </c>
      <c r="CI10" s="68" t="s">
        <v>462</v>
      </c>
      <c r="CJ10" s="68" t="s">
        <v>462</v>
      </c>
      <c r="CK10" s="68" t="s">
        <v>462</v>
      </c>
      <c r="CL10" s="68" t="s">
        <v>462</v>
      </c>
      <c r="CM10" s="68" t="s">
        <v>462</v>
      </c>
      <c r="CN10" s="68" t="s">
        <v>462</v>
      </c>
      <c r="CO10" s="68" t="s">
        <v>462</v>
      </c>
      <c r="CP10" s="68" t="s">
        <v>462</v>
      </c>
      <c r="CQ10" s="68" t="s">
        <v>462</v>
      </c>
      <c r="CR10" s="68" t="s">
        <v>462</v>
      </c>
      <c r="CS10" s="68" t="s">
        <v>462</v>
      </c>
      <c r="CT10" s="68" t="s">
        <v>462</v>
      </c>
      <c r="CU10" s="68" t="s">
        <v>462</v>
      </c>
      <c r="CV10" s="68" t="s">
        <v>462</v>
      </c>
      <c r="CW10" s="68" t="s">
        <v>462</v>
      </c>
      <c r="CX10" s="68" t="s">
        <v>462</v>
      </c>
      <c r="CY10" s="68" t="s">
        <v>462</v>
      </c>
      <c r="CZ10" s="68" t="s">
        <v>462</v>
      </c>
      <c r="DA10" s="68" t="s">
        <v>462</v>
      </c>
      <c r="DB10" s="68" t="s">
        <v>462</v>
      </c>
      <c r="DC10" s="68" t="s">
        <v>462</v>
      </c>
      <c r="DD10" s="68" t="s">
        <v>462</v>
      </c>
      <c r="DE10" s="68" t="s">
        <v>462</v>
      </c>
      <c r="DF10" s="68" t="s">
        <v>462</v>
      </c>
      <c r="DG10" s="68" t="s">
        <v>462</v>
      </c>
      <c r="DH10" s="68" t="s">
        <v>462</v>
      </c>
      <c r="DI10" s="68" t="s">
        <v>462</v>
      </c>
      <c r="DJ10" s="68" t="s">
        <v>462</v>
      </c>
      <c r="DK10" s="68" t="s">
        <v>462</v>
      </c>
      <c r="DL10" s="68" t="s">
        <v>462</v>
      </c>
      <c r="DM10" s="68" t="s">
        <v>462</v>
      </c>
      <c r="DN10" s="68" t="s">
        <v>462</v>
      </c>
      <c r="DO10" s="746" t="s">
        <v>462</v>
      </c>
      <c r="DP10" s="746" t="s">
        <v>462</v>
      </c>
      <c r="DQ10" s="746" t="s">
        <v>462</v>
      </c>
      <c r="DR10" s="746" t="s">
        <v>462</v>
      </c>
      <c r="DS10" s="746" t="s">
        <v>462</v>
      </c>
      <c r="DT10" s="746" t="s">
        <v>462</v>
      </c>
      <c r="DU10" s="746" t="s">
        <v>462</v>
      </c>
      <c r="DV10" s="746" t="s">
        <v>462</v>
      </c>
      <c r="DW10" s="746" t="s">
        <v>462</v>
      </c>
      <c r="DX10" s="746" t="s">
        <v>462</v>
      </c>
      <c r="DY10" s="746" t="s">
        <v>462</v>
      </c>
      <c r="DZ10" s="746" t="s">
        <v>462</v>
      </c>
      <c r="EA10" s="746" t="s">
        <v>462</v>
      </c>
      <c r="EB10" s="746" t="s">
        <v>462</v>
      </c>
      <c r="EC10" s="746" t="s">
        <v>462</v>
      </c>
      <c r="ED10" s="111"/>
      <c r="EE10" s="111"/>
      <c r="EF10" s="111"/>
    </row>
    <row r="11" ht="15.0" customHeight="1" outlineLevel="1">
      <c r="A11" s="60">
        <v>4.0</v>
      </c>
      <c r="B11" s="747" t="s">
        <v>463</v>
      </c>
      <c r="C11" s="747" t="s">
        <v>464</v>
      </c>
      <c r="D11" s="71" t="s">
        <v>85</v>
      </c>
      <c r="E11" s="141" t="s">
        <v>465</v>
      </c>
      <c r="F11" s="125">
        <v>1111.0</v>
      </c>
      <c r="G11" s="139" t="s">
        <v>86</v>
      </c>
      <c r="H11" s="139">
        <v>1130.0</v>
      </c>
      <c r="I11" s="74" t="str">
        <f>IFERROR(VLOOKUP(C9:C151,'R22 RELATÓRIO ACC'!B:F,5,FALSE),"NOT PUBLISHED")</f>
        <v>NOT PUBLISHED</v>
      </c>
      <c r="J11" s="74" t="str">
        <f>IFERROR(VLOOKUP(C9:C151,'R22 RELATÓRIO ACC'!B:P,15,FALSE),"NOT PUBLISHED")</f>
        <v>NOT PUBLISHED</v>
      </c>
      <c r="K11" s="141" t="str">
        <f>IFERROR(VLOOKUP(B9:B151,'RELATÓRIO ACC'!B:F,5,FALSE),"NOT PUBLISHED")</f>
        <v>NOT PUBLISHED</v>
      </c>
      <c r="L11" s="748" t="str">
        <f>IFERROR(VLOOKUP(B9:B151,'RELATÓRIO ACC'!B:P,15,FALSE),"NOT PUBLISHED")</f>
        <v>NOT PUBLISHED</v>
      </c>
      <c r="M11" s="141" t="s">
        <v>466</v>
      </c>
      <c r="N11" s="749" t="s">
        <v>466</v>
      </c>
      <c r="O11" s="740" t="s">
        <v>466</v>
      </c>
      <c r="P11" s="751"/>
      <c r="Q11" s="746" t="s">
        <v>466</v>
      </c>
      <c r="R11" s="74" t="s">
        <v>462</v>
      </c>
      <c r="S11" s="749" t="s">
        <v>466</v>
      </c>
      <c r="T11" s="746" t="s">
        <v>466</v>
      </c>
      <c r="U11" s="74" t="s">
        <v>462</v>
      </c>
      <c r="V11" s="749" t="s">
        <v>466</v>
      </c>
      <c r="W11" s="746" t="s">
        <v>466</v>
      </c>
      <c r="X11" s="749" t="s">
        <v>462</v>
      </c>
      <c r="Y11" s="749" t="s">
        <v>466</v>
      </c>
      <c r="Z11" s="746" t="s">
        <v>466</v>
      </c>
      <c r="AA11" s="749" t="s">
        <v>462</v>
      </c>
      <c r="AB11" s="753" t="s">
        <v>466</v>
      </c>
      <c r="AC11" s="746" t="s">
        <v>466</v>
      </c>
      <c r="AD11" s="749" t="s">
        <v>462</v>
      </c>
      <c r="AE11" s="753" t="s">
        <v>466</v>
      </c>
      <c r="AF11" s="746" t="s">
        <v>466</v>
      </c>
      <c r="AG11" s="749" t="s">
        <v>462</v>
      </c>
      <c r="AH11" s="753" t="s">
        <v>466</v>
      </c>
      <c r="AI11" s="746" t="s">
        <v>466</v>
      </c>
      <c r="AJ11" s="749" t="s">
        <v>462</v>
      </c>
      <c r="AK11" s="753" t="s">
        <v>466</v>
      </c>
      <c r="AL11" s="746" t="s">
        <v>466</v>
      </c>
      <c r="AM11" s="749" t="s">
        <v>462</v>
      </c>
      <c r="AN11" s="753" t="s">
        <v>466</v>
      </c>
      <c r="AO11" s="746" t="s">
        <v>466</v>
      </c>
      <c r="AP11" s="749" t="s">
        <v>462</v>
      </c>
      <c r="AQ11" s="753" t="s">
        <v>466</v>
      </c>
      <c r="AR11" s="746" t="s">
        <v>466</v>
      </c>
      <c r="AS11" s="749" t="s">
        <v>462</v>
      </c>
      <c r="AT11" s="753" t="s">
        <v>466</v>
      </c>
      <c r="AU11" s="746" t="s">
        <v>466</v>
      </c>
      <c r="AV11" s="749" t="s">
        <v>462</v>
      </c>
      <c r="AW11" s="753" t="s">
        <v>466</v>
      </c>
      <c r="AX11" s="746" t="s">
        <v>466</v>
      </c>
      <c r="AY11" s="749" t="s">
        <v>462</v>
      </c>
      <c r="AZ11" s="753" t="s">
        <v>466</v>
      </c>
      <c r="BA11" s="746" t="s">
        <v>466</v>
      </c>
      <c r="BB11" s="749" t="s">
        <v>462</v>
      </c>
      <c r="BC11" s="753" t="s">
        <v>466</v>
      </c>
      <c r="BD11" s="746" t="s">
        <v>466</v>
      </c>
      <c r="BE11" s="749" t="s">
        <v>462</v>
      </c>
      <c r="BF11" s="753" t="s">
        <v>466</v>
      </c>
      <c r="BG11" s="746" t="s">
        <v>466</v>
      </c>
      <c r="BH11" s="749" t="s">
        <v>462</v>
      </c>
      <c r="BI11" s="753" t="s">
        <v>466</v>
      </c>
      <c r="BJ11" s="746" t="s">
        <v>466</v>
      </c>
      <c r="BK11" s="749" t="s">
        <v>462</v>
      </c>
      <c r="BL11" s="753" t="s">
        <v>466</v>
      </c>
      <c r="BM11" s="746" t="s">
        <v>466</v>
      </c>
      <c r="BN11" s="749" t="s">
        <v>462</v>
      </c>
      <c r="BO11" s="753" t="s">
        <v>466</v>
      </c>
      <c r="BP11" s="746" t="s">
        <v>466</v>
      </c>
      <c r="BQ11" s="749" t="s">
        <v>462</v>
      </c>
      <c r="BR11" s="753" t="s">
        <v>466</v>
      </c>
      <c r="BS11" s="746" t="s">
        <v>466</v>
      </c>
      <c r="BT11" s="749" t="s">
        <v>462</v>
      </c>
      <c r="BU11" s="753" t="s">
        <v>466</v>
      </c>
      <c r="BV11" s="746" t="s">
        <v>466</v>
      </c>
      <c r="BW11" s="749" t="s">
        <v>462</v>
      </c>
      <c r="BX11" s="753" t="s">
        <v>466</v>
      </c>
      <c r="BY11" s="746" t="s">
        <v>466</v>
      </c>
      <c r="BZ11" s="749" t="s">
        <v>462</v>
      </c>
      <c r="CA11" s="753" t="s">
        <v>466</v>
      </c>
      <c r="CB11" s="746" t="s">
        <v>466</v>
      </c>
      <c r="CC11" s="749" t="s">
        <v>462</v>
      </c>
      <c r="CD11" s="753" t="s">
        <v>466</v>
      </c>
      <c r="CE11" s="746" t="s">
        <v>466</v>
      </c>
      <c r="CF11" s="749" t="s">
        <v>462</v>
      </c>
      <c r="CG11" s="753" t="s">
        <v>466</v>
      </c>
      <c r="CH11" s="746" t="s">
        <v>466</v>
      </c>
      <c r="CI11" s="749" t="s">
        <v>462</v>
      </c>
      <c r="CJ11" s="753" t="s">
        <v>466</v>
      </c>
      <c r="CK11" s="746" t="s">
        <v>466</v>
      </c>
      <c r="CL11" s="749" t="s">
        <v>462</v>
      </c>
      <c r="CM11" s="753" t="s">
        <v>466</v>
      </c>
      <c r="CN11" s="746" t="s">
        <v>466</v>
      </c>
      <c r="CO11" s="749" t="s">
        <v>462</v>
      </c>
      <c r="CP11" s="753" t="s">
        <v>466</v>
      </c>
      <c r="CQ11" s="746" t="s">
        <v>466</v>
      </c>
      <c r="CR11" s="749" t="s">
        <v>462</v>
      </c>
      <c r="CS11" s="753" t="s">
        <v>466</v>
      </c>
      <c r="CT11" s="746" t="s">
        <v>466</v>
      </c>
      <c r="CU11" s="749" t="s">
        <v>462</v>
      </c>
      <c r="CV11" s="753" t="s">
        <v>466</v>
      </c>
      <c r="CW11" s="746" t="s">
        <v>466</v>
      </c>
      <c r="CX11" s="749" t="s">
        <v>462</v>
      </c>
      <c r="CY11" s="753" t="s">
        <v>466</v>
      </c>
      <c r="CZ11" s="746" t="s">
        <v>466</v>
      </c>
      <c r="DA11" s="749" t="s">
        <v>462</v>
      </c>
      <c r="DB11" s="753" t="s">
        <v>466</v>
      </c>
      <c r="DC11" s="746" t="s">
        <v>466</v>
      </c>
      <c r="DD11" s="749" t="s">
        <v>462</v>
      </c>
      <c r="DE11" s="753" t="s">
        <v>466</v>
      </c>
      <c r="DF11" s="746" t="s">
        <v>466</v>
      </c>
      <c r="DG11" s="749" t="s">
        <v>462</v>
      </c>
      <c r="DH11" s="753" t="s">
        <v>466</v>
      </c>
      <c r="DI11" s="746" t="s">
        <v>466</v>
      </c>
      <c r="DJ11" s="749" t="s">
        <v>462</v>
      </c>
      <c r="DK11" s="753" t="s">
        <v>466</v>
      </c>
      <c r="DL11" s="746" t="s">
        <v>466</v>
      </c>
      <c r="DM11" s="749" t="s">
        <v>462</v>
      </c>
      <c r="DN11" s="753" t="s">
        <v>466</v>
      </c>
      <c r="DO11" s="746" t="s">
        <v>466</v>
      </c>
      <c r="DP11" s="749" t="s">
        <v>462</v>
      </c>
      <c r="DQ11" s="753" t="s">
        <v>466</v>
      </c>
      <c r="DR11" s="746" t="s">
        <v>466</v>
      </c>
      <c r="DS11" s="749" t="s">
        <v>462</v>
      </c>
      <c r="DT11" s="753" t="s">
        <v>466</v>
      </c>
      <c r="DU11" s="746" t="s">
        <v>466</v>
      </c>
      <c r="DV11" s="749" t="s">
        <v>462</v>
      </c>
      <c r="DW11" s="753" t="s">
        <v>466</v>
      </c>
      <c r="DX11" s="746" t="s">
        <v>466</v>
      </c>
      <c r="DY11" s="749" t="s">
        <v>462</v>
      </c>
      <c r="DZ11" s="753" t="s">
        <v>466</v>
      </c>
      <c r="EA11" s="746" t="s">
        <v>466</v>
      </c>
      <c r="EB11" s="749" t="s">
        <v>462</v>
      </c>
      <c r="EC11" s="753" t="s">
        <v>466</v>
      </c>
      <c r="ED11" s="68"/>
      <c r="EE11" s="68"/>
      <c r="EF11" s="68"/>
    </row>
    <row r="12" ht="15.0" customHeight="1" outlineLevel="1">
      <c r="A12" s="60">
        <v>6.0</v>
      </c>
      <c r="B12" s="747" t="s">
        <v>467</v>
      </c>
      <c r="C12" s="747" t="s">
        <v>468</v>
      </c>
      <c r="D12" s="71" t="s">
        <v>85</v>
      </c>
      <c r="E12" s="146" t="s">
        <v>469</v>
      </c>
      <c r="F12" s="72">
        <v>1102.0</v>
      </c>
      <c r="G12" s="139" t="s">
        <v>86</v>
      </c>
      <c r="H12" s="139">
        <v>1130.0</v>
      </c>
      <c r="I12" s="74" t="str">
        <f>IFERROR(VLOOKUP(C10:C152,'R22 RELATÓRIO ACC'!B:F,5,FALSE),"NOT PUBLISHED")</f>
        <v>NOT PUBLISHED</v>
      </c>
      <c r="J12" s="74" t="str">
        <f>IFERROR(VLOOKUP(C10:C152,'R22 RELATÓRIO ACC'!B:P,15,FALSE),"NOT PUBLISHED")</f>
        <v>NOT PUBLISHED</v>
      </c>
      <c r="K12" s="141" t="str">
        <f>IFERROR(VLOOKUP(B10:B152,'RELATÓRIO ACC'!B:F,5,FALSE),"NOT PUBLISHED")</f>
        <v>NOT PUBLISHED</v>
      </c>
      <c r="L12" s="748" t="str">
        <f>IFERROR(VLOOKUP(B10:B152,'RELATÓRIO ACC'!B:P,15,FALSE),"NOT PUBLISHED")</f>
        <v>NOT PUBLISHED</v>
      </c>
      <c r="M12" s="141" t="s">
        <v>466</v>
      </c>
      <c r="N12" s="749" t="s">
        <v>466</v>
      </c>
      <c r="O12" s="740" t="s">
        <v>466</v>
      </c>
      <c r="P12" s="751"/>
      <c r="Q12" s="746" t="s">
        <v>466</v>
      </c>
      <c r="R12" s="74" t="s">
        <v>462</v>
      </c>
      <c r="S12" s="749" t="s">
        <v>466</v>
      </c>
      <c r="T12" s="746" t="s">
        <v>466</v>
      </c>
      <c r="U12" s="74" t="s">
        <v>462</v>
      </c>
      <c r="V12" s="749" t="s">
        <v>466</v>
      </c>
      <c r="W12" s="746" t="s">
        <v>466</v>
      </c>
      <c r="X12" s="74" t="s">
        <v>462</v>
      </c>
      <c r="Y12" s="749" t="s">
        <v>466</v>
      </c>
      <c r="Z12" s="746" t="s">
        <v>466</v>
      </c>
      <c r="AA12" s="74" t="s">
        <v>462</v>
      </c>
      <c r="AB12" s="753" t="s">
        <v>466</v>
      </c>
      <c r="AC12" s="746" t="s">
        <v>466</v>
      </c>
      <c r="AD12" s="74" t="s">
        <v>462</v>
      </c>
      <c r="AE12" s="753" t="s">
        <v>466</v>
      </c>
      <c r="AF12" s="746" t="s">
        <v>466</v>
      </c>
      <c r="AG12" s="74" t="s">
        <v>462</v>
      </c>
      <c r="AH12" s="753" t="s">
        <v>466</v>
      </c>
      <c r="AI12" s="746" t="s">
        <v>466</v>
      </c>
      <c r="AJ12" s="74" t="s">
        <v>462</v>
      </c>
      <c r="AK12" s="753" t="s">
        <v>466</v>
      </c>
      <c r="AL12" s="746" t="s">
        <v>466</v>
      </c>
      <c r="AM12" s="74" t="s">
        <v>462</v>
      </c>
      <c r="AN12" s="753" t="s">
        <v>466</v>
      </c>
      <c r="AO12" s="746" t="s">
        <v>466</v>
      </c>
      <c r="AP12" s="74" t="s">
        <v>462</v>
      </c>
      <c r="AQ12" s="753" t="s">
        <v>466</v>
      </c>
      <c r="AR12" s="746" t="s">
        <v>466</v>
      </c>
      <c r="AS12" s="74" t="s">
        <v>462</v>
      </c>
      <c r="AT12" s="753" t="s">
        <v>466</v>
      </c>
      <c r="AU12" s="746" t="s">
        <v>466</v>
      </c>
      <c r="AV12" s="74" t="s">
        <v>462</v>
      </c>
      <c r="AW12" s="753" t="s">
        <v>466</v>
      </c>
      <c r="AX12" s="746" t="s">
        <v>466</v>
      </c>
      <c r="AY12" s="74" t="s">
        <v>462</v>
      </c>
      <c r="AZ12" s="753" t="s">
        <v>466</v>
      </c>
      <c r="BA12" s="746" t="s">
        <v>466</v>
      </c>
      <c r="BB12" s="74" t="s">
        <v>462</v>
      </c>
      <c r="BC12" s="753" t="s">
        <v>466</v>
      </c>
      <c r="BD12" s="746" t="s">
        <v>466</v>
      </c>
      <c r="BE12" s="74" t="s">
        <v>462</v>
      </c>
      <c r="BF12" s="753" t="s">
        <v>466</v>
      </c>
      <c r="BG12" s="746" t="s">
        <v>466</v>
      </c>
      <c r="BH12" s="74" t="s">
        <v>462</v>
      </c>
      <c r="BI12" s="753" t="s">
        <v>466</v>
      </c>
      <c r="BJ12" s="746" t="s">
        <v>466</v>
      </c>
      <c r="BK12" s="74" t="s">
        <v>462</v>
      </c>
      <c r="BL12" s="753" t="s">
        <v>466</v>
      </c>
      <c r="BM12" s="746" t="s">
        <v>466</v>
      </c>
      <c r="BN12" s="74" t="s">
        <v>462</v>
      </c>
      <c r="BO12" s="753" t="s">
        <v>466</v>
      </c>
      <c r="BP12" s="746" t="s">
        <v>466</v>
      </c>
      <c r="BQ12" s="74" t="s">
        <v>462</v>
      </c>
      <c r="BR12" s="753" t="s">
        <v>466</v>
      </c>
      <c r="BS12" s="746" t="s">
        <v>466</v>
      </c>
      <c r="BT12" s="74" t="s">
        <v>462</v>
      </c>
      <c r="BU12" s="753" t="s">
        <v>466</v>
      </c>
      <c r="BV12" s="746" t="s">
        <v>466</v>
      </c>
      <c r="BW12" s="74" t="s">
        <v>462</v>
      </c>
      <c r="BX12" s="753" t="s">
        <v>466</v>
      </c>
      <c r="BY12" s="746" t="s">
        <v>466</v>
      </c>
      <c r="BZ12" s="74" t="s">
        <v>462</v>
      </c>
      <c r="CA12" s="753" t="s">
        <v>466</v>
      </c>
      <c r="CB12" s="746" t="s">
        <v>466</v>
      </c>
      <c r="CC12" s="74" t="s">
        <v>462</v>
      </c>
      <c r="CD12" s="753" t="s">
        <v>466</v>
      </c>
      <c r="CE12" s="746" t="s">
        <v>466</v>
      </c>
      <c r="CF12" s="74" t="s">
        <v>462</v>
      </c>
      <c r="CG12" s="753" t="s">
        <v>466</v>
      </c>
      <c r="CH12" s="746" t="s">
        <v>466</v>
      </c>
      <c r="CI12" s="74" t="s">
        <v>462</v>
      </c>
      <c r="CJ12" s="753" t="s">
        <v>466</v>
      </c>
      <c r="CK12" s="746" t="s">
        <v>466</v>
      </c>
      <c r="CL12" s="74" t="s">
        <v>462</v>
      </c>
      <c r="CM12" s="753" t="s">
        <v>466</v>
      </c>
      <c r="CN12" s="746" t="s">
        <v>466</v>
      </c>
      <c r="CO12" s="74" t="s">
        <v>462</v>
      </c>
      <c r="CP12" s="753" t="s">
        <v>466</v>
      </c>
      <c r="CQ12" s="746" t="s">
        <v>466</v>
      </c>
      <c r="CR12" s="74" t="s">
        <v>462</v>
      </c>
      <c r="CS12" s="753" t="s">
        <v>466</v>
      </c>
      <c r="CT12" s="746" t="s">
        <v>466</v>
      </c>
      <c r="CU12" s="74" t="s">
        <v>462</v>
      </c>
      <c r="CV12" s="753" t="s">
        <v>466</v>
      </c>
      <c r="CW12" s="746" t="s">
        <v>466</v>
      </c>
      <c r="CX12" s="74" t="s">
        <v>462</v>
      </c>
      <c r="CY12" s="753" t="s">
        <v>466</v>
      </c>
      <c r="CZ12" s="746" t="s">
        <v>466</v>
      </c>
      <c r="DA12" s="74" t="s">
        <v>462</v>
      </c>
      <c r="DB12" s="753" t="s">
        <v>466</v>
      </c>
      <c r="DC12" s="746" t="s">
        <v>466</v>
      </c>
      <c r="DD12" s="74" t="s">
        <v>462</v>
      </c>
      <c r="DE12" s="753" t="s">
        <v>466</v>
      </c>
      <c r="DF12" s="746" t="s">
        <v>466</v>
      </c>
      <c r="DG12" s="74" t="s">
        <v>462</v>
      </c>
      <c r="DH12" s="753" t="s">
        <v>466</v>
      </c>
      <c r="DI12" s="746" t="s">
        <v>466</v>
      </c>
      <c r="DJ12" s="74" t="s">
        <v>462</v>
      </c>
      <c r="DK12" s="753" t="s">
        <v>466</v>
      </c>
      <c r="DL12" s="746" t="s">
        <v>466</v>
      </c>
      <c r="DM12" s="74" t="s">
        <v>462</v>
      </c>
      <c r="DN12" s="753" t="s">
        <v>466</v>
      </c>
      <c r="DO12" s="746" t="s">
        <v>466</v>
      </c>
      <c r="DP12" s="74" t="s">
        <v>462</v>
      </c>
      <c r="DQ12" s="753" t="s">
        <v>466</v>
      </c>
      <c r="DR12" s="746" t="s">
        <v>466</v>
      </c>
      <c r="DS12" s="74" t="s">
        <v>462</v>
      </c>
      <c r="DT12" s="753" t="s">
        <v>466</v>
      </c>
      <c r="DU12" s="746" t="s">
        <v>466</v>
      </c>
      <c r="DV12" s="74" t="s">
        <v>462</v>
      </c>
      <c r="DW12" s="753" t="s">
        <v>466</v>
      </c>
      <c r="DX12" s="746" t="s">
        <v>466</v>
      </c>
      <c r="DY12" s="74" t="s">
        <v>462</v>
      </c>
      <c r="DZ12" s="753" t="s">
        <v>466</v>
      </c>
      <c r="EA12" s="746" t="s">
        <v>466</v>
      </c>
      <c r="EB12" s="74" t="s">
        <v>462</v>
      </c>
      <c r="EC12" s="753" t="s">
        <v>466</v>
      </c>
      <c r="ED12" s="68"/>
      <c r="EE12" s="68"/>
      <c r="EF12" s="68"/>
    </row>
    <row r="13" ht="15.0" customHeight="1" outlineLevel="1">
      <c r="A13" s="60">
        <v>10.0</v>
      </c>
      <c r="B13" s="747" t="s">
        <v>95</v>
      </c>
      <c r="C13" s="747" t="s">
        <v>96</v>
      </c>
      <c r="D13" s="71" t="s">
        <v>85</v>
      </c>
      <c r="E13" s="138" t="s">
        <v>97</v>
      </c>
      <c r="F13" s="125"/>
      <c r="G13" s="147" t="s">
        <v>97</v>
      </c>
      <c r="H13" s="139"/>
      <c r="I13" s="74" t="str">
        <f>IFERROR(VLOOKUP(C11:C153,'R22 RELATÓRIO ACC'!B:F,5,FALSE),"NOT PUBLISHED")</f>
        <v>NOT PUBLISHED</v>
      </c>
      <c r="J13" s="74" t="str">
        <f>IFERROR(VLOOKUP(C11:C153,'R22 RELATÓRIO ACC'!B:P,15,FALSE),"NOT PUBLISHED")</f>
        <v>NOT PUBLISHED</v>
      </c>
      <c r="K13" s="141" t="str">
        <f>IFERROR(VLOOKUP(B11:B153,'RELATÓRIO ACC'!B:F,5,FALSE),"NOT PUBLISHED")</f>
        <v>NOT PUBLISHED</v>
      </c>
      <c r="L13" s="748" t="str">
        <f>IFERROR(VLOOKUP(B11:B153,'RELATÓRIO ACC'!B:P,15,FALSE),"NOT PUBLISHED")</f>
        <v>NOT PUBLISHED</v>
      </c>
      <c r="M13" s="141" t="s">
        <v>466</v>
      </c>
      <c r="N13" s="749" t="s">
        <v>466</v>
      </c>
      <c r="O13" s="740" t="s">
        <v>466</v>
      </c>
      <c r="P13" s="751"/>
      <c r="Q13" s="746" t="s">
        <v>466</v>
      </c>
      <c r="R13" s="74" t="s">
        <v>462</v>
      </c>
      <c r="S13" s="749" t="s">
        <v>466</v>
      </c>
      <c r="T13" s="746" t="s">
        <v>466</v>
      </c>
      <c r="U13" s="74" t="s">
        <v>462</v>
      </c>
      <c r="V13" s="749" t="s">
        <v>466</v>
      </c>
      <c r="W13" s="746" t="s">
        <v>466</v>
      </c>
      <c r="X13" s="74" t="s">
        <v>462</v>
      </c>
      <c r="Y13" s="749" t="s">
        <v>466</v>
      </c>
      <c r="Z13" s="746" t="s">
        <v>466</v>
      </c>
      <c r="AA13" s="74" t="s">
        <v>462</v>
      </c>
      <c r="AB13" s="753" t="s">
        <v>466</v>
      </c>
      <c r="AC13" s="746" t="s">
        <v>466</v>
      </c>
      <c r="AD13" s="74" t="s">
        <v>462</v>
      </c>
      <c r="AE13" s="753" t="s">
        <v>466</v>
      </c>
      <c r="AF13" s="746" t="s">
        <v>466</v>
      </c>
      <c r="AG13" s="74" t="s">
        <v>462</v>
      </c>
      <c r="AH13" s="753" t="s">
        <v>466</v>
      </c>
      <c r="AI13" s="746" t="s">
        <v>466</v>
      </c>
      <c r="AJ13" s="74" t="s">
        <v>462</v>
      </c>
      <c r="AK13" s="753" t="s">
        <v>466</v>
      </c>
      <c r="AL13" s="746" t="s">
        <v>466</v>
      </c>
      <c r="AM13" s="74" t="s">
        <v>462</v>
      </c>
      <c r="AN13" s="753" t="s">
        <v>466</v>
      </c>
      <c r="AO13" s="746" t="s">
        <v>466</v>
      </c>
      <c r="AP13" s="74" t="s">
        <v>462</v>
      </c>
      <c r="AQ13" s="753" t="s">
        <v>466</v>
      </c>
      <c r="AR13" s="746" t="s">
        <v>466</v>
      </c>
      <c r="AS13" s="74" t="s">
        <v>462</v>
      </c>
      <c r="AT13" s="753" t="s">
        <v>466</v>
      </c>
      <c r="AU13" s="746" t="s">
        <v>466</v>
      </c>
      <c r="AV13" s="74" t="s">
        <v>462</v>
      </c>
      <c r="AW13" s="753" t="s">
        <v>466</v>
      </c>
      <c r="AX13" s="746" t="s">
        <v>466</v>
      </c>
      <c r="AY13" s="74" t="s">
        <v>462</v>
      </c>
      <c r="AZ13" s="753" t="s">
        <v>466</v>
      </c>
      <c r="BA13" s="746" t="s">
        <v>466</v>
      </c>
      <c r="BB13" s="74" t="s">
        <v>462</v>
      </c>
      <c r="BC13" s="753" t="s">
        <v>466</v>
      </c>
      <c r="BD13" s="746" t="s">
        <v>466</v>
      </c>
      <c r="BE13" s="74" t="s">
        <v>462</v>
      </c>
      <c r="BF13" s="753" t="s">
        <v>466</v>
      </c>
      <c r="BG13" s="746" t="s">
        <v>466</v>
      </c>
      <c r="BH13" s="74" t="s">
        <v>462</v>
      </c>
      <c r="BI13" s="753" t="s">
        <v>466</v>
      </c>
      <c r="BJ13" s="746" t="s">
        <v>466</v>
      </c>
      <c r="BK13" s="74" t="s">
        <v>462</v>
      </c>
      <c r="BL13" s="753" t="s">
        <v>466</v>
      </c>
      <c r="BM13" s="746" t="s">
        <v>466</v>
      </c>
      <c r="BN13" s="74" t="s">
        <v>462</v>
      </c>
      <c r="BO13" s="753" t="s">
        <v>466</v>
      </c>
      <c r="BP13" s="746" t="s">
        <v>466</v>
      </c>
      <c r="BQ13" s="74" t="s">
        <v>462</v>
      </c>
      <c r="BR13" s="753" t="s">
        <v>466</v>
      </c>
      <c r="BS13" s="746" t="s">
        <v>466</v>
      </c>
      <c r="BT13" s="74" t="s">
        <v>462</v>
      </c>
      <c r="BU13" s="753" t="s">
        <v>466</v>
      </c>
      <c r="BV13" s="746" t="s">
        <v>466</v>
      </c>
      <c r="BW13" s="74" t="s">
        <v>462</v>
      </c>
      <c r="BX13" s="753" t="s">
        <v>466</v>
      </c>
      <c r="BY13" s="746" t="s">
        <v>466</v>
      </c>
      <c r="BZ13" s="74" t="s">
        <v>462</v>
      </c>
      <c r="CA13" s="753" t="s">
        <v>466</v>
      </c>
      <c r="CB13" s="746" t="s">
        <v>466</v>
      </c>
      <c r="CC13" s="74" t="s">
        <v>462</v>
      </c>
      <c r="CD13" s="753" t="s">
        <v>466</v>
      </c>
      <c r="CE13" s="746" t="s">
        <v>466</v>
      </c>
      <c r="CF13" s="74" t="s">
        <v>462</v>
      </c>
      <c r="CG13" s="753" t="s">
        <v>466</v>
      </c>
      <c r="CH13" s="746" t="s">
        <v>466</v>
      </c>
      <c r="CI13" s="74" t="s">
        <v>462</v>
      </c>
      <c r="CJ13" s="753" t="s">
        <v>466</v>
      </c>
      <c r="CK13" s="746" t="s">
        <v>466</v>
      </c>
      <c r="CL13" s="74" t="s">
        <v>462</v>
      </c>
      <c r="CM13" s="753" t="s">
        <v>466</v>
      </c>
      <c r="CN13" s="746" t="s">
        <v>466</v>
      </c>
      <c r="CO13" s="74" t="s">
        <v>462</v>
      </c>
      <c r="CP13" s="753" t="s">
        <v>466</v>
      </c>
      <c r="CQ13" s="746" t="s">
        <v>466</v>
      </c>
      <c r="CR13" s="74" t="s">
        <v>462</v>
      </c>
      <c r="CS13" s="753" t="s">
        <v>466</v>
      </c>
      <c r="CT13" s="746" t="s">
        <v>466</v>
      </c>
      <c r="CU13" s="74" t="s">
        <v>462</v>
      </c>
      <c r="CV13" s="753" t="s">
        <v>466</v>
      </c>
      <c r="CW13" s="746" t="s">
        <v>466</v>
      </c>
      <c r="CX13" s="74" t="s">
        <v>462</v>
      </c>
      <c r="CY13" s="753" t="s">
        <v>466</v>
      </c>
      <c r="CZ13" s="746" t="s">
        <v>466</v>
      </c>
      <c r="DA13" s="74" t="s">
        <v>462</v>
      </c>
      <c r="DB13" s="753" t="s">
        <v>466</v>
      </c>
      <c r="DC13" s="746" t="s">
        <v>466</v>
      </c>
      <c r="DD13" s="74" t="s">
        <v>462</v>
      </c>
      <c r="DE13" s="753" t="s">
        <v>466</v>
      </c>
      <c r="DF13" s="746" t="s">
        <v>466</v>
      </c>
      <c r="DG13" s="74" t="s">
        <v>462</v>
      </c>
      <c r="DH13" s="753" t="s">
        <v>466</v>
      </c>
      <c r="DI13" s="746" t="s">
        <v>466</v>
      </c>
      <c r="DJ13" s="74" t="s">
        <v>462</v>
      </c>
      <c r="DK13" s="753" t="s">
        <v>466</v>
      </c>
      <c r="DL13" s="746" t="s">
        <v>466</v>
      </c>
      <c r="DM13" s="74" t="s">
        <v>462</v>
      </c>
      <c r="DN13" s="753" t="s">
        <v>466</v>
      </c>
      <c r="DO13" s="746" t="s">
        <v>466</v>
      </c>
      <c r="DP13" s="74" t="s">
        <v>462</v>
      </c>
      <c r="DQ13" s="753" t="s">
        <v>466</v>
      </c>
      <c r="DR13" s="746" t="s">
        <v>466</v>
      </c>
      <c r="DS13" s="74" t="s">
        <v>462</v>
      </c>
      <c r="DT13" s="753" t="s">
        <v>466</v>
      </c>
      <c r="DU13" s="746" t="s">
        <v>466</v>
      </c>
      <c r="DV13" s="74" t="s">
        <v>462</v>
      </c>
      <c r="DW13" s="753" t="s">
        <v>466</v>
      </c>
      <c r="DX13" s="746" t="s">
        <v>466</v>
      </c>
      <c r="DY13" s="74" t="s">
        <v>462</v>
      </c>
      <c r="DZ13" s="753" t="s">
        <v>466</v>
      </c>
      <c r="EA13" s="746" t="s">
        <v>466</v>
      </c>
      <c r="EB13" s="74" t="s">
        <v>462</v>
      </c>
      <c r="EC13" s="753" t="s">
        <v>466</v>
      </c>
      <c r="ED13" s="68"/>
      <c r="EE13" s="68"/>
      <c r="EF13" s="68"/>
    </row>
    <row r="14" ht="15.0" customHeight="1" outlineLevel="1">
      <c r="A14" s="60">
        <v>16.0</v>
      </c>
      <c r="B14" s="747" t="s">
        <v>112</v>
      </c>
      <c r="C14" s="747" t="s">
        <v>113</v>
      </c>
      <c r="D14" s="71" t="s">
        <v>85</v>
      </c>
      <c r="E14" s="138" t="s">
        <v>114</v>
      </c>
      <c r="F14" s="754">
        <v>1106.0</v>
      </c>
      <c r="G14" s="139" t="s">
        <v>115</v>
      </c>
      <c r="H14" s="150">
        <v>0.0</v>
      </c>
      <c r="I14" s="74" t="str">
        <f>IFERROR(VLOOKUP(C12:C154,'R22 RELATÓRIO ACC'!B:F,5,FALSE),"NOT PUBLISHED")</f>
        <v>NOT PUBLISHED</v>
      </c>
      <c r="J14" s="74" t="str">
        <f>IFERROR(VLOOKUP(C12:C154,'R22 RELATÓRIO ACC'!B:P,15,FALSE),"NOT PUBLISHED")</f>
        <v>NOT PUBLISHED</v>
      </c>
      <c r="K14" s="141" t="str">
        <f>IFERROR(VLOOKUP(B12:B154,'RELATÓRIO ACC'!B:F,5,FALSE),"NOT PUBLISHED")</f>
        <v>NOT PUBLISHED</v>
      </c>
      <c r="L14" s="748" t="str">
        <f>IFERROR(VLOOKUP(B12:B154,'RELATÓRIO ACC'!B:P,15,FALSE),"NOT PUBLISHED")</f>
        <v>NOT PUBLISHED</v>
      </c>
      <c r="M14" s="141" t="s">
        <v>466</v>
      </c>
      <c r="N14" s="749" t="s">
        <v>466</v>
      </c>
      <c r="O14" s="740" t="s">
        <v>466</v>
      </c>
      <c r="P14" s="751"/>
      <c r="Q14" s="746" t="s">
        <v>466</v>
      </c>
      <c r="R14" s="74" t="s">
        <v>462</v>
      </c>
      <c r="S14" s="749" t="s">
        <v>466</v>
      </c>
      <c r="T14" s="746" t="s">
        <v>466</v>
      </c>
      <c r="U14" s="74" t="s">
        <v>462</v>
      </c>
      <c r="V14" s="749" t="s">
        <v>466</v>
      </c>
      <c r="W14" s="755" t="s">
        <v>466</v>
      </c>
      <c r="X14" s="74" t="s">
        <v>462</v>
      </c>
      <c r="Y14" s="749" t="s">
        <v>466</v>
      </c>
      <c r="Z14" s="746" t="s">
        <v>466</v>
      </c>
      <c r="AA14" s="74" t="s">
        <v>462</v>
      </c>
      <c r="AB14" s="753" t="s">
        <v>466</v>
      </c>
      <c r="AC14" s="746" t="s">
        <v>466</v>
      </c>
      <c r="AD14" s="74" t="s">
        <v>462</v>
      </c>
      <c r="AE14" s="753" t="s">
        <v>466</v>
      </c>
      <c r="AF14" s="746" t="s">
        <v>466</v>
      </c>
      <c r="AG14" s="74" t="s">
        <v>462</v>
      </c>
      <c r="AH14" s="753" t="s">
        <v>466</v>
      </c>
      <c r="AI14" s="746" t="s">
        <v>466</v>
      </c>
      <c r="AJ14" s="74" t="s">
        <v>462</v>
      </c>
      <c r="AK14" s="753" t="s">
        <v>466</v>
      </c>
      <c r="AL14" s="746" t="s">
        <v>466</v>
      </c>
      <c r="AM14" s="74" t="s">
        <v>462</v>
      </c>
      <c r="AN14" s="753" t="s">
        <v>466</v>
      </c>
      <c r="AO14" s="746" t="s">
        <v>466</v>
      </c>
      <c r="AP14" s="74" t="s">
        <v>462</v>
      </c>
      <c r="AQ14" s="753" t="s">
        <v>466</v>
      </c>
      <c r="AR14" s="746" t="s">
        <v>466</v>
      </c>
      <c r="AS14" s="74" t="s">
        <v>462</v>
      </c>
      <c r="AT14" s="753" t="s">
        <v>466</v>
      </c>
      <c r="AU14" s="746" t="s">
        <v>466</v>
      </c>
      <c r="AV14" s="74" t="s">
        <v>462</v>
      </c>
      <c r="AW14" s="753" t="s">
        <v>466</v>
      </c>
      <c r="AX14" s="746" t="s">
        <v>466</v>
      </c>
      <c r="AY14" s="74" t="s">
        <v>462</v>
      </c>
      <c r="AZ14" s="753" t="s">
        <v>466</v>
      </c>
      <c r="BA14" s="746" t="s">
        <v>466</v>
      </c>
      <c r="BB14" s="74" t="s">
        <v>462</v>
      </c>
      <c r="BC14" s="753" t="s">
        <v>466</v>
      </c>
      <c r="BD14" s="746" t="s">
        <v>466</v>
      </c>
      <c r="BE14" s="74" t="s">
        <v>462</v>
      </c>
      <c r="BF14" s="753" t="s">
        <v>466</v>
      </c>
      <c r="BG14" s="746" t="s">
        <v>466</v>
      </c>
      <c r="BH14" s="74" t="s">
        <v>462</v>
      </c>
      <c r="BI14" s="753" t="s">
        <v>466</v>
      </c>
      <c r="BJ14" s="746" t="s">
        <v>466</v>
      </c>
      <c r="BK14" s="74" t="s">
        <v>462</v>
      </c>
      <c r="BL14" s="753" t="s">
        <v>466</v>
      </c>
      <c r="BM14" s="746" t="s">
        <v>466</v>
      </c>
      <c r="BN14" s="74" t="s">
        <v>462</v>
      </c>
      <c r="BO14" s="753" t="s">
        <v>466</v>
      </c>
      <c r="BP14" s="746" t="s">
        <v>466</v>
      </c>
      <c r="BQ14" s="74" t="s">
        <v>462</v>
      </c>
      <c r="BR14" s="753" t="s">
        <v>466</v>
      </c>
      <c r="BS14" s="746" t="s">
        <v>466</v>
      </c>
      <c r="BT14" s="74" t="s">
        <v>462</v>
      </c>
      <c r="BU14" s="753" t="s">
        <v>466</v>
      </c>
      <c r="BV14" s="746" t="s">
        <v>466</v>
      </c>
      <c r="BW14" s="74" t="s">
        <v>462</v>
      </c>
      <c r="BX14" s="753" t="s">
        <v>466</v>
      </c>
      <c r="BY14" s="746" t="s">
        <v>466</v>
      </c>
      <c r="BZ14" s="74" t="s">
        <v>462</v>
      </c>
      <c r="CA14" s="753" t="s">
        <v>466</v>
      </c>
      <c r="CB14" s="746" t="s">
        <v>466</v>
      </c>
      <c r="CC14" s="74" t="s">
        <v>462</v>
      </c>
      <c r="CD14" s="753" t="s">
        <v>466</v>
      </c>
      <c r="CE14" s="746" t="s">
        <v>466</v>
      </c>
      <c r="CF14" s="74" t="s">
        <v>462</v>
      </c>
      <c r="CG14" s="753" t="s">
        <v>466</v>
      </c>
      <c r="CH14" s="746" t="s">
        <v>466</v>
      </c>
      <c r="CI14" s="74" t="s">
        <v>462</v>
      </c>
      <c r="CJ14" s="753" t="s">
        <v>466</v>
      </c>
      <c r="CK14" s="746" t="s">
        <v>466</v>
      </c>
      <c r="CL14" s="74" t="s">
        <v>462</v>
      </c>
      <c r="CM14" s="753" t="s">
        <v>466</v>
      </c>
      <c r="CN14" s="746" t="s">
        <v>466</v>
      </c>
      <c r="CO14" s="74" t="s">
        <v>462</v>
      </c>
      <c r="CP14" s="753" t="s">
        <v>466</v>
      </c>
      <c r="CQ14" s="746" t="s">
        <v>466</v>
      </c>
      <c r="CR14" s="74" t="s">
        <v>462</v>
      </c>
      <c r="CS14" s="753" t="s">
        <v>466</v>
      </c>
      <c r="CT14" s="746" t="s">
        <v>466</v>
      </c>
      <c r="CU14" s="74" t="s">
        <v>462</v>
      </c>
      <c r="CV14" s="753" t="s">
        <v>466</v>
      </c>
      <c r="CW14" s="746" t="s">
        <v>466</v>
      </c>
      <c r="CX14" s="74" t="s">
        <v>462</v>
      </c>
      <c r="CY14" s="753" t="s">
        <v>466</v>
      </c>
      <c r="CZ14" s="746" t="s">
        <v>466</v>
      </c>
      <c r="DA14" s="74" t="s">
        <v>462</v>
      </c>
      <c r="DB14" s="753" t="s">
        <v>466</v>
      </c>
      <c r="DC14" s="746" t="s">
        <v>466</v>
      </c>
      <c r="DD14" s="74" t="s">
        <v>462</v>
      </c>
      <c r="DE14" s="753" t="s">
        <v>466</v>
      </c>
      <c r="DF14" s="746" t="s">
        <v>466</v>
      </c>
      <c r="DG14" s="74" t="s">
        <v>462</v>
      </c>
      <c r="DH14" s="753" t="s">
        <v>466</v>
      </c>
      <c r="DI14" s="746" t="s">
        <v>466</v>
      </c>
      <c r="DJ14" s="74" t="s">
        <v>462</v>
      </c>
      <c r="DK14" s="753" t="s">
        <v>466</v>
      </c>
      <c r="DL14" s="746" t="s">
        <v>466</v>
      </c>
      <c r="DM14" s="74" t="s">
        <v>462</v>
      </c>
      <c r="DN14" s="753" t="s">
        <v>466</v>
      </c>
      <c r="DO14" s="746" t="s">
        <v>466</v>
      </c>
      <c r="DP14" s="74" t="s">
        <v>462</v>
      </c>
      <c r="DQ14" s="753" t="s">
        <v>466</v>
      </c>
      <c r="DR14" s="746" t="s">
        <v>466</v>
      </c>
      <c r="DS14" s="74" t="s">
        <v>462</v>
      </c>
      <c r="DT14" s="753" t="s">
        <v>466</v>
      </c>
      <c r="DU14" s="746" t="s">
        <v>466</v>
      </c>
      <c r="DV14" s="74" t="s">
        <v>462</v>
      </c>
      <c r="DW14" s="753" t="s">
        <v>466</v>
      </c>
      <c r="DX14" s="746" t="s">
        <v>466</v>
      </c>
      <c r="DY14" s="74" t="s">
        <v>462</v>
      </c>
      <c r="DZ14" s="753" t="s">
        <v>466</v>
      </c>
      <c r="EA14" s="746" t="s">
        <v>466</v>
      </c>
      <c r="EB14" s="74" t="s">
        <v>462</v>
      </c>
      <c r="EC14" s="753" t="s">
        <v>466</v>
      </c>
      <c r="ED14" s="68"/>
      <c r="EE14" s="68"/>
      <c r="EF14" s="68"/>
    </row>
    <row r="15" ht="15.0" customHeight="1" outlineLevel="1">
      <c r="A15" s="60">
        <v>18.0</v>
      </c>
      <c r="B15" s="747" t="s">
        <v>116</v>
      </c>
      <c r="C15" s="747" t="s">
        <v>117</v>
      </c>
      <c r="D15" s="71" t="s">
        <v>85</v>
      </c>
      <c r="E15" s="146" t="s">
        <v>118</v>
      </c>
      <c r="F15" s="754">
        <v>1107.0</v>
      </c>
      <c r="G15" s="147" t="s">
        <v>119</v>
      </c>
      <c r="H15" s="150">
        <v>0.0</v>
      </c>
      <c r="I15" s="74" t="str">
        <f>IFERROR(VLOOKUP(C13:C155,'R22 RELATÓRIO ACC'!B:F,5,FALSE),"NOT PUBLISHED")</f>
        <v>NOT PUBLISHED</v>
      </c>
      <c r="J15" s="74" t="str">
        <f>IFERROR(VLOOKUP(C13:C155,'R22 RELATÓRIO ACC'!B:P,15,FALSE),"NOT PUBLISHED")</f>
        <v>NOT PUBLISHED</v>
      </c>
      <c r="K15" s="141" t="str">
        <f>IFERROR(VLOOKUP(B13:B155,'RELATÓRIO ACC'!B:F,5,FALSE),"NOT PUBLISHED")</f>
        <v>NOT PUBLISHED</v>
      </c>
      <c r="L15" s="748" t="str">
        <f>IFERROR(VLOOKUP(B13:B155,'RELATÓRIO ACC'!B:P,15,FALSE),"NOT PUBLISHED")</f>
        <v>NOT PUBLISHED</v>
      </c>
      <c r="M15" s="141" t="s">
        <v>466</v>
      </c>
      <c r="N15" s="749" t="s">
        <v>466</v>
      </c>
      <c r="O15" s="740" t="s">
        <v>466</v>
      </c>
      <c r="P15" s="751"/>
      <c r="Q15" s="746" t="s">
        <v>466</v>
      </c>
      <c r="R15" s="74" t="s">
        <v>462</v>
      </c>
      <c r="S15" s="749" t="s">
        <v>466</v>
      </c>
      <c r="T15" s="746" t="s">
        <v>466</v>
      </c>
      <c r="U15" s="74" t="s">
        <v>462</v>
      </c>
      <c r="V15" s="749" t="s">
        <v>466</v>
      </c>
      <c r="W15" s="746" t="s">
        <v>466</v>
      </c>
      <c r="X15" s="74" t="s">
        <v>462</v>
      </c>
      <c r="Y15" s="749" t="s">
        <v>466</v>
      </c>
      <c r="Z15" s="746" t="s">
        <v>466</v>
      </c>
      <c r="AA15" s="74" t="s">
        <v>462</v>
      </c>
      <c r="AB15" s="749" t="s">
        <v>466</v>
      </c>
      <c r="AC15" s="746" t="s">
        <v>466</v>
      </c>
      <c r="AD15" s="74" t="s">
        <v>462</v>
      </c>
      <c r="AE15" s="753" t="s">
        <v>466</v>
      </c>
      <c r="AF15" s="746" t="s">
        <v>466</v>
      </c>
      <c r="AG15" s="74" t="s">
        <v>462</v>
      </c>
      <c r="AH15" s="753" t="s">
        <v>466</v>
      </c>
      <c r="AI15" s="746" t="s">
        <v>466</v>
      </c>
      <c r="AJ15" s="74" t="s">
        <v>462</v>
      </c>
      <c r="AK15" s="753" t="s">
        <v>466</v>
      </c>
      <c r="AL15" s="746" t="s">
        <v>466</v>
      </c>
      <c r="AM15" s="74" t="s">
        <v>462</v>
      </c>
      <c r="AN15" s="753" t="s">
        <v>466</v>
      </c>
      <c r="AO15" s="746" t="s">
        <v>466</v>
      </c>
      <c r="AP15" s="74" t="s">
        <v>462</v>
      </c>
      <c r="AQ15" s="753" t="s">
        <v>466</v>
      </c>
      <c r="AR15" s="746" t="s">
        <v>466</v>
      </c>
      <c r="AS15" s="74" t="s">
        <v>462</v>
      </c>
      <c r="AT15" s="753" t="s">
        <v>466</v>
      </c>
      <c r="AU15" s="746" t="s">
        <v>466</v>
      </c>
      <c r="AV15" s="74" t="s">
        <v>462</v>
      </c>
      <c r="AW15" s="753" t="s">
        <v>466</v>
      </c>
      <c r="AX15" s="746" t="s">
        <v>466</v>
      </c>
      <c r="AY15" s="74" t="s">
        <v>462</v>
      </c>
      <c r="AZ15" s="753" t="s">
        <v>466</v>
      </c>
      <c r="BA15" s="746" t="s">
        <v>466</v>
      </c>
      <c r="BB15" s="74" t="s">
        <v>462</v>
      </c>
      <c r="BC15" s="753" t="s">
        <v>466</v>
      </c>
      <c r="BD15" s="746" t="s">
        <v>466</v>
      </c>
      <c r="BE15" s="74" t="s">
        <v>462</v>
      </c>
      <c r="BF15" s="753" t="s">
        <v>466</v>
      </c>
      <c r="BG15" s="746" t="s">
        <v>466</v>
      </c>
      <c r="BH15" s="74" t="s">
        <v>462</v>
      </c>
      <c r="BI15" s="753" t="s">
        <v>466</v>
      </c>
      <c r="BJ15" s="746" t="s">
        <v>466</v>
      </c>
      <c r="BK15" s="74" t="s">
        <v>462</v>
      </c>
      <c r="BL15" s="753" t="s">
        <v>466</v>
      </c>
      <c r="BM15" s="746" t="s">
        <v>466</v>
      </c>
      <c r="BN15" s="74" t="s">
        <v>462</v>
      </c>
      <c r="BO15" s="753" t="s">
        <v>466</v>
      </c>
      <c r="BP15" s="746" t="s">
        <v>466</v>
      </c>
      <c r="BQ15" s="74" t="s">
        <v>462</v>
      </c>
      <c r="BR15" s="753" t="s">
        <v>466</v>
      </c>
      <c r="BS15" s="746" t="s">
        <v>466</v>
      </c>
      <c r="BT15" s="74" t="s">
        <v>462</v>
      </c>
      <c r="BU15" s="753" t="s">
        <v>466</v>
      </c>
      <c r="BV15" s="746" t="s">
        <v>466</v>
      </c>
      <c r="BW15" s="74" t="s">
        <v>462</v>
      </c>
      <c r="BX15" s="753" t="s">
        <v>466</v>
      </c>
      <c r="BY15" s="746" t="s">
        <v>466</v>
      </c>
      <c r="BZ15" s="74" t="s">
        <v>462</v>
      </c>
      <c r="CA15" s="753" t="s">
        <v>466</v>
      </c>
      <c r="CB15" s="746" t="s">
        <v>466</v>
      </c>
      <c r="CC15" s="74" t="s">
        <v>462</v>
      </c>
      <c r="CD15" s="753" t="s">
        <v>466</v>
      </c>
      <c r="CE15" s="746" t="s">
        <v>466</v>
      </c>
      <c r="CF15" s="74" t="s">
        <v>462</v>
      </c>
      <c r="CG15" s="753" t="s">
        <v>466</v>
      </c>
      <c r="CH15" s="746" t="s">
        <v>466</v>
      </c>
      <c r="CI15" s="74" t="s">
        <v>462</v>
      </c>
      <c r="CJ15" s="753" t="s">
        <v>466</v>
      </c>
      <c r="CK15" s="746" t="s">
        <v>466</v>
      </c>
      <c r="CL15" s="74" t="s">
        <v>462</v>
      </c>
      <c r="CM15" s="753" t="s">
        <v>466</v>
      </c>
      <c r="CN15" s="746" t="s">
        <v>466</v>
      </c>
      <c r="CO15" s="74" t="s">
        <v>462</v>
      </c>
      <c r="CP15" s="753" t="s">
        <v>466</v>
      </c>
      <c r="CQ15" s="746" t="s">
        <v>466</v>
      </c>
      <c r="CR15" s="74" t="s">
        <v>462</v>
      </c>
      <c r="CS15" s="753" t="s">
        <v>466</v>
      </c>
      <c r="CT15" s="746" t="s">
        <v>466</v>
      </c>
      <c r="CU15" s="74" t="s">
        <v>462</v>
      </c>
      <c r="CV15" s="753" t="s">
        <v>466</v>
      </c>
      <c r="CW15" s="746" t="s">
        <v>466</v>
      </c>
      <c r="CX15" s="74" t="s">
        <v>462</v>
      </c>
      <c r="CY15" s="753" t="s">
        <v>466</v>
      </c>
      <c r="CZ15" s="746" t="s">
        <v>466</v>
      </c>
      <c r="DA15" s="74" t="s">
        <v>462</v>
      </c>
      <c r="DB15" s="753" t="s">
        <v>466</v>
      </c>
      <c r="DC15" s="746" t="s">
        <v>466</v>
      </c>
      <c r="DD15" s="74" t="s">
        <v>462</v>
      </c>
      <c r="DE15" s="753" t="s">
        <v>466</v>
      </c>
      <c r="DF15" s="746" t="s">
        <v>466</v>
      </c>
      <c r="DG15" s="74" t="s">
        <v>462</v>
      </c>
      <c r="DH15" s="753" t="s">
        <v>466</v>
      </c>
      <c r="DI15" s="746" t="s">
        <v>466</v>
      </c>
      <c r="DJ15" s="74" t="s">
        <v>462</v>
      </c>
      <c r="DK15" s="753" t="s">
        <v>466</v>
      </c>
      <c r="DL15" s="746" t="s">
        <v>466</v>
      </c>
      <c r="DM15" s="74" t="s">
        <v>462</v>
      </c>
      <c r="DN15" s="753" t="s">
        <v>466</v>
      </c>
      <c r="DO15" s="746" t="s">
        <v>466</v>
      </c>
      <c r="DP15" s="74" t="s">
        <v>462</v>
      </c>
      <c r="DQ15" s="753" t="s">
        <v>466</v>
      </c>
      <c r="DR15" s="746" t="s">
        <v>466</v>
      </c>
      <c r="DS15" s="74" t="s">
        <v>462</v>
      </c>
      <c r="DT15" s="753" t="s">
        <v>466</v>
      </c>
      <c r="DU15" s="746" t="s">
        <v>466</v>
      </c>
      <c r="DV15" s="74" t="s">
        <v>462</v>
      </c>
      <c r="DW15" s="753" t="s">
        <v>466</v>
      </c>
      <c r="DX15" s="746" t="s">
        <v>466</v>
      </c>
      <c r="DY15" s="74" t="s">
        <v>462</v>
      </c>
      <c r="DZ15" s="753" t="s">
        <v>466</v>
      </c>
      <c r="EA15" s="746" t="s">
        <v>466</v>
      </c>
      <c r="EB15" s="74" t="s">
        <v>462</v>
      </c>
      <c r="EC15" s="753" t="s">
        <v>466</v>
      </c>
      <c r="ED15" s="68"/>
      <c r="EE15" s="68"/>
      <c r="EF15" s="68"/>
    </row>
    <row r="16" ht="15.0" customHeight="1" outlineLevel="1">
      <c r="A16" s="60">
        <v>27.0</v>
      </c>
      <c r="B16" s="747" t="s">
        <v>147</v>
      </c>
      <c r="C16" s="747" t="s">
        <v>148</v>
      </c>
      <c r="D16" s="71" t="s">
        <v>85</v>
      </c>
      <c r="E16" s="146" t="s">
        <v>115</v>
      </c>
      <c r="F16" s="754">
        <v>0.0</v>
      </c>
      <c r="G16" s="150" t="s">
        <v>115</v>
      </c>
      <c r="H16" s="150">
        <v>0.0</v>
      </c>
      <c r="I16" s="74" t="str">
        <f>IFERROR(VLOOKUP(C14:C156,'R22 RELATÓRIO ACC'!B:F,5,FALSE),"NOT PUBLISHED")</f>
        <v>NOT PUBLISHED</v>
      </c>
      <c r="J16" s="74" t="str">
        <f>IFERROR(VLOOKUP(C14:C156,'R22 RELATÓRIO ACC'!B:P,15,FALSE),"NOT PUBLISHED")</f>
        <v>NOT PUBLISHED</v>
      </c>
      <c r="K16" s="141" t="str">
        <f>IFERROR(VLOOKUP(B14:B156,'RELATÓRIO ACC'!B:F,5,FALSE),"NOT PUBLISHED")</f>
        <v>NOT PUBLISHED</v>
      </c>
      <c r="L16" s="748" t="str">
        <f>IFERROR(VLOOKUP(B14:B156,'RELATÓRIO ACC'!B:P,15,FALSE),"NOT PUBLISHED")</f>
        <v>NOT PUBLISHED</v>
      </c>
      <c r="M16" s="141" t="s">
        <v>466</v>
      </c>
      <c r="N16" s="749" t="s">
        <v>466</v>
      </c>
      <c r="O16" s="740" t="s">
        <v>466</v>
      </c>
      <c r="P16" s="751"/>
      <c r="Q16" s="746" t="s">
        <v>466</v>
      </c>
      <c r="R16" s="74" t="s">
        <v>462</v>
      </c>
      <c r="S16" s="749" t="s">
        <v>466</v>
      </c>
      <c r="T16" s="746" t="s">
        <v>466</v>
      </c>
      <c r="U16" s="74" t="s">
        <v>462</v>
      </c>
      <c r="V16" s="749" t="s">
        <v>466</v>
      </c>
      <c r="W16" s="746" t="s">
        <v>466</v>
      </c>
      <c r="X16" s="74" t="s">
        <v>462</v>
      </c>
      <c r="Y16" s="749" t="s">
        <v>466</v>
      </c>
      <c r="Z16" s="746" t="s">
        <v>466</v>
      </c>
      <c r="AA16" s="74" t="s">
        <v>462</v>
      </c>
      <c r="AB16" s="750" t="s">
        <v>466</v>
      </c>
      <c r="AC16" s="746" t="s">
        <v>466</v>
      </c>
      <c r="AD16" s="74" t="s">
        <v>462</v>
      </c>
      <c r="AE16" s="750" t="s">
        <v>466</v>
      </c>
      <c r="AF16" s="746" t="s">
        <v>466</v>
      </c>
      <c r="AG16" s="74" t="s">
        <v>462</v>
      </c>
      <c r="AH16" s="750" t="s">
        <v>466</v>
      </c>
      <c r="AI16" s="746" t="s">
        <v>466</v>
      </c>
      <c r="AJ16" s="74" t="s">
        <v>462</v>
      </c>
      <c r="AK16" s="750" t="s">
        <v>466</v>
      </c>
      <c r="AL16" s="746" t="s">
        <v>466</v>
      </c>
      <c r="AM16" s="74" t="s">
        <v>462</v>
      </c>
      <c r="AN16" s="750" t="s">
        <v>466</v>
      </c>
      <c r="AO16" s="746" t="s">
        <v>466</v>
      </c>
      <c r="AP16" s="74" t="s">
        <v>462</v>
      </c>
      <c r="AQ16" s="750" t="s">
        <v>466</v>
      </c>
      <c r="AR16" s="746" t="s">
        <v>466</v>
      </c>
      <c r="AS16" s="74" t="s">
        <v>462</v>
      </c>
      <c r="AT16" s="750" t="s">
        <v>466</v>
      </c>
      <c r="AU16" s="746" t="s">
        <v>466</v>
      </c>
      <c r="AV16" s="74" t="s">
        <v>462</v>
      </c>
      <c r="AW16" s="750" t="s">
        <v>466</v>
      </c>
      <c r="AX16" s="746" t="s">
        <v>466</v>
      </c>
      <c r="AY16" s="74" t="s">
        <v>462</v>
      </c>
      <c r="AZ16" s="750" t="s">
        <v>466</v>
      </c>
      <c r="BA16" s="746" t="s">
        <v>466</v>
      </c>
      <c r="BB16" s="74" t="s">
        <v>462</v>
      </c>
      <c r="BC16" s="750" t="s">
        <v>466</v>
      </c>
      <c r="BD16" s="746" t="s">
        <v>466</v>
      </c>
      <c r="BE16" s="74" t="s">
        <v>462</v>
      </c>
      <c r="BF16" s="750" t="s">
        <v>466</v>
      </c>
      <c r="BG16" s="746" t="s">
        <v>466</v>
      </c>
      <c r="BH16" s="74" t="s">
        <v>462</v>
      </c>
      <c r="BI16" s="750" t="s">
        <v>466</v>
      </c>
      <c r="BJ16" s="746" t="s">
        <v>466</v>
      </c>
      <c r="BK16" s="74" t="s">
        <v>462</v>
      </c>
      <c r="BL16" s="750" t="s">
        <v>466</v>
      </c>
      <c r="BM16" s="746" t="s">
        <v>466</v>
      </c>
      <c r="BN16" s="74" t="s">
        <v>462</v>
      </c>
      <c r="BO16" s="750" t="s">
        <v>466</v>
      </c>
      <c r="BP16" s="746" t="s">
        <v>466</v>
      </c>
      <c r="BQ16" s="74" t="s">
        <v>462</v>
      </c>
      <c r="BR16" s="750" t="s">
        <v>466</v>
      </c>
      <c r="BS16" s="746" t="s">
        <v>466</v>
      </c>
      <c r="BT16" s="74" t="s">
        <v>462</v>
      </c>
      <c r="BU16" s="750" t="s">
        <v>466</v>
      </c>
      <c r="BV16" s="746" t="s">
        <v>466</v>
      </c>
      <c r="BW16" s="74" t="s">
        <v>462</v>
      </c>
      <c r="BX16" s="750" t="s">
        <v>466</v>
      </c>
      <c r="BY16" s="746" t="s">
        <v>466</v>
      </c>
      <c r="BZ16" s="74" t="s">
        <v>462</v>
      </c>
      <c r="CA16" s="750" t="s">
        <v>466</v>
      </c>
      <c r="CB16" s="746" t="s">
        <v>466</v>
      </c>
      <c r="CC16" s="74" t="s">
        <v>462</v>
      </c>
      <c r="CD16" s="750" t="s">
        <v>466</v>
      </c>
      <c r="CE16" s="746" t="s">
        <v>466</v>
      </c>
      <c r="CF16" s="74" t="s">
        <v>462</v>
      </c>
      <c r="CG16" s="750" t="s">
        <v>466</v>
      </c>
      <c r="CH16" s="746" t="s">
        <v>466</v>
      </c>
      <c r="CI16" s="74" t="s">
        <v>462</v>
      </c>
      <c r="CJ16" s="750" t="s">
        <v>466</v>
      </c>
      <c r="CK16" s="746" t="s">
        <v>466</v>
      </c>
      <c r="CL16" s="74" t="s">
        <v>462</v>
      </c>
      <c r="CM16" s="750" t="s">
        <v>466</v>
      </c>
      <c r="CN16" s="746" t="s">
        <v>466</v>
      </c>
      <c r="CO16" s="74" t="s">
        <v>462</v>
      </c>
      <c r="CP16" s="750" t="s">
        <v>466</v>
      </c>
      <c r="CQ16" s="746" t="s">
        <v>466</v>
      </c>
      <c r="CR16" s="74" t="s">
        <v>462</v>
      </c>
      <c r="CS16" s="750" t="s">
        <v>466</v>
      </c>
      <c r="CT16" s="746" t="s">
        <v>466</v>
      </c>
      <c r="CU16" s="74" t="s">
        <v>462</v>
      </c>
      <c r="CV16" s="750" t="s">
        <v>466</v>
      </c>
      <c r="CW16" s="746" t="s">
        <v>466</v>
      </c>
      <c r="CX16" s="74" t="s">
        <v>462</v>
      </c>
      <c r="CY16" s="750" t="s">
        <v>466</v>
      </c>
      <c r="CZ16" s="746" t="s">
        <v>466</v>
      </c>
      <c r="DA16" s="74" t="s">
        <v>462</v>
      </c>
      <c r="DB16" s="750" t="s">
        <v>466</v>
      </c>
      <c r="DC16" s="746" t="s">
        <v>466</v>
      </c>
      <c r="DD16" s="74" t="s">
        <v>462</v>
      </c>
      <c r="DE16" s="750" t="s">
        <v>466</v>
      </c>
      <c r="DF16" s="746" t="s">
        <v>466</v>
      </c>
      <c r="DG16" s="74" t="s">
        <v>462</v>
      </c>
      <c r="DH16" s="750" t="s">
        <v>466</v>
      </c>
      <c r="DI16" s="746" t="s">
        <v>466</v>
      </c>
      <c r="DJ16" s="74" t="s">
        <v>462</v>
      </c>
      <c r="DK16" s="750" t="s">
        <v>466</v>
      </c>
      <c r="DL16" s="746" t="s">
        <v>466</v>
      </c>
      <c r="DM16" s="74" t="s">
        <v>462</v>
      </c>
      <c r="DN16" s="750" t="s">
        <v>466</v>
      </c>
      <c r="DO16" s="746" t="s">
        <v>466</v>
      </c>
      <c r="DP16" s="74" t="s">
        <v>462</v>
      </c>
      <c r="DQ16" s="750" t="s">
        <v>466</v>
      </c>
      <c r="DR16" s="746" t="s">
        <v>466</v>
      </c>
      <c r="DS16" s="74" t="s">
        <v>462</v>
      </c>
      <c r="DT16" s="750" t="s">
        <v>466</v>
      </c>
      <c r="DU16" s="746" t="s">
        <v>466</v>
      </c>
      <c r="DV16" s="74" t="s">
        <v>462</v>
      </c>
      <c r="DW16" s="750" t="s">
        <v>466</v>
      </c>
      <c r="DX16" s="746" t="s">
        <v>466</v>
      </c>
      <c r="DY16" s="74" t="s">
        <v>462</v>
      </c>
      <c r="DZ16" s="750" t="s">
        <v>466</v>
      </c>
      <c r="EA16" s="746" t="s">
        <v>466</v>
      </c>
      <c r="EB16" s="74" t="s">
        <v>462</v>
      </c>
      <c r="EC16" s="750" t="s">
        <v>466</v>
      </c>
      <c r="ED16" s="68"/>
      <c r="EE16" s="68"/>
      <c r="EF16" s="68"/>
    </row>
    <row r="17" ht="15.0" customHeight="1" outlineLevel="1">
      <c r="A17" s="60">
        <v>100.0</v>
      </c>
      <c r="B17" s="747" t="s">
        <v>304</v>
      </c>
      <c r="C17" s="747" t="s">
        <v>305</v>
      </c>
      <c r="D17" s="71" t="s">
        <v>85</v>
      </c>
      <c r="E17" s="146" t="s">
        <v>303</v>
      </c>
      <c r="F17" s="72">
        <v>1122.0</v>
      </c>
      <c r="G17" s="147" t="s">
        <v>288</v>
      </c>
      <c r="H17" s="150">
        <v>0.0</v>
      </c>
      <c r="I17" s="74" t="str">
        <f>IFERROR(VLOOKUP(C15:C157,'R22 RELATÓRIO ACC'!B:F,5,FALSE),"NOT PUBLISHED")</f>
        <v>NOT PUBLISHED</v>
      </c>
      <c r="J17" s="74" t="str">
        <f>IFERROR(VLOOKUP(C15:C157,'R22 RELATÓRIO ACC'!B:P,15,FALSE),"NOT PUBLISHED")</f>
        <v>NOT PUBLISHED</v>
      </c>
      <c r="K17" s="141" t="str">
        <f>IFERROR(VLOOKUP(B15:B157,'RELATÓRIO ACC'!B:F,5,FALSE),"NOT PUBLISHED")</f>
        <v>NOT PUBLISHED</v>
      </c>
      <c r="L17" s="748" t="str">
        <f>IFERROR(VLOOKUP(B15:B157,'RELATÓRIO ACC'!B:P,15,FALSE),"NOT PUBLISHED")</f>
        <v>NOT PUBLISHED</v>
      </c>
      <c r="M17" s="141" t="s">
        <v>466</v>
      </c>
      <c r="N17" s="749" t="s">
        <v>466</v>
      </c>
      <c r="O17" s="740" t="s">
        <v>466</v>
      </c>
      <c r="P17" s="751"/>
      <c r="Q17" s="746" t="s">
        <v>466</v>
      </c>
      <c r="R17" s="74" t="s">
        <v>462</v>
      </c>
      <c r="S17" s="749" t="s">
        <v>466</v>
      </c>
      <c r="T17" s="746" t="s">
        <v>466</v>
      </c>
      <c r="U17" s="74" t="s">
        <v>462</v>
      </c>
      <c r="V17" s="749" t="s">
        <v>466</v>
      </c>
      <c r="W17" s="746" t="s">
        <v>466</v>
      </c>
      <c r="X17" s="74" t="s">
        <v>462</v>
      </c>
      <c r="Y17" s="749" t="s">
        <v>466</v>
      </c>
      <c r="Z17" s="746" t="s">
        <v>466</v>
      </c>
      <c r="AA17" s="74" t="s">
        <v>462</v>
      </c>
      <c r="AB17" s="753" t="s">
        <v>466</v>
      </c>
      <c r="AC17" s="746" t="s">
        <v>466</v>
      </c>
      <c r="AD17" s="74" t="s">
        <v>462</v>
      </c>
      <c r="AE17" s="753" t="s">
        <v>466</v>
      </c>
      <c r="AF17" s="746" t="s">
        <v>466</v>
      </c>
      <c r="AG17" s="74" t="s">
        <v>462</v>
      </c>
      <c r="AH17" s="753" t="s">
        <v>466</v>
      </c>
      <c r="AI17" s="746" t="s">
        <v>466</v>
      </c>
      <c r="AJ17" s="74" t="s">
        <v>462</v>
      </c>
      <c r="AK17" s="753" t="s">
        <v>466</v>
      </c>
      <c r="AL17" s="746" t="s">
        <v>466</v>
      </c>
      <c r="AM17" s="74" t="s">
        <v>462</v>
      </c>
      <c r="AN17" s="750" t="s">
        <v>466</v>
      </c>
      <c r="AO17" s="746" t="s">
        <v>466</v>
      </c>
      <c r="AP17" s="74" t="s">
        <v>462</v>
      </c>
      <c r="AQ17" s="750" t="s">
        <v>466</v>
      </c>
      <c r="AR17" s="746" t="s">
        <v>466</v>
      </c>
      <c r="AS17" s="74" t="s">
        <v>462</v>
      </c>
      <c r="AT17" s="750" t="s">
        <v>466</v>
      </c>
      <c r="AU17" s="746" t="s">
        <v>466</v>
      </c>
      <c r="AV17" s="74" t="s">
        <v>462</v>
      </c>
      <c r="AW17" s="750" t="s">
        <v>466</v>
      </c>
      <c r="AX17" s="746" t="s">
        <v>466</v>
      </c>
      <c r="AY17" s="74" t="s">
        <v>462</v>
      </c>
      <c r="AZ17" s="750" t="s">
        <v>466</v>
      </c>
      <c r="BA17" s="746" t="s">
        <v>466</v>
      </c>
      <c r="BB17" s="74" t="s">
        <v>462</v>
      </c>
      <c r="BC17" s="750" t="s">
        <v>466</v>
      </c>
      <c r="BD17" s="746" t="s">
        <v>466</v>
      </c>
      <c r="BE17" s="74" t="s">
        <v>462</v>
      </c>
      <c r="BF17" s="750" t="s">
        <v>466</v>
      </c>
      <c r="BG17" s="746" t="s">
        <v>466</v>
      </c>
      <c r="BH17" s="74" t="s">
        <v>462</v>
      </c>
      <c r="BI17" s="750" t="s">
        <v>466</v>
      </c>
      <c r="BJ17" s="746" t="s">
        <v>466</v>
      </c>
      <c r="BK17" s="74" t="s">
        <v>462</v>
      </c>
      <c r="BL17" s="750" t="s">
        <v>466</v>
      </c>
      <c r="BM17" s="746" t="s">
        <v>466</v>
      </c>
      <c r="BN17" s="74" t="s">
        <v>462</v>
      </c>
      <c r="BO17" s="750" t="s">
        <v>466</v>
      </c>
      <c r="BP17" s="746" t="s">
        <v>466</v>
      </c>
      <c r="BQ17" s="74" t="s">
        <v>462</v>
      </c>
      <c r="BR17" s="750" t="s">
        <v>466</v>
      </c>
      <c r="BS17" s="746" t="s">
        <v>466</v>
      </c>
      <c r="BT17" s="74" t="s">
        <v>462</v>
      </c>
      <c r="BU17" s="750" t="s">
        <v>466</v>
      </c>
      <c r="BV17" s="746" t="s">
        <v>466</v>
      </c>
      <c r="BW17" s="74" t="s">
        <v>462</v>
      </c>
      <c r="BX17" s="750" t="s">
        <v>466</v>
      </c>
      <c r="BY17" s="746" t="s">
        <v>466</v>
      </c>
      <c r="BZ17" s="74" t="s">
        <v>462</v>
      </c>
      <c r="CA17" s="750" t="s">
        <v>466</v>
      </c>
      <c r="CB17" s="746" t="s">
        <v>466</v>
      </c>
      <c r="CC17" s="74" t="s">
        <v>462</v>
      </c>
      <c r="CD17" s="750" t="s">
        <v>466</v>
      </c>
      <c r="CE17" s="746" t="s">
        <v>466</v>
      </c>
      <c r="CF17" s="74" t="s">
        <v>462</v>
      </c>
      <c r="CG17" s="750" t="s">
        <v>466</v>
      </c>
      <c r="CH17" s="746" t="s">
        <v>466</v>
      </c>
      <c r="CI17" s="74" t="s">
        <v>462</v>
      </c>
      <c r="CJ17" s="750" t="s">
        <v>466</v>
      </c>
      <c r="CK17" s="746" t="s">
        <v>466</v>
      </c>
      <c r="CL17" s="74" t="s">
        <v>462</v>
      </c>
      <c r="CM17" s="750" t="s">
        <v>466</v>
      </c>
      <c r="CN17" s="746" t="s">
        <v>466</v>
      </c>
      <c r="CO17" s="74" t="s">
        <v>462</v>
      </c>
      <c r="CP17" s="750" t="s">
        <v>466</v>
      </c>
      <c r="CQ17" s="746" t="s">
        <v>466</v>
      </c>
      <c r="CR17" s="74" t="s">
        <v>462</v>
      </c>
      <c r="CS17" s="750" t="s">
        <v>466</v>
      </c>
      <c r="CT17" s="746" t="s">
        <v>466</v>
      </c>
      <c r="CU17" s="74" t="s">
        <v>462</v>
      </c>
      <c r="CV17" s="750" t="s">
        <v>466</v>
      </c>
      <c r="CW17" s="746" t="s">
        <v>466</v>
      </c>
      <c r="CX17" s="74" t="s">
        <v>462</v>
      </c>
      <c r="CY17" s="750" t="s">
        <v>466</v>
      </c>
      <c r="CZ17" s="746" t="s">
        <v>466</v>
      </c>
      <c r="DA17" s="74" t="s">
        <v>462</v>
      </c>
      <c r="DB17" s="750" t="s">
        <v>466</v>
      </c>
      <c r="DC17" s="746" t="s">
        <v>466</v>
      </c>
      <c r="DD17" s="74" t="s">
        <v>462</v>
      </c>
      <c r="DE17" s="750" t="s">
        <v>466</v>
      </c>
      <c r="DF17" s="746" t="s">
        <v>466</v>
      </c>
      <c r="DG17" s="74" t="s">
        <v>462</v>
      </c>
      <c r="DH17" s="750" t="s">
        <v>466</v>
      </c>
      <c r="DI17" s="746" t="s">
        <v>466</v>
      </c>
      <c r="DJ17" s="74" t="s">
        <v>462</v>
      </c>
      <c r="DK17" s="750" t="s">
        <v>466</v>
      </c>
      <c r="DL17" s="746" t="s">
        <v>466</v>
      </c>
      <c r="DM17" s="74" t="s">
        <v>462</v>
      </c>
      <c r="DN17" s="750" t="s">
        <v>466</v>
      </c>
      <c r="DO17" s="746" t="s">
        <v>466</v>
      </c>
      <c r="DP17" s="74" t="s">
        <v>462</v>
      </c>
      <c r="DQ17" s="750" t="s">
        <v>466</v>
      </c>
      <c r="DR17" s="746" t="s">
        <v>466</v>
      </c>
      <c r="DS17" s="74" t="s">
        <v>462</v>
      </c>
      <c r="DT17" s="750" t="s">
        <v>466</v>
      </c>
      <c r="DU17" s="746" t="s">
        <v>466</v>
      </c>
      <c r="DV17" s="74" t="s">
        <v>462</v>
      </c>
      <c r="DW17" s="750" t="s">
        <v>466</v>
      </c>
      <c r="DX17" s="746" t="s">
        <v>466</v>
      </c>
      <c r="DY17" s="74" t="s">
        <v>462</v>
      </c>
      <c r="DZ17" s="750" t="s">
        <v>466</v>
      </c>
      <c r="EA17" s="746" t="s">
        <v>466</v>
      </c>
      <c r="EB17" s="74" t="s">
        <v>462</v>
      </c>
      <c r="EC17" s="750" t="s">
        <v>466</v>
      </c>
      <c r="ED17" s="68"/>
      <c r="EE17" s="68"/>
      <c r="EF17" s="68"/>
    </row>
    <row r="18" ht="15.0" customHeight="1" outlineLevel="1">
      <c r="A18" s="60">
        <v>102.0</v>
      </c>
      <c r="B18" s="747" t="s">
        <v>309</v>
      </c>
      <c r="C18" s="747" t="s">
        <v>310</v>
      </c>
      <c r="D18" s="71" t="s">
        <v>85</v>
      </c>
      <c r="E18" s="146" t="s">
        <v>308</v>
      </c>
      <c r="F18" s="72">
        <v>1123.0</v>
      </c>
      <c r="G18" s="147" t="s">
        <v>288</v>
      </c>
      <c r="H18" s="150">
        <v>0.0</v>
      </c>
      <c r="I18" s="74" t="str">
        <f>IFERROR(VLOOKUP(C16:C158,'R22 RELATÓRIO ACC'!B:F,5,FALSE),"NOT PUBLISHED")</f>
        <v>NOT PUBLISHED</v>
      </c>
      <c r="J18" s="74" t="str">
        <f>IFERROR(VLOOKUP(C16:C158,'R22 RELATÓRIO ACC'!B:P,15,FALSE),"NOT PUBLISHED")</f>
        <v>NOT PUBLISHED</v>
      </c>
      <c r="K18" s="141" t="str">
        <f>IFERROR(VLOOKUP(B16:B158,'RELATÓRIO ACC'!B:F,5,FALSE),"NOT PUBLISHED")</f>
        <v>NOT PUBLISHED</v>
      </c>
      <c r="L18" s="748" t="str">
        <f>IFERROR(VLOOKUP(B16:B158,'RELATÓRIO ACC'!B:P,15,FALSE),"NOT PUBLISHED")</f>
        <v>NOT PUBLISHED</v>
      </c>
      <c r="M18" s="141" t="s">
        <v>466</v>
      </c>
      <c r="N18" s="749" t="s">
        <v>466</v>
      </c>
      <c r="O18" s="740" t="s">
        <v>466</v>
      </c>
      <c r="P18" s="751"/>
      <c r="Q18" s="746" t="s">
        <v>466</v>
      </c>
      <c r="R18" s="74" t="s">
        <v>462</v>
      </c>
      <c r="S18" s="749" t="s">
        <v>466</v>
      </c>
      <c r="T18" s="746" t="s">
        <v>466</v>
      </c>
      <c r="U18" s="74" t="s">
        <v>462</v>
      </c>
      <c r="V18" s="749" t="s">
        <v>466</v>
      </c>
      <c r="W18" s="746" t="s">
        <v>466</v>
      </c>
      <c r="X18" s="749" t="s">
        <v>462</v>
      </c>
      <c r="Y18" s="749" t="s">
        <v>466</v>
      </c>
      <c r="Z18" s="746" t="s">
        <v>466</v>
      </c>
      <c r="AA18" s="749" t="s">
        <v>462</v>
      </c>
      <c r="AB18" s="750" t="s">
        <v>466</v>
      </c>
      <c r="AC18" s="746" t="s">
        <v>466</v>
      </c>
      <c r="AD18" s="74" t="s">
        <v>462</v>
      </c>
      <c r="AE18" s="746" t="s">
        <v>466</v>
      </c>
      <c r="AF18" s="746" t="s">
        <v>466</v>
      </c>
      <c r="AG18" s="74" t="s">
        <v>462</v>
      </c>
      <c r="AH18" s="746" t="s">
        <v>466</v>
      </c>
      <c r="AI18" s="746" t="s">
        <v>466</v>
      </c>
      <c r="AJ18" s="74" t="s">
        <v>462</v>
      </c>
      <c r="AK18" s="753" t="s">
        <v>466</v>
      </c>
      <c r="AL18" s="746" t="s">
        <v>466</v>
      </c>
      <c r="AM18" s="74" t="s">
        <v>462</v>
      </c>
      <c r="AN18" s="753" t="s">
        <v>466</v>
      </c>
      <c r="AO18" s="746" t="s">
        <v>466</v>
      </c>
      <c r="AP18" s="74" t="s">
        <v>462</v>
      </c>
      <c r="AQ18" s="753" t="s">
        <v>466</v>
      </c>
      <c r="AR18" s="746" t="s">
        <v>466</v>
      </c>
      <c r="AS18" s="74" t="s">
        <v>462</v>
      </c>
      <c r="AT18" s="753" t="s">
        <v>466</v>
      </c>
      <c r="AU18" s="746" t="s">
        <v>466</v>
      </c>
      <c r="AV18" s="74" t="s">
        <v>462</v>
      </c>
      <c r="AW18" s="753" t="s">
        <v>466</v>
      </c>
      <c r="AX18" s="746" t="s">
        <v>466</v>
      </c>
      <c r="AY18" s="74" t="s">
        <v>462</v>
      </c>
      <c r="AZ18" s="753" t="s">
        <v>466</v>
      </c>
      <c r="BA18" s="746" t="s">
        <v>466</v>
      </c>
      <c r="BB18" s="74" t="s">
        <v>462</v>
      </c>
      <c r="BC18" s="753" t="s">
        <v>466</v>
      </c>
      <c r="BD18" s="746" t="s">
        <v>466</v>
      </c>
      <c r="BE18" s="74" t="s">
        <v>462</v>
      </c>
      <c r="BF18" s="753" t="s">
        <v>466</v>
      </c>
      <c r="BG18" s="746" t="s">
        <v>466</v>
      </c>
      <c r="BH18" s="74" t="s">
        <v>462</v>
      </c>
      <c r="BI18" s="753" t="s">
        <v>466</v>
      </c>
      <c r="BJ18" s="746" t="s">
        <v>466</v>
      </c>
      <c r="BK18" s="74" t="s">
        <v>462</v>
      </c>
      <c r="BL18" s="753" t="s">
        <v>466</v>
      </c>
      <c r="BM18" s="746" t="s">
        <v>466</v>
      </c>
      <c r="BN18" s="74" t="s">
        <v>462</v>
      </c>
      <c r="BO18" s="753" t="s">
        <v>466</v>
      </c>
      <c r="BP18" s="746" t="s">
        <v>466</v>
      </c>
      <c r="BQ18" s="74" t="s">
        <v>462</v>
      </c>
      <c r="BR18" s="753" t="s">
        <v>466</v>
      </c>
      <c r="BS18" s="746" t="s">
        <v>466</v>
      </c>
      <c r="BT18" s="74" t="s">
        <v>462</v>
      </c>
      <c r="BU18" s="753" t="s">
        <v>466</v>
      </c>
      <c r="BV18" s="746" t="s">
        <v>466</v>
      </c>
      <c r="BW18" s="74" t="s">
        <v>462</v>
      </c>
      <c r="BX18" s="753" t="s">
        <v>466</v>
      </c>
      <c r="BY18" s="746" t="s">
        <v>466</v>
      </c>
      <c r="BZ18" s="74" t="s">
        <v>462</v>
      </c>
      <c r="CA18" s="753" t="s">
        <v>466</v>
      </c>
      <c r="CB18" s="746" t="s">
        <v>466</v>
      </c>
      <c r="CC18" s="74" t="s">
        <v>462</v>
      </c>
      <c r="CD18" s="753" t="s">
        <v>466</v>
      </c>
      <c r="CE18" s="746" t="s">
        <v>466</v>
      </c>
      <c r="CF18" s="74" t="s">
        <v>462</v>
      </c>
      <c r="CG18" s="753" t="s">
        <v>466</v>
      </c>
      <c r="CH18" s="746" t="s">
        <v>466</v>
      </c>
      <c r="CI18" s="74" t="s">
        <v>462</v>
      </c>
      <c r="CJ18" s="753" t="s">
        <v>466</v>
      </c>
      <c r="CK18" s="746" t="s">
        <v>466</v>
      </c>
      <c r="CL18" s="74" t="s">
        <v>462</v>
      </c>
      <c r="CM18" s="753" t="s">
        <v>466</v>
      </c>
      <c r="CN18" s="746" t="s">
        <v>466</v>
      </c>
      <c r="CO18" s="74" t="s">
        <v>462</v>
      </c>
      <c r="CP18" s="753" t="s">
        <v>466</v>
      </c>
      <c r="CQ18" s="746" t="s">
        <v>466</v>
      </c>
      <c r="CR18" s="74" t="s">
        <v>462</v>
      </c>
      <c r="CS18" s="753" t="s">
        <v>466</v>
      </c>
      <c r="CT18" s="746" t="s">
        <v>466</v>
      </c>
      <c r="CU18" s="74" t="s">
        <v>462</v>
      </c>
      <c r="CV18" s="753" t="s">
        <v>466</v>
      </c>
      <c r="CW18" s="746" t="s">
        <v>466</v>
      </c>
      <c r="CX18" s="74" t="s">
        <v>462</v>
      </c>
      <c r="CY18" s="753" t="s">
        <v>466</v>
      </c>
      <c r="CZ18" s="746" t="s">
        <v>466</v>
      </c>
      <c r="DA18" s="74" t="s">
        <v>462</v>
      </c>
      <c r="DB18" s="753" t="s">
        <v>466</v>
      </c>
      <c r="DC18" s="746" t="s">
        <v>466</v>
      </c>
      <c r="DD18" s="74" t="s">
        <v>462</v>
      </c>
      <c r="DE18" s="753" t="s">
        <v>466</v>
      </c>
      <c r="DF18" s="746" t="s">
        <v>466</v>
      </c>
      <c r="DG18" s="74" t="s">
        <v>462</v>
      </c>
      <c r="DH18" s="753" t="s">
        <v>466</v>
      </c>
      <c r="DI18" s="746" t="s">
        <v>466</v>
      </c>
      <c r="DJ18" s="74" t="s">
        <v>462</v>
      </c>
      <c r="DK18" s="753" t="s">
        <v>466</v>
      </c>
      <c r="DL18" s="746" t="s">
        <v>466</v>
      </c>
      <c r="DM18" s="74" t="s">
        <v>462</v>
      </c>
      <c r="DN18" s="753" t="s">
        <v>466</v>
      </c>
      <c r="DO18" s="746" t="s">
        <v>466</v>
      </c>
      <c r="DP18" s="74" t="s">
        <v>462</v>
      </c>
      <c r="DQ18" s="753" t="s">
        <v>466</v>
      </c>
      <c r="DR18" s="746" t="s">
        <v>466</v>
      </c>
      <c r="DS18" s="74" t="s">
        <v>462</v>
      </c>
      <c r="DT18" s="753" t="s">
        <v>466</v>
      </c>
      <c r="DU18" s="746" t="s">
        <v>466</v>
      </c>
      <c r="DV18" s="74" t="s">
        <v>462</v>
      </c>
      <c r="DW18" s="753" t="s">
        <v>466</v>
      </c>
      <c r="DX18" s="746" t="s">
        <v>466</v>
      </c>
      <c r="DY18" s="74" t="s">
        <v>462</v>
      </c>
      <c r="DZ18" s="753" t="s">
        <v>466</v>
      </c>
      <c r="EA18" s="746" t="s">
        <v>466</v>
      </c>
      <c r="EB18" s="74" t="s">
        <v>462</v>
      </c>
      <c r="EC18" s="753" t="s">
        <v>466</v>
      </c>
      <c r="ED18" s="68"/>
      <c r="EE18" s="68"/>
      <c r="EF18" s="68"/>
    </row>
    <row r="19" ht="15.0" customHeight="1" outlineLevel="1">
      <c r="A19" s="60">
        <v>30.0</v>
      </c>
      <c r="B19" s="747" t="s">
        <v>154</v>
      </c>
      <c r="C19" s="747" t="s">
        <v>155</v>
      </c>
      <c r="D19" s="71" t="s">
        <v>85</v>
      </c>
      <c r="E19" s="138" t="s">
        <v>156</v>
      </c>
      <c r="F19" s="754">
        <v>0.0</v>
      </c>
      <c r="G19" s="154" t="s">
        <v>157</v>
      </c>
      <c r="H19" s="150"/>
      <c r="I19" s="74" t="str">
        <f>IFERROR(VLOOKUP(C17:C159,'R22 RELATÓRIO ACC'!B:F,5,FALSE),"NOT PUBLISHED")</f>
        <v>V4</v>
      </c>
      <c r="J19" s="74" t="str">
        <f>IFERROR(VLOOKUP(C17:C159,'R22 RELATÓRIO ACC'!B:P,15,FALSE),"NOT PUBLISHED")</f>
        <v>29/04/2026</v>
      </c>
      <c r="K19" s="141" t="str">
        <f>IFERROR(VLOOKUP(B17:B159,'RELATÓRIO ACC'!B:F,5,FALSE),"NOT PUBLISHED")</f>
        <v>V1</v>
      </c>
      <c r="L19" s="748" t="str">
        <f>IFERROR(VLOOKUP(B17:B159,'RELATÓRIO ACC'!B:P,15,FALSE),"NOT PUBLISHED")</f>
        <v>04/06/2026</v>
      </c>
      <c r="M19" s="141" t="s">
        <v>470</v>
      </c>
      <c r="N19" s="756" t="s">
        <v>471</v>
      </c>
      <c r="O19" s="740" t="s">
        <v>472</v>
      </c>
      <c r="P19" s="757" t="s">
        <v>473</v>
      </c>
      <c r="Q19" s="746" t="s">
        <v>466</v>
      </c>
      <c r="R19" s="74" t="s">
        <v>462</v>
      </c>
      <c r="S19" s="749" t="s">
        <v>466</v>
      </c>
      <c r="T19" s="746" t="s">
        <v>466</v>
      </c>
      <c r="U19" s="74" t="s">
        <v>462</v>
      </c>
      <c r="V19" s="749" t="s">
        <v>466</v>
      </c>
      <c r="W19" s="746" t="s">
        <v>466</v>
      </c>
      <c r="X19" s="74" t="s">
        <v>462</v>
      </c>
      <c r="Y19" s="749" t="s">
        <v>466</v>
      </c>
      <c r="Z19" s="746" t="s">
        <v>466</v>
      </c>
      <c r="AA19" s="74" t="s">
        <v>462</v>
      </c>
      <c r="AB19" s="753" t="s">
        <v>466</v>
      </c>
      <c r="AC19" s="746" t="s">
        <v>466</v>
      </c>
      <c r="AD19" s="74" t="s">
        <v>462</v>
      </c>
      <c r="AE19" s="753" t="s">
        <v>466</v>
      </c>
      <c r="AF19" s="746" t="s">
        <v>466</v>
      </c>
      <c r="AG19" s="74" t="s">
        <v>462</v>
      </c>
      <c r="AH19" s="753" t="s">
        <v>466</v>
      </c>
      <c r="AI19" s="746" t="s">
        <v>466</v>
      </c>
      <c r="AJ19" s="74" t="s">
        <v>462</v>
      </c>
      <c r="AK19" s="753" t="s">
        <v>466</v>
      </c>
      <c r="AL19" s="746" t="s">
        <v>466</v>
      </c>
      <c r="AM19" s="74" t="s">
        <v>462</v>
      </c>
      <c r="AN19" s="753" t="s">
        <v>466</v>
      </c>
      <c r="AO19" s="746" t="s">
        <v>466</v>
      </c>
      <c r="AP19" s="74" t="s">
        <v>462</v>
      </c>
      <c r="AQ19" s="753" t="s">
        <v>466</v>
      </c>
      <c r="AR19" s="746" t="s">
        <v>466</v>
      </c>
      <c r="AS19" s="74" t="s">
        <v>462</v>
      </c>
      <c r="AT19" s="753" t="s">
        <v>466</v>
      </c>
      <c r="AU19" s="746" t="s">
        <v>474</v>
      </c>
      <c r="AV19" s="74" t="s">
        <v>462</v>
      </c>
      <c r="AW19" s="753" t="s">
        <v>474</v>
      </c>
      <c r="AX19" s="758" t="s">
        <v>475</v>
      </c>
      <c r="AY19" s="759" t="s">
        <v>476</v>
      </c>
      <c r="AZ19" s="760" t="s">
        <v>475</v>
      </c>
      <c r="BA19" s="758" t="s">
        <v>475</v>
      </c>
      <c r="BB19" s="759" t="s">
        <v>476</v>
      </c>
      <c r="BC19" s="760" t="s">
        <v>475</v>
      </c>
      <c r="BD19" s="758" t="s">
        <v>475</v>
      </c>
      <c r="BE19" s="759" t="s">
        <v>476</v>
      </c>
      <c r="BF19" s="760" t="s">
        <v>475</v>
      </c>
      <c r="BG19" s="758" t="s">
        <v>475</v>
      </c>
      <c r="BH19" s="759" t="s">
        <v>476</v>
      </c>
      <c r="BI19" s="760" t="s">
        <v>475</v>
      </c>
      <c r="BJ19" s="758" t="s">
        <v>475</v>
      </c>
      <c r="BK19" s="759" t="s">
        <v>476</v>
      </c>
      <c r="BL19" s="760" t="s">
        <v>475</v>
      </c>
      <c r="BM19" s="758" t="s">
        <v>475</v>
      </c>
      <c r="BN19" s="759" t="s">
        <v>476</v>
      </c>
      <c r="BO19" s="760" t="s">
        <v>475</v>
      </c>
      <c r="BP19" s="758" t="s">
        <v>475</v>
      </c>
      <c r="BQ19" s="759" t="s">
        <v>476</v>
      </c>
      <c r="BR19" s="760" t="s">
        <v>475</v>
      </c>
      <c r="BS19" s="758" t="s">
        <v>475</v>
      </c>
      <c r="BT19" s="759" t="s">
        <v>476</v>
      </c>
      <c r="BU19" s="760" t="s">
        <v>475</v>
      </c>
      <c r="BV19" s="755" t="s">
        <v>474</v>
      </c>
      <c r="BW19" s="759" t="s">
        <v>476</v>
      </c>
      <c r="BX19" s="761" t="s">
        <v>474</v>
      </c>
      <c r="BY19" s="755" t="s">
        <v>477</v>
      </c>
      <c r="BZ19" s="759" t="s">
        <v>476</v>
      </c>
      <c r="CA19" s="762">
        <v>0.31</v>
      </c>
      <c r="CB19" s="755" t="s">
        <v>478</v>
      </c>
      <c r="CC19" s="759" t="s">
        <v>476</v>
      </c>
      <c r="CD19" s="763" t="s">
        <v>478</v>
      </c>
      <c r="CE19" s="755" t="s">
        <v>477</v>
      </c>
      <c r="CF19" s="759" t="s">
        <v>476</v>
      </c>
      <c r="CG19" s="764">
        <v>0.7</v>
      </c>
      <c r="CH19" s="755" t="s">
        <v>478</v>
      </c>
      <c r="CI19" s="759" t="s">
        <v>476</v>
      </c>
      <c r="CJ19" s="763" t="s">
        <v>478</v>
      </c>
      <c r="CK19" s="755" t="s">
        <v>478</v>
      </c>
      <c r="CL19" s="759" t="s">
        <v>476</v>
      </c>
      <c r="CM19" s="763" t="s">
        <v>478</v>
      </c>
      <c r="CN19" s="755" t="s">
        <v>478</v>
      </c>
      <c r="CO19" s="759"/>
      <c r="CP19" s="763" t="s">
        <v>478</v>
      </c>
      <c r="CQ19" s="755" t="s">
        <v>478</v>
      </c>
      <c r="CR19" s="759"/>
      <c r="CS19" s="763" t="s">
        <v>478</v>
      </c>
      <c r="CT19" s="755" t="s">
        <v>474</v>
      </c>
      <c r="CU19" s="759"/>
      <c r="CV19" s="763" t="s">
        <v>474</v>
      </c>
      <c r="CW19" s="755" t="s">
        <v>475</v>
      </c>
      <c r="CX19" s="759" t="s">
        <v>479</v>
      </c>
      <c r="CY19" s="763" t="s">
        <v>475</v>
      </c>
      <c r="CZ19" s="755" t="s">
        <v>478</v>
      </c>
      <c r="DA19" s="759" t="s">
        <v>479</v>
      </c>
      <c r="DB19" s="763" t="s">
        <v>478</v>
      </c>
      <c r="DC19" s="755" t="s">
        <v>474</v>
      </c>
      <c r="DD19" s="759" t="s">
        <v>479</v>
      </c>
      <c r="DE19" s="763" t="s">
        <v>474</v>
      </c>
      <c r="DF19" s="755" t="s">
        <v>475</v>
      </c>
      <c r="DG19" s="759" t="s">
        <v>479</v>
      </c>
      <c r="DH19" s="763" t="s">
        <v>475</v>
      </c>
      <c r="DI19" s="755" t="s">
        <v>474</v>
      </c>
      <c r="DJ19" s="759" t="s">
        <v>479</v>
      </c>
      <c r="DK19" s="763" t="s">
        <v>474</v>
      </c>
      <c r="DL19" s="755" t="s">
        <v>475</v>
      </c>
      <c r="DM19" s="759" t="s">
        <v>479</v>
      </c>
      <c r="DN19" s="763" t="s">
        <v>475</v>
      </c>
      <c r="DO19" s="755" t="s">
        <v>478</v>
      </c>
      <c r="DP19" s="759" t="s">
        <v>479</v>
      </c>
      <c r="DQ19" s="763" t="s">
        <v>478</v>
      </c>
      <c r="DR19" s="755" t="s">
        <v>478</v>
      </c>
      <c r="DS19" s="759" t="s">
        <v>479</v>
      </c>
      <c r="DT19" s="763" t="s">
        <v>478</v>
      </c>
      <c r="DU19" s="755" t="s">
        <v>478</v>
      </c>
      <c r="DV19" s="759" t="s">
        <v>479</v>
      </c>
      <c r="DW19" s="763" t="s">
        <v>478</v>
      </c>
      <c r="DX19" s="755" t="s">
        <v>478</v>
      </c>
      <c r="DY19" s="759" t="s">
        <v>479</v>
      </c>
      <c r="DZ19" s="763" t="s">
        <v>478</v>
      </c>
      <c r="EA19" s="755" t="s">
        <v>478</v>
      </c>
      <c r="EB19" s="759" t="s">
        <v>479</v>
      </c>
      <c r="EC19" s="763" t="s">
        <v>478</v>
      </c>
      <c r="ED19" s="68"/>
      <c r="EE19" s="68"/>
      <c r="EF19" s="68"/>
    </row>
    <row r="20" ht="15.0" customHeight="1" outlineLevel="1">
      <c r="A20" s="60">
        <v>97.0</v>
      </c>
      <c r="B20" s="747" t="s">
        <v>296</v>
      </c>
      <c r="C20" s="747" t="s">
        <v>297</v>
      </c>
      <c r="D20" s="71" t="s">
        <v>85</v>
      </c>
      <c r="E20" s="138" t="s">
        <v>298</v>
      </c>
      <c r="F20" s="72">
        <v>1121.0</v>
      </c>
      <c r="G20" s="147" t="s">
        <v>298</v>
      </c>
      <c r="H20" s="150">
        <v>0.0</v>
      </c>
      <c r="I20" s="74" t="str">
        <f>IFERROR(VLOOKUP(C18:C160,'R22 RELATÓRIO ACC'!B:F,5,FALSE),"NOT PUBLISHED")</f>
        <v>V1</v>
      </c>
      <c r="J20" s="74" t="str">
        <f>IFERROR(VLOOKUP(C18:C160,'R22 RELATÓRIO ACC'!B:P,15,FALSE),"NOT PUBLISHED")</f>
        <v>05/05/2026</v>
      </c>
      <c r="K20" s="141" t="str">
        <f>IFERROR(VLOOKUP(B18:B160,'RELATÓRIO ACC'!B:F,5,FALSE),"NOT PUBLISHED")</f>
        <v>V3</v>
      </c>
      <c r="L20" s="748" t="str">
        <f>IFERROR(VLOOKUP(B18:B160,'RELATÓRIO ACC'!B:P,15,FALSE),"NOT PUBLISHED")</f>
        <v>20/06/2026</v>
      </c>
      <c r="M20" s="141" t="s">
        <v>480</v>
      </c>
      <c r="N20" s="765">
        <v>46193.0</v>
      </c>
      <c r="O20" s="740" t="s">
        <v>472</v>
      </c>
      <c r="P20" s="751"/>
      <c r="Q20" s="746" t="s">
        <v>466</v>
      </c>
      <c r="R20" s="74" t="s">
        <v>462</v>
      </c>
      <c r="S20" s="749" t="s">
        <v>466</v>
      </c>
      <c r="T20" s="746" t="s">
        <v>466</v>
      </c>
      <c r="U20" s="74" t="s">
        <v>462</v>
      </c>
      <c r="V20" s="749" t="s">
        <v>466</v>
      </c>
      <c r="W20" s="746" t="s">
        <v>466</v>
      </c>
      <c r="X20" s="74" t="s">
        <v>462</v>
      </c>
      <c r="Y20" s="749" t="s">
        <v>466</v>
      </c>
      <c r="Z20" s="746" t="s">
        <v>466</v>
      </c>
      <c r="AA20" s="74" t="s">
        <v>462</v>
      </c>
      <c r="AB20" s="753" t="s">
        <v>466</v>
      </c>
      <c r="AC20" s="746" t="s">
        <v>466</v>
      </c>
      <c r="AD20" s="74" t="s">
        <v>462</v>
      </c>
      <c r="AE20" s="753" t="s">
        <v>466</v>
      </c>
      <c r="AF20" s="746" t="s">
        <v>466</v>
      </c>
      <c r="AG20" s="74" t="s">
        <v>462</v>
      </c>
      <c r="AH20" s="762" t="s">
        <v>466</v>
      </c>
      <c r="AI20" s="746" t="s">
        <v>466</v>
      </c>
      <c r="AJ20" s="74" t="s">
        <v>462</v>
      </c>
      <c r="AK20" s="753" t="s">
        <v>466</v>
      </c>
      <c r="AL20" s="746" t="s">
        <v>466</v>
      </c>
      <c r="AM20" s="74" t="s">
        <v>462</v>
      </c>
      <c r="AN20" s="753" t="s">
        <v>466</v>
      </c>
      <c r="AO20" s="746" t="s">
        <v>466</v>
      </c>
      <c r="AP20" s="74" t="s">
        <v>462</v>
      </c>
      <c r="AQ20" s="753" t="s">
        <v>466</v>
      </c>
      <c r="AR20" s="746" t="s">
        <v>466</v>
      </c>
      <c r="AS20" s="74" t="s">
        <v>462</v>
      </c>
      <c r="AT20" s="753" t="s">
        <v>466</v>
      </c>
      <c r="AU20" s="746" t="s">
        <v>466</v>
      </c>
      <c r="AV20" s="74" t="s">
        <v>462</v>
      </c>
      <c r="AW20" s="753" t="s">
        <v>466</v>
      </c>
      <c r="AX20" s="746" t="s">
        <v>466</v>
      </c>
      <c r="AY20" s="74" t="s">
        <v>462</v>
      </c>
      <c r="AZ20" s="753" t="s">
        <v>466</v>
      </c>
      <c r="BA20" s="746" t="s">
        <v>466</v>
      </c>
      <c r="BB20" s="74" t="s">
        <v>462</v>
      </c>
      <c r="BC20" s="753" t="s">
        <v>466</v>
      </c>
      <c r="BD20" s="746" t="s">
        <v>466</v>
      </c>
      <c r="BE20" s="74" t="s">
        <v>462</v>
      </c>
      <c r="BF20" s="753" t="s">
        <v>466</v>
      </c>
      <c r="BG20" s="746" t="s">
        <v>466</v>
      </c>
      <c r="BH20" s="74" t="s">
        <v>462</v>
      </c>
      <c r="BI20" s="753" t="s">
        <v>466</v>
      </c>
      <c r="BJ20" s="746" t="s">
        <v>466</v>
      </c>
      <c r="BK20" s="74" t="s">
        <v>462</v>
      </c>
      <c r="BL20" s="753" t="s">
        <v>466</v>
      </c>
      <c r="BM20" s="746" t="s">
        <v>466</v>
      </c>
      <c r="BN20" s="74" t="s">
        <v>462</v>
      </c>
      <c r="BO20" s="753" t="s">
        <v>466</v>
      </c>
      <c r="BP20" s="746" t="s">
        <v>466</v>
      </c>
      <c r="BQ20" s="74" t="s">
        <v>462</v>
      </c>
      <c r="BR20" s="753" t="s">
        <v>466</v>
      </c>
      <c r="BS20" s="746" t="s">
        <v>466</v>
      </c>
      <c r="BT20" s="74" t="s">
        <v>462</v>
      </c>
      <c r="BU20" s="753" t="s">
        <v>466</v>
      </c>
      <c r="BV20" s="746" t="s">
        <v>466</v>
      </c>
      <c r="BW20" s="74" t="s">
        <v>462</v>
      </c>
      <c r="BX20" s="753" t="s">
        <v>466</v>
      </c>
      <c r="BY20" s="746" t="s">
        <v>466</v>
      </c>
      <c r="BZ20" s="74" t="s">
        <v>462</v>
      </c>
      <c r="CA20" s="753" t="s">
        <v>466</v>
      </c>
      <c r="CB20" s="746" t="s">
        <v>466</v>
      </c>
      <c r="CC20" s="74" t="s">
        <v>462</v>
      </c>
      <c r="CD20" s="753" t="s">
        <v>466</v>
      </c>
      <c r="CE20" s="746" t="s">
        <v>466</v>
      </c>
      <c r="CF20" s="74" t="s">
        <v>462</v>
      </c>
      <c r="CG20" s="753" t="s">
        <v>466</v>
      </c>
      <c r="CH20" s="746" t="s">
        <v>466</v>
      </c>
      <c r="CI20" s="74" t="s">
        <v>462</v>
      </c>
      <c r="CJ20" s="753" t="s">
        <v>466</v>
      </c>
      <c r="CK20" s="746" t="s">
        <v>466</v>
      </c>
      <c r="CL20" s="74" t="s">
        <v>462</v>
      </c>
      <c r="CM20" s="753" t="s">
        <v>466</v>
      </c>
      <c r="CN20" s="746" t="s">
        <v>466</v>
      </c>
      <c r="CO20" s="74" t="s">
        <v>462</v>
      </c>
      <c r="CP20" s="753" t="s">
        <v>466</v>
      </c>
      <c r="CQ20" s="746" t="s">
        <v>466</v>
      </c>
      <c r="CR20" s="74" t="s">
        <v>462</v>
      </c>
      <c r="CS20" s="753" t="s">
        <v>466</v>
      </c>
      <c r="CT20" s="746" t="s">
        <v>466</v>
      </c>
      <c r="CU20" s="74" t="s">
        <v>462</v>
      </c>
      <c r="CV20" s="753" t="s">
        <v>466</v>
      </c>
      <c r="CW20" s="746" t="s">
        <v>466</v>
      </c>
      <c r="CX20" s="74" t="s">
        <v>462</v>
      </c>
      <c r="CY20" s="753" t="s">
        <v>466</v>
      </c>
      <c r="CZ20" s="746" t="s">
        <v>462</v>
      </c>
      <c r="DA20" s="74" t="s">
        <v>462</v>
      </c>
      <c r="DB20" s="753" t="s">
        <v>462</v>
      </c>
      <c r="DC20" s="746" t="s">
        <v>462</v>
      </c>
      <c r="DD20" s="74" t="s">
        <v>462</v>
      </c>
      <c r="DE20" s="753" t="s">
        <v>462</v>
      </c>
      <c r="DF20" s="746" t="s">
        <v>462</v>
      </c>
      <c r="DG20" s="74" t="s">
        <v>462</v>
      </c>
      <c r="DH20" s="753" t="s">
        <v>462</v>
      </c>
      <c r="DI20" s="755" t="s">
        <v>477</v>
      </c>
      <c r="DJ20" s="74" t="s">
        <v>462</v>
      </c>
      <c r="DK20" s="762">
        <v>0.43</v>
      </c>
      <c r="DL20" s="755" t="s">
        <v>478</v>
      </c>
      <c r="DM20" s="74" t="s">
        <v>462</v>
      </c>
      <c r="DN20" s="761" t="s">
        <v>478</v>
      </c>
      <c r="DO20" s="755" t="s">
        <v>474</v>
      </c>
      <c r="DP20" s="74" t="s">
        <v>462</v>
      </c>
      <c r="DQ20" s="755" t="s">
        <v>474</v>
      </c>
      <c r="DR20" s="755" t="s">
        <v>477</v>
      </c>
      <c r="DS20" s="759" t="s">
        <v>479</v>
      </c>
      <c r="DT20" s="762">
        <v>0.94</v>
      </c>
      <c r="DU20" s="755" t="s">
        <v>478</v>
      </c>
      <c r="DV20" s="759" t="s">
        <v>479</v>
      </c>
      <c r="DW20" s="755" t="s">
        <v>478</v>
      </c>
      <c r="DX20" s="755" t="s">
        <v>478</v>
      </c>
      <c r="DY20" s="759" t="s">
        <v>479</v>
      </c>
      <c r="DZ20" s="755" t="s">
        <v>478</v>
      </c>
      <c r="EA20" s="755" t="s">
        <v>478</v>
      </c>
      <c r="EB20" s="759" t="s">
        <v>479</v>
      </c>
      <c r="EC20" s="755" t="s">
        <v>478</v>
      </c>
      <c r="ED20" s="68"/>
      <c r="EE20" s="68"/>
      <c r="EF20" s="68"/>
    </row>
    <row r="21" ht="15.0" customHeight="1" outlineLevel="1">
      <c r="A21" s="60">
        <v>2.0</v>
      </c>
      <c r="B21" s="747" t="s">
        <v>83</v>
      </c>
      <c r="C21" s="747" t="s">
        <v>84</v>
      </c>
      <c r="D21" s="71" t="s">
        <v>85</v>
      </c>
      <c r="E21" s="146" t="s">
        <v>86</v>
      </c>
      <c r="F21" s="146">
        <v>1130.0</v>
      </c>
      <c r="G21" s="146" t="s">
        <v>86</v>
      </c>
      <c r="H21" s="139">
        <v>1130.0</v>
      </c>
      <c r="I21" s="74" t="str">
        <f>IFERROR(VLOOKUP(C19:C161,'R22 RELATÓRIO ACC'!B:F,5,FALSE),"NOT PUBLISHED")</f>
        <v>V29</v>
      </c>
      <c r="J21" s="74" t="str">
        <f>IFERROR(VLOOKUP(C19:C161,'R22 RELATÓRIO ACC'!B:P,15,FALSE),"NOT PUBLISHED")</f>
        <v>13/04/2026</v>
      </c>
      <c r="K21" s="141" t="str">
        <f>IFERROR(VLOOKUP(B19:B161,'RELATÓRIO ACC'!B:F,5,FALSE),"NOT PUBLISHED")</f>
        <v>V3</v>
      </c>
      <c r="L21" s="748" t="str">
        <f>IFERROR(VLOOKUP(B19:B161,'RELATÓRIO ACC'!B:P,15,FALSE),"NOT PUBLISHED")</f>
        <v>03/06/2026</v>
      </c>
      <c r="M21" s="141" t="s">
        <v>481</v>
      </c>
      <c r="N21" s="756" t="s">
        <v>461</v>
      </c>
      <c r="O21" s="740" t="s">
        <v>482</v>
      </c>
      <c r="P21" s="751" t="s">
        <v>87</v>
      </c>
      <c r="Q21" s="746" t="s">
        <v>477</v>
      </c>
      <c r="R21" s="766" t="s">
        <v>476</v>
      </c>
      <c r="S21" s="764">
        <v>0.58</v>
      </c>
      <c r="T21" s="755" t="s">
        <v>478</v>
      </c>
      <c r="U21" s="466" t="s">
        <v>483</v>
      </c>
      <c r="V21" s="767" t="s">
        <v>478</v>
      </c>
      <c r="W21" s="746" t="s">
        <v>477</v>
      </c>
      <c r="X21" s="766" t="s">
        <v>476</v>
      </c>
      <c r="Y21" s="764">
        <v>0.73</v>
      </c>
      <c r="Z21" s="746" t="s">
        <v>477</v>
      </c>
      <c r="AA21" s="759" t="s">
        <v>476</v>
      </c>
      <c r="AB21" s="768">
        <v>0.77</v>
      </c>
      <c r="AC21" s="755" t="s">
        <v>478</v>
      </c>
      <c r="AD21" s="759" t="s">
        <v>476</v>
      </c>
      <c r="AE21" s="761" t="s">
        <v>478</v>
      </c>
      <c r="AF21" s="755" t="s">
        <v>478</v>
      </c>
      <c r="AG21" s="759" t="s">
        <v>476</v>
      </c>
      <c r="AH21" s="761" t="s">
        <v>478</v>
      </c>
      <c r="AI21" s="755" t="s">
        <v>478</v>
      </c>
      <c r="AJ21" s="759" t="s">
        <v>476</v>
      </c>
      <c r="AK21" s="755" t="s">
        <v>478</v>
      </c>
      <c r="AL21" s="755" t="s">
        <v>477</v>
      </c>
      <c r="AM21" s="766" t="s">
        <v>476</v>
      </c>
      <c r="AN21" s="764">
        <v>0.87</v>
      </c>
      <c r="AO21" s="755" t="s">
        <v>478</v>
      </c>
      <c r="AP21" s="759" t="s">
        <v>476</v>
      </c>
      <c r="AQ21" s="755" t="s">
        <v>478</v>
      </c>
      <c r="AR21" s="755" t="s">
        <v>474</v>
      </c>
      <c r="AS21" s="759" t="s">
        <v>476</v>
      </c>
      <c r="AT21" s="761" t="s">
        <v>474</v>
      </c>
      <c r="AU21" s="763" t="s">
        <v>484</v>
      </c>
      <c r="AV21" s="759" t="s">
        <v>476</v>
      </c>
      <c r="AW21" s="762">
        <v>1.0</v>
      </c>
      <c r="AX21" s="68" t="s">
        <v>485</v>
      </c>
      <c r="AY21" s="759" t="s">
        <v>476</v>
      </c>
      <c r="AZ21" s="762">
        <v>1.0</v>
      </c>
      <c r="BA21" s="68" t="s">
        <v>485</v>
      </c>
      <c r="BB21" s="759" t="s">
        <v>476</v>
      </c>
      <c r="BC21" s="762">
        <v>1.0</v>
      </c>
      <c r="BD21" s="68" t="s">
        <v>485</v>
      </c>
      <c r="BE21" s="759" t="s">
        <v>476</v>
      </c>
      <c r="BF21" s="762">
        <v>1.0</v>
      </c>
      <c r="BG21" s="68" t="s">
        <v>485</v>
      </c>
      <c r="BH21" s="759" t="s">
        <v>476</v>
      </c>
      <c r="BI21" s="762">
        <v>1.0</v>
      </c>
      <c r="BJ21" s="68" t="s">
        <v>485</v>
      </c>
      <c r="BK21" s="759" t="s">
        <v>476</v>
      </c>
      <c r="BL21" s="762">
        <v>1.0</v>
      </c>
      <c r="BM21" s="68" t="s">
        <v>485</v>
      </c>
      <c r="BN21" s="759" t="s">
        <v>476</v>
      </c>
      <c r="BO21" s="762">
        <v>1.0</v>
      </c>
      <c r="BP21" s="68" t="s">
        <v>485</v>
      </c>
      <c r="BQ21" s="759" t="s">
        <v>476</v>
      </c>
      <c r="BR21" s="762">
        <v>1.0</v>
      </c>
      <c r="BS21" s="68" t="s">
        <v>485</v>
      </c>
      <c r="BT21" s="759" t="s">
        <v>476</v>
      </c>
      <c r="BU21" s="762">
        <v>1.0</v>
      </c>
      <c r="BV21" s="68" t="s">
        <v>485</v>
      </c>
      <c r="BW21" s="759" t="s">
        <v>476</v>
      </c>
      <c r="BX21" s="762">
        <v>1.0</v>
      </c>
      <c r="BY21" s="68" t="s">
        <v>485</v>
      </c>
      <c r="BZ21" s="759" t="s">
        <v>476</v>
      </c>
      <c r="CA21" s="762">
        <v>1.0</v>
      </c>
      <c r="CB21" s="68" t="s">
        <v>485</v>
      </c>
      <c r="CC21" s="759" t="s">
        <v>476</v>
      </c>
      <c r="CD21" s="762">
        <v>1.0</v>
      </c>
      <c r="CE21" s="68" t="s">
        <v>485</v>
      </c>
      <c r="CF21" s="759" t="s">
        <v>476</v>
      </c>
      <c r="CG21" s="762">
        <v>1.0</v>
      </c>
      <c r="CH21" s="68" t="s">
        <v>485</v>
      </c>
      <c r="CI21" s="759" t="s">
        <v>476</v>
      </c>
      <c r="CJ21" s="762">
        <v>1.0</v>
      </c>
      <c r="CK21" s="68" t="s">
        <v>485</v>
      </c>
      <c r="CL21" s="759" t="s">
        <v>476</v>
      </c>
      <c r="CM21" s="762">
        <v>1.0</v>
      </c>
      <c r="CN21" s="68" t="s">
        <v>485</v>
      </c>
      <c r="CO21" s="759" t="s">
        <v>476</v>
      </c>
      <c r="CP21" s="762">
        <v>1.0</v>
      </c>
      <c r="CQ21" s="68" t="s">
        <v>485</v>
      </c>
      <c r="CR21" s="759" t="s">
        <v>476</v>
      </c>
      <c r="CS21" s="762">
        <v>1.0</v>
      </c>
      <c r="CT21" s="68" t="s">
        <v>485</v>
      </c>
      <c r="CU21" s="759" t="s">
        <v>476</v>
      </c>
      <c r="CV21" s="762">
        <v>1.0</v>
      </c>
      <c r="CW21" s="68" t="s">
        <v>485</v>
      </c>
      <c r="CX21" s="759" t="s">
        <v>476</v>
      </c>
      <c r="CY21" s="762">
        <v>1.0</v>
      </c>
      <c r="CZ21" s="68" t="s">
        <v>485</v>
      </c>
      <c r="DA21" s="759" t="s">
        <v>476</v>
      </c>
      <c r="DB21" s="762">
        <v>1.0</v>
      </c>
      <c r="DC21" s="68" t="s">
        <v>485</v>
      </c>
      <c r="DD21" s="759" t="s">
        <v>476</v>
      </c>
      <c r="DE21" s="762">
        <v>1.0</v>
      </c>
      <c r="DF21" s="68" t="s">
        <v>485</v>
      </c>
      <c r="DG21" s="759" t="s">
        <v>476</v>
      </c>
      <c r="DH21" s="762">
        <v>1.0</v>
      </c>
      <c r="DI21" s="68" t="s">
        <v>485</v>
      </c>
      <c r="DJ21" s="759" t="s">
        <v>476</v>
      </c>
      <c r="DK21" s="762">
        <v>1.0</v>
      </c>
      <c r="DL21" s="68" t="s">
        <v>485</v>
      </c>
      <c r="DM21" s="759" t="s">
        <v>476</v>
      </c>
      <c r="DN21" s="762">
        <v>1.0</v>
      </c>
      <c r="DO21" s="68" t="s">
        <v>485</v>
      </c>
      <c r="DP21" s="759" t="s">
        <v>476</v>
      </c>
      <c r="DQ21" s="762">
        <v>1.0</v>
      </c>
      <c r="DR21" s="68" t="s">
        <v>485</v>
      </c>
      <c r="DS21" s="759" t="s">
        <v>476</v>
      </c>
      <c r="DT21" s="762">
        <v>1.0</v>
      </c>
      <c r="DU21" s="68" t="s">
        <v>485</v>
      </c>
      <c r="DV21" s="759" t="s">
        <v>476</v>
      </c>
      <c r="DW21" s="762">
        <v>1.0</v>
      </c>
      <c r="DX21" s="68" t="s">
        <v>485</v>
      </c>
      <c r="DY21" s="759" t="s">
        <v>476</v>
      </c>
      <c r="DZ21" s="762">
        <v>1.0</v>
      </c>
      <c r="EA21" s="68" t="s">
        <v>485</v>
      </c>
      <c r="EB21" s="759" t="s">
        <v>476</v>
      </c>
      <c r="EC21" s="762">
        <v>1.0</v>
      </c>
      <c r="ED21" s="111"/>
      <c r="EE21" s="111"/>
      <c r="EF21" s="111"/>
    </row>
    <row r="22" ht="15.0" customHeight="1">
      <c r="A22" s="60">
        <v>11.0</v>
      </c>
      <c r="B22" s="769" t="s">
        <v>98</v>
      </c>
      <c r="C22" s="769" t="s">
        <v>99</v>
      </c>
      <c r="D22" s="770" t="s">
        <v>85</v>
      </c>
      <c r="E22" s="157" t="s">
        <v>100</v>
      </c>
      <c r="F22" s="771">
        <v>1104.0</v>
      </c>
      <c r="G22" s="771" t="s">
        <v>101</v>
      </c>
      <c r="H22" s="139">
        <v>1127.0</v>
      </c>
      <c r="I22" s="74" t="str">
        <f>IFERROR(VLOOKUP(C20:C162,'R22 RELATÓRIO ACC'!B:F,5,FALSE),"NOT PUBLISHED")</f>
        <v>V12</v>
      </c>
      <c r="J22" s="74" t="str">
        <f>IFERROR(VLOOKUP(C20:C162,'R22 RELATÓRIO ACC'!B:P,15,FALSE),"NOT PUBLISHED")</f>
        <v>08/04/2026</v>
      </c>
      <c r="K22" s="141" t="str">
        <f>IFERROR(VLOOKUP(B20:B162,'RELATÓRIO ACC'!B:F,5,FALSE),"NOT PUBLISHED")</f>
        <v>V1</v>
      </c>
      <c r="L22" s="748" t="str">
        <f>IFERROR(VLOOKUP(B20:B162,'RELATÓRIO ACC'!B:P,15,FALSE),"NOT PUBLISHED")</f>
        <v>15/05/2026</v>
      </c>
      <c r="M22" s="126" t="s">
        <v>486</v>
      </c>
      <c r="N22" s="772" t="s">
        <v>487</v>
      </c>
      <c r="O22" s="740" t="s">
        <v>482</v>
      </c>
      <c r="P22" s="751" t="s">
        <v>102</v>
      </c>
      <c r="Q22" s="746" t="s">
        <v>466</v>
      </c>
      <c r="R22" s="74" t="s">
        <v>462</v>
      </c>
      <c r="S22" s="749" t="s">
        <v>466</v>
      </c>
      <c r="T22" s="746" t="s">
        <v>466</v>
      </c>
      <c r="U22" s="74" t="s">
        <v>462</v>
      </c>
      <c r="V22" s="749" t="s">
        <v>466</v>
      </c>
      <c r="W22" s="746" t="s">
        <v>484</v>
      </c>
      <c r="X22" s="766" t="s">
        <v>476</v>
      </c>
      <c r="Y22" s="773">
        <v>1.0</v>
      </c>
      <c r="Z22" s="774" t="s">
        <v>484</v>
      </c>
      <c r="AA22" s="775" t="s">
        <v>476</v>
      </c>
      <c r="AB22" s="768">
        <v>1.0</v>
      </c>
      <c r="AC22" s="776" t="s">
        <v>484</v>
      </c>
      <c r="AD22" s="777" t="s">
        <v>476</v>
      </c>
      <c r="AE22" s="778">
        <v>1.0</v>
      </c>
      <c r="AF22" s="68" t="s">
        <v>485</v>
      </c>
      <c r="AG22" s="779" t="s">
        <v>476</v>
      </c>
      <c r="AH22" s="135">
        <v>1.0</v>
      </c>
      <c r="AI22" s="68" t="s">
        <v>485</v>
      </c>
      <c r="AJ22" s="779" t="s">
        <v>476</v>
      </c>
      <c r="AK22" s="135">
        <v>1.0</v>
      </c>
      <c r="AL22" s="68" t="s">
        <v>485</v>
      </c>
      <c r="AM22" s="779" t="s">
        <v>476</v>
      </c>
      <c r="AN22" s="135">
        <v>1.0</v>
      </c>
      <c r="AO22" s="68" t="s">
        <v>485</v>
      </c>
      <c r="AP22" s="779" t="s">
        <v>476</v>
      </c>
      <c r="AQ22" s="135">
        <v>1.0</v>
      </c>
      <c r="AR22" s="68" t="s">
        <v>485</v>
      </c>
      <c r="AS22" s="779" t="s">
        <v>476</v>
      </c>
      <c r="AT22" s="135">
        <v>1.0</v>
      </c>
      <c r="AU22" s="68" t="s">
        <v>485</v>
      </c>
      <c r="AV22" s="779" t="s">
        <v>476</v>
      </c>
      <c r="AW22" s="135">
        <v>1.0</v>
      </c>
      <c r="AX22" s="68" t="s">
        <v>485</v>
      </c>
      <c r="AY22" s="779" t="s">
        <v>476</v>
      </c>
      <c r="AZ22" s="135">
        <v>1.0</v>
      </c>
      <c r="BA22" s="68" t="s">
        <v>485</v>
      </c>
      <c r="BB22" s="779" t="s">
        <v>476</v>
      </c>
      <c r="BC22" s="135">
        <v>1.0</v>
      </c>
      <c r="BD22" s="68" t="s">
        <v>485</v>
      </c>
      <c r="BE22" s="779" t="s">
        <v>476</v>
      </c>
      <c r="BF22" s="135">
        <v>1.0</v>
      </c>
      <c r="BG22" s="68" t="s">
        <v>485</v>
      </c>
      <c r="BH22" s="779" t="s">
        <v>476</v>
      </c>
      <c r="BI22" s="135">
        <v>1.0</v>
      </c>
      <c r="BJ22" s="68" t="s">
        <v>485</v>
      </c>
      <c r="BK22" s="779" t="s">
        <v>476</v>
      </c>
      <c r="BL22" s="135">
        <v>1.0</v>
      </c>
      <c r="BM22" s="68" t="s">
        <v>485</v>
      </c>
      <c r="BN22" s="779" t="s">
        <v>476</v>
      </c>
      <c r="BO22" s="135">
        <v>1.0</v>
      </c>
      <c r="BP22" s="68" t="s">
        <v>485</v>
      </c>
      <c r="BQ22" s="779" t="s">
        <v>476</v>
      </c>
      <c r="BR22" s="135">
        <v>1.0</v>
      </c>
      <c r="BS22" s="68" t="s">
        <v>485</v>
      </c>
      <c r="BT22" s="779" t="s">
        <v>476</v>
      </c>
      <c r="BU22" s="135">
        <v>1.0</v>
      </c>
      <c r="BV22" s="68" t="s">
        <v>485</v>
      </c>
      <c r="BW22" s="779" t="s">
        <v>476</v>
      </c>
      <c r="BX22" s="135">
        <v>1.0</v>
      </c>
      <c r="BY22" s="68" t="s">
        <v>485</v>
      </c>
      <c r="BZ22" s="779" t="s">
        <v>476</v>
      </c>
      <c r="CA22" s="135">
        <v>1.0</v>
      </c>
      <c r="CB22" s="68" t="s">
        <v>485</v>
      </c>
      <c r="CC22" s="779" t="s">
        <v>476</v>
      </c>
      <c r="CD22" s="135">
        <v>1.0</v>
      </c>
      <c r="CE22" s="68" t="s">
        <v>485</v>
      </c>
      <c r="CF22" s="779" t="s">
        <v>476</v>
      </c>
      <c r="CG22" s="135">
        <v>1.0</v>
      </c>
      <c r="CH22" s="68" t="s">
        <v>485</v>
      </c>
      <c r="CI22" s="779" t="s">
        <v>476</v>
      </c>
      <c r="CJ22" s="135">
        <v>1.0</v>
      </c>
      <c r="CK22" s="68" t="s">
        <v>485</v>
      </c>
      <c r="CL22" s="779" t="s">
        <v>476</v>
      </c>
      <c r="CM22" s="135">
        <v>1.0</v>
      </c>
      <c r="CN22" s="68" t="s">
        <v>485</v>
      </c>
      <c r="CO22" s="779" t="s">
        <v>476</v>
      </c>
      <c r="CP22" s="135">
        <v>1.0</v>
      </c>
      <c r="CQ22" s="68" t="s">
        <v>485</v>
      </c>
      <c r="CR22" s="779" t="s">
        <v>476</v>
      </c>
      <c r="CS22" s="135">
        <v>1.0</v>
      </c>
      <c r="CT22" s="68" t="s">
        <v>485</v>
      </c>
      <c r="CU22" s="779" t="s">
        <v>476</v>
      </c>
      <c r="CV22" s="135">
        <v>1.0</v>
      </c>
      <c r="CW22" s="68" t="s">
        <v>485</v>
      </c>
      <c r="CX22" s="779" t="s">
        <v>476</v>
      </c>
      <c r="CY22" s="135">
        <v>1.0</v>
      </c>
      <c r="CZ22" s="68" t="s">
        <v>485</v>
      </c>
      <c r="DA22" s="779" t="s">
        <v>476</v>
      </c>
      <c r="DB22" s="135">
        <v>1.0</v>
      </c>
      <c r="DC22" s="68" t="s">
        <v>485</v>
      </c>
      <c r="DD22" s="779" t="s">
        <v>476</v>
      </c>
      <c r="DE22" s="135">
        <v>1.0</v>
      </c>
      <c r="DF22" s="68" t="s">
        <v>485</v>
      </c>
      <c r="DG22" s="779" t="s">
        <v>476</v>
      </c>
      <c r="DH22" s="135">
        <v>1.0</v>
      </c>
      <c r="DI22" s="68" t="s">
        <v>485</v>
      </c>
      <c r="DJ22" s="779" t="s">
        <v>476</v>
      </c>
      <c r="DK22" s="135">
        <v>1.0</v>
      </c>
      <c r="DL22" s="68" t="s">
        <v>485</v>
      </c>
      <c r="DM22" s="779" t="s">
        <v>476</v>
      </c>
      <c r="DN22" s="135">
        <v>1.0</v>
      </c>
      <c r="DO22" s="68" t="s">
        <v>485</v>
      </c>
      <c r="DP22" s="779" t="s">
        <v>476</v>
      </c>
      <c r="DQ22" s="135">
        <v>1.0</v>
      </c>
      <c r="DR22" s="68" t="s">
        <v>485</v>
      </c>
      <c r="DS22" s="779" t="s">
        <v>476</v>
      </c>
      <c r="DT22" s="135">
        <v>1.0</v>
      </c>
      <c r="DU22" s="68" t="s">
        <v>485</v>
      </c>
      <c r="DV22" s="779" t="s">
        <v>476</v>
      </c>
      <c r="DW22" s="135">
        <v>1.0</v>
      </c>
      <c r="DX22" s="68" t="s">
        <v>485</v>
      </c>
      <c r="DY22" s="779" t="s">
        <v>476</v>
      </c>
      <c r="DZ22" s="135">
        <v>1.0</v>
      </c>
      <c r="EA22" s="68" t="s">
        <v>485</v>
      </c>
      <c r="EB22" s="779" t="s">
        <v>476</v>
      </c>
      <c r="EC22" s="135">
        <v>1.0</v>
      </c>
      <c r="ED22" s="111"/>
      <c r="EE22" s="111"/>
      <c r="EF22" s="111"/>
    </row>
    <row r="23" ht="15.0" customHeight="1" outlineLevel="1">
      <c r="A23" s="60">
        <v>13.0</v>
      </c>
      <c r="B23" s="747" t="s">
        <v>105</v>
      </c>
      <c r="C23" s="747" t="s">
        <v>106</v>
      </c>
      <c r="D23" s="71" t="s">
        <v>85</v>
      </c>
      <c r="E23" s="146" t="s">
        <v>107</v>
      </c>
      <c r="F23" s="72">
        <v>1105.0</v>
      </c>
      <c r="G23" s="147" t="s">
        <v>101</v>
      </c>
      <c r="H23" s="139">
        <v>1105.0</v>
      </c>
      <c r="I23" s="74" t="str">
        <f>IFERROR(VLOOKUP(C21:C163,'R22 RELATÓRIO ACC'!B:F,5,FALSE),"NOT PUBLISHED")</f>
        <v>V9</v>
      </c>
      <c r="J23" s="74" t="str">
        <f>IFERROR(VLOOKUP(C21:C163,'R22 RELATÓRIO ACC'!B:P,15,FALSE),"NOT PUBLISHED")</f>
        <v>27/03/2026</v>
      </c>
      <c r="K23" s="141" t="str">
        <f>IFERROR(VLOOKUP(B21:B163,'RELATÓRIO ACC'!B:F,5,FALSE),"NOT PUBLISHED")</f>
        <v>V2</v>
      </c>
      <c r="L23" s="748" t="str">
        <f>IFERROR(VLOOKUP(B21:B163,'RELATÓRIO ACC'!B:P,15,FALSE),"NOT PUBLISHED")</f>
        <v>26/06/2026</v>
      </c>
      <c r="M23" s="141" t="s">
        <v>479</v>
      </c>
      <c r="N23" s="756" t="s">
        <v>488</v>
      </c>
      <c r="O23" s="740" t="s">
        <v>482</v>
      </c>
      <c r="P23" s="751" t="s">
        <v>102</v>
      </c>
      <c r="Q23" s="746" t="s">
        <v>466</v>
      </c>
      <c r="R23" s="74" t="s">
        <v>462</v>
      </c>
      <c r="S23" s="749" t="s">
        <v>466</v>
      </c>
      <c r="T23" s="746" t="s">
        <v>466</v>
      </c>
      <c r="U23" s="74" t="s">
        <v>462</v>
      </c>
      <c r="V23" s="749" t="s">
        <v>466</v>
      </c>
      <c r="W23" s="746" t="s">
        <v>484</v>
      </c>
      <c r="X23" s="766" t="s">
        <v>476</v>
      </c>
      <c r="Y23" s="773">
        <v>1.0</v>
      </c>
      <c r="Z23" s="746" t="s">
        <v>484</v>
      </c>
      <c r="AA23" s="775" t="s">
        <v>476</v>
      </c>
      <c r="AB23" s="768">
        <v>1.0</v>
      </c>
      <c r="AC23" s="746" t="s">
        <v>484</v>
      </c>
      <c r="AD23" s="775" t="s">
        <v>476</v>
      </c>
      <c r="AE23" s="768">
        <v>1.0</v>
      </c>
      <c r="AF23" s="746" t="s">
        <v>485</v>
      </c>
      <c r="AG23" s="775" t="s">
        <v>476</v>
      </c>
      <c r="AH23" s="768">
        <v>1.0</v>
      </c>
      <c r="AI23" s="746" t="s">
        <v>485</v>
      </c>
      <c r="AJ23" s="775" t="s">
        <v>476</v>
      </c>
      <c r="AK23" s="768">
        <v>1.0</v>
      </c>
      <c r="AL23" s="746" t="s">
        <v>485</v>
      </c>
      <c r="AM23" s="775" t="s">
        <v>476</v>
      </c>
      <c r="AN23" s="768">
        <v>1.0</v>
      </c>
      <c r="AO23" s="746" t="s">
        <v>485</v>
      </c>
      <c r="AP23" s="775" t="s">
        <v>476</v>
      </c>
      <c r="AQ23" s="768">
        <v>1.0</v>
      </c>
      <c r="AR23" s="746" t="s">
        <v>485</v>
      </c>
      <c r="AS23" s="775" t="s">
        <v>476</v>
      </c>
      <c r="AT23" s="768">
        <v>1.0</v>
      </c>
      <c r="AU23" s="746" t="s">
        <v>485</v>
      </c>
      <c r="AV23" s="775" t="s">
        <v>476</v>
      </c>
      <c r="AW23" s="768">
        <v>1.0</v>
      </c>
      <c r="AX23" s="746" t="s">
        <v>485</v>
      </c>
      <c r="AY23" s="775" t="s">
        <v>476</v>
      </c>
      <c r="AZ23" s="768">
        <v>1.0</v>
      </c>
      <c r="BA23" s="746" t="s">
        <v>485</v>
      </c>
      <c r="BB23" s="775" t="s">
        <v>476</v>
      </c>
      <c r="BC23" s="768">
        <v>1.0</v>
      </c>
      <c r="BD23" s="746" t="s">
        <v>485</v>
      </c>
      <c r="BE23" s="775" t="s">
        <v>476</v>
      </c>
      <c r="BF23" s="768">
        <v>1.0</v>
      </c>
      <c r="BG23" s="746" t="s">
        <v>485</v>
      </c>
      <c r="BH23" s="775" t="s">
        <v>476</v>
      </c>
      <c r="BI23" s="768">
        <v>1.0</v>
      </c>
      <c r="BJ23" s="746" t="s">
        <v>485</v>
      </c>
      <c r="BK23" s="775" t="s">
        <v>476</v>
      </c>
      <c r="BL23" s="768">
        <v>1.0</v>
      </c>
      <c r="BM23" s="746" t="s">
        <v>485</v>
      </c>
      <c r="BN23" s="775" t="s">
        <v>476</v>
      </c>
      <c r="BO23" s="768">
        <v>1.0</v>
      </c>
      <c r="BP23" s="746" t="s">
        <v>485</v>
      </c>
      <c r="BQ23" s="775" t="s">
        <v>476</v>
      </c>
      <c r="BR23" s="768">
        <v>1.0</v>
      </c>
      <c r="BS23" s="746" t="s">
        <v>485</v>
      </c>
      <c r="BT23" s="775" t="s">
        <v>476</v>
      </c>
      <c r="BU23" s="768">
        <v>1.0</v>
      </c>
      <c r="BV23" s="746" t="s">
        <v>485</v>
      </c>
      <c r="BW23" s="775" t="s">
        <v>476</v>
      </c>
      <c r="BX23" s="768">
        <v>1.0</v>
      </c>
      <c r="BY23" s="746" t="s">
        <v>485</v>
      </c>
      <c r="BZ23" s="775" t="s">
        <v>476</v>
      </c>
      <c r="CA23" s="768">
        <v>1.0</v>
      </c>
      <c r="CB23" s="746" t="s">
        <v>485</v>
      </c>
      <c r="CC23" s="775" t="s">
        <v>476</v>
      </c>
      <c r="CD23" s="768">
        <v>1.0</v>
      </c>
      <c r="CE23" s="746" t="s">
        <v>485</v>
      </c>
      <c r="CF23" s="775" t="s">
        <v>476</v>
      </c>
      <c r="CG23" s="768">
        <v>1.0</v>
      </c>
      <c r="CH23" s="746" t="s">
        <v>485</v>
      </c>
      <c r="CI23" s="775" t="s">
        <v>476</v>
      </c>
      <c r="CJ23" s="768">
        <v>1.0</v>
      </c>
      <c r="CK23" s="746" t="s">
        <v>485</v>
      </c>
      <c r="CL23" s="775" t="s">
        <v>476</v>
      </c>
      <c r="CM23" s="768">
        <v>1.0</v>
      </c>
      <c r="CN23" s="746" t="s">
        <v>485</v>
      </c>
      <c r="CO23" s="775" t="s">
        <v>476</v>
      </c>
      <c r="CP23" s="768">
        <v>1.0</v>
      </c>
      <c r="CQ23" s="746" t="s">
        <v>485</v>
      </c>
      <c r="CR23" s="775" t="s">
        <v>476</v>
      </c>
      <c r="CS23" s="768">
        <v>1.0</v>
      </c>
      <c r="CT23" s="746" t="s">
        <v>485</v>
      </c>
      <c r="CU23" s="775" t="s">
        <v>476</v>
      </c>
      <c r="CV23" s="768">
        <v>1.0</v>
      </c>
      <c r="CW23" s="746" t="s">
        <v>485</v>
      </c>
      <c r="CX23" s="775" t="s">
        <v>476</v>
      </c>
      <c r="CY23" s="768">
        <v>1.0</v>
      </c>
      <c r="CZ23" s="746" t="s">
        <v>485</v>
      </c>
      <c r="DA23" s="775" t="s">
        <v>476</v>
      </c>
      <c r="DB23" s="768">
        <v>1.0</v>
      </c>
      <c r="DC23" s="746" t="s">
        <v>485</v>
      </c>
      <c r="DD23" s="775" t="s">
        <v>476</v>
      </c>
      <c r="DE23" s="768">
        <v>1.0</v>
      </c>
      <c r="DF23" s="746" t="s">
        <v>485</v>
      </c>
      <c r="DG23" s="775" t="s">
        <v>476</v>
      </c>
      <c r="DH23" s="768">
        <v>1.0</v>
      </c>
      <c r="DI23" s="746" t="s">
        <v>485</v>
      </c>
      <c r="DJ23" s="775" t="s">
        <v>476</v>
      </c>
      <c r="DK23" s="768">
        <v>1.0</v>
      </c>
      <c r="DL23" s="746" t="s">
        <v>485</v>
      </c>
      <c r="DM23" s="775" t="s">
        <v>476</v>
      </c>
      <c r="DN23" s="768">
        <v>1.0</v>
      </c>
      <c r="DO23" s="746" t="s">
        <v>485</v>
      </c>
      <c r="DP23" s="775" t="s">
        <v>476</v>
      </c>
      <c r="DQ23" s="768">
        <v>1.0</v>
      </c>
      <c r="DR23" s="746" t="s">
        <v>485</v>
      </c>
      <c r="DS23" s="775" t="s">
        <v>476</v>
      </c>
      <c r="DT23" s="768">
        <v>1.0</v>
      </c>
      <c r="DU23" s="746" t="s">
        <v>485</v>
      </c>
      <c r="DV23" s="775" t="s">
        <v>476</v>
      </c>
      <c r="DW23" s="768">
        <v>1.0</v>
      </c>
      <c r="DX23" s="746" t="s">
        <v>485</v>
      </c>
      <c r="DY23" s="775" t="s">
        <v>476</v>
      </c>
      <c r="DZ23" s="768">
        <v>1.0</v>
      </c>
      <c r="EA23" s="746" t="s">
        <v>485</v>
      </c>
      <c r="EB23" s="775" t="s">
        <v>476</v>
      </c>
      <c r="EC23" s="768">
        <v>1.0</v>
      </c>
      <c r="ED23" s="111"/>
      <c r="EE23" s="111"/>
      <c r="EF23" s="111"/>
    </row>
    <row r="24" ht="15.0" customHeight="1">
      <c r="A24" s="60">
        <v>14.0</v>
      </c>
      <c r="B24" s="769" t="s">
        <v>108</v>
      </c>
      <c r="C24" s="769" t="s">
        <v>109</v>
      </c>
      <c r="D24" s="770" t="s">
        <v>85</v>
      </c>
      <c r="E24" s="157" t="s">
        <v>100</v>
      </c>
      <c r="F24" s="771">
        <v>1104.0</v>
      </c>
      <c r="G24" s="771" t="s">
        <v>101</v>
      </c>
      <c r="H24" s="139">
        <v>1127.0</v>
      </c>
      <c r="I24" s="74" t="str">
        <f>IFERROR(VLOOKUP(C22:C164,'R22 RELATÓRIO ACC'!B:F,5,FALSE),"NOT PUBLISHED")</f>
        <v>V13</v>
      </c>
      <c r="J24" s="74" t="str">
        <f>IFERROR(VLOOKUP(C22:C164,'R22 RELATÓRIO ACC'!B:P,15,FALSE),"NOT PUBLISHED")</f>
        <v>02/03/2026</v>
      </c>
      <c r="K24" s="141" t="str">
        <f>IFERROR(VLOOKUP(B22:B164,'RELATÓRIO ACC'!B:F,5,FALSE),"NOT PUBLISHED")</f>
        <v>V3</v>
      </c>
      <c r="L24" s="748" t="str">
        <f>IFERROR(VLOOKUP(B22:B164,'RELATÓRIO ACC'!B:P,15,FALSE),"NOT PUBLISHED")</f>
        <v>24/06/2026</v>
      </c>
      <c r="M24" s="126" t="s">
        <v>489</v>
      </c>
      <c r="N24" s="772" t="s">
        <v>488</v>
      </c>
      <c r="O24" s="740" t="s">
        <v>482</v>
      </c>
      <c r="P24" s="751" t="s">
        <v>102</v>
      </c>
      <c r="Q24" s="746" t="s">
        <v>477</v>
      </c>
      <c r="R24" s="766" t="s">
        <v>476</v>
      </c>
      <c r="S24" s="773">
        <v>0.78</v>
      </c>
      <c r="T24" s="746" t="s">
        <v>484</v>
      </c>
      <c r="U24" s="766" t="s">
        <v>476</v>
      </c>
      <c r="V24" s="773">
        <v>1.0</v>
      </c>
      <c r="W24" s="746" t="s">
        <v>484</v>
      </c>
      <c r="X24" s="780" t="s">
        <v>476</v>
      </c>
      <c r="Y24" s="781">
        <v>1.0</v>
      </c>
      <c r="Z24" s="774" t="s">
        <v>484</v>
      </c>
      <c r="AA24" s="775" t="s">
        <v>476</v>
      </c>
      <c r="AB24" s="768">
        <v>1.0</v>
      </c>
      <c r="AC24" s="776" t="s">
        <v>484</v>
      </c>
      <c r="AD24" s="777" t="s">
        <v>476</v>
      </c>
      <c r="AE24" s="778">
        <v>1.0</v>
      </c>
      <c r="AF24" s="68" t="s">
        <v>485</v>
      </c>
      <c r="AG24" s="779" t="s">
        <v>476</v>
      </c>
      <c r="AH24" s="135">
        <v>1.0</v>
      </c>
      <c r="AI24" s="68" t="s">
        <v>485</v>
      </c>
      <c r="AJ24" s="779" t="s">
        <v>476</v>
      </c>
      <c r="AK24" s="135">
        <v>1.0</v>
      </c>
      <c r="AL24" s="68" t="s">
        <v>485</v>
      </c>
      <c r="AM24" s="779" t="s">
        <v>476</v>
      </c>
      <c r="AN24" s="135">
        <v>1.0</v>
      </c>
      <c r="AO24" s="68" t="s">
        <v>485</v>
      </c>
      <c r="AP24" s="779" t="s">
        <v>476</v>
      </c>
      <c r="AQ24" s="135">
        <v>1.0</v>
      </c>
      <c r="AR24" s="68" t="s">
        <v>485</v>
      </c>
      <c r="AS24" s="779" t="s">
        <v>476</v>
      </c>
      <c r="AT24" s="135">
        <v>1.0</v>
      </c>
      <c r="AU24" s="68" t="s">
        <v>485</v>
      </c>
      <c r="AV24" s="779" t="s">
        <v>476</v>
      </c>
      <c r="AW24" s="135">
        <v>1.0</v>
      </c>
      <c r="AX24" s="68" t="s">
        <v>485</v>
      </c>
      <c r="AY24" s="779" t="s">
        <v>476</v>
      </c>
      <c r="AZ24" s="135">
        <v>1.0</v>
      </c>
      <c r="BA24" s="68" t="s">
        <v>485</v>
      </c>
      <c r="BB24" s="779" t="s">
        <v>476</v>
      </c>
      <c r="BC24" s="135">
        <v>1.0</v>
      </c>
      <c r="BD24" s="68" t="s">
        <v>485</v>
      </c>
      <c r="BE24" s="779" t="s">
        <v>476</v>
      </c>
      <c r="BF24" s="135">
        <v>1.0</v>
      </c>
      <c r="BG24" s="68" t="s">
        <v>485</v>
      </c>
      <c r="BH24" s="779" t="s">
        <v>476</v>
      </c>
      <c r="BI24" s="135">
        <v>1.0</v>
      </c>
      <c r="BJ24" s="68" t="s">
        <v>485</v>
      </c>
      <c r="BK24" s="779" t="s">
        <v>476</v>
      </c>
      <c r="BL24" s="135">
        <v>1.0</v>
      </c>
      <c r="BM24" s="68" t="s">
        <v>485</v>
      </c>
      <c r="BN24" s="779" t="s">
        <v>476</v>
      </c>
      <c r="BO24" s="135">
        <v>1.0</v>
      </c>
      <c r="BP24" s="68" t="s">
        <v>485</v>
      </c>
      <c r="BQ24" s="779" t="s">
        <v>476</v>
      </c>
      <c r="BR24" s="135">
        <v>1.0</v>
      </c>
      <c r="BS24" s="68" t="s">
        <v>485</v>
      </c>
      <c r="BT24" s="779" t="s">
        <v>476</v>
      </c>
      <c r="BU24" s="135">
        <v>1.0</v>
      </c>
      <c r="BV24" s="68" t="s">
        <v>485</v>
      </c>
      <c r="BW24" s="779" t="s">
        <v>476</v>
      </c>
      <c r="BX24" s="135">
        <v>1.0</v>
      </c>
      <c r="BY24" s="68" t="s">
        <v>485</v>
      </c>
      <c r="BZ24" s="779" t="s">
        <v>476</v>
      </c>
      <c r="CA24" s="135">
        <v>1.0</v>
      </c>
      <c r="CB24" s="68" t="s">
        <v>485</v>
      </c>
      <c r="CC24" s="779" t="s">
        <v>476</v>
      </c>
      <c r="CD24" s="135">
        <v>1.0</v>
      </c>
      <c r="CE24" s="68" t="s">
        <v>485</v>
      </c>
      <c r="CF24" s="779" t="s">
        <v>476</v>
      </c>
      <c r="CG24" s="135">
        <v>1.0</v>
      </c>
      <c r="CH24" s="68" t="s">
        <v>485</v>
      </c>
      <c r="CI24" s="779" t="s">
        <v>476</v>
      </c>
      <c r="CJ24" s="135">
        <v>1.0</v>
      </c>
      <c r="CK24" s="68" t="s">
        <v>485</v>
      </c>
      <c r="CL24" s="779" t="s">
        <v>476</v>
      </c>
      <c r="CM24" s="135">
        <v>1.0</v>
      </c>
      <c r="CN24" s="68" t="s">
        <v>485</v>
      </c>
      <c r="CO24" s="779" t="s">
        <v>476</v>
      </c>
      <c r="CP24" s="135">
        <v>1.0</v>
      </c>
      <c r="CQ24" s="68" t="s">
        <v>485</v>
      </c>
      <c r="CR24" s="779" t="s">
        <v>476</v>
      </c>
      <c r="CS24" s="135">
        <v>1.0</v>
      </c>
      <c r="CT24" s="68" t="s">
        <v>485</v>
      </c>
      <c r="CU24" s="779" t="s">
        <v>476</v>
      </c>
      <c r="CV24" s="135">
        <v>1.0</v>
      </c>
      <c r="CW24" s="68" t="s">
        <v>485</v>
      </c>
      <c r="CX24" s="779" t="s">
        <v>476</v>
      </c>
      <c r="CY24" s="135">
        <v>1.0</v>
      </c>
      <c r="CZ24" s="68" t="s">
        <v>485</v>
      </c>
      <c r="DA24" s="779" t="s">
        <v>476</v>
      </c>
      <c r="DB24" s="135">
        <v>1.0</v>
      </c>
      <c r="DC24" s="68" t="s">
        <v>485</v>
      </c>
      <c r="DD24" s="779" t="s">
        <v>476</v>
      </c>
      <c r="DE24" s="135">
        <v>1.0</v>
      </c>
      <c r="DF24" s="68" t="s">
        <v>485</v>
      </c>
      <c r="DG24" s="779" t="s">
        <v>476</v>
      </c>
      <c r="DH24" s="135">
        <v>1.0</v>
      </c>
      <c r="DI24" s="68" t="s">
        <v>485</v>
      </c>
      <c r="DJ24" s="779" t="s">
        <v>476</v>
      </c>
      <c r="DK24" s="135">
        <v>1.0</v>
      </c>
      <c r="DL24" s="68" t="s">
        <v>485</v>
      </c>
      <c r="DM24" s="779" t="s">
        <v>476</v>
      </c>
      <c r="DN24" s="135">
        <v>1.0</v>
      </c>
      <c r="DO24" s="68" t="s">
        <v>485</v>
      </c>
      <c r="DP24" s="779" t="s">
        <v>476</v>
      </c>
      <c r="DQ24" s="135">
        <v>1.0</v>
      </c>
      <c r="DR24" s="68" t="s">
        <v>485</v>
      </c>
      <c r="DS24" s="779" t="s">
        <v>476</v>
      </c>
      <c r="DT24" s="135">
        <v>1.0</v>
      </c>
      <c r="DU24" s="68" t="s">
        <v>485</v>
      </c>
      <c r="DV24" s="779" t="s">
        <v>476</v>
      </c>
      <c r="DW24" s="135">
        <v>1.0</v>
      </c>
      <c r="DX24" s="68" t="s">
        <v>485</v>
      </c>
      <c r="DY24" s="779" t="s">
        <v>476</v>
      </c>
      <c r="DZ24" s="135">
        <v>1.0</v>
      </c>
      <c r="EA24" s="68" t="s">
        <v>485</v>
      </c>
      <c r="EB24" s="779" t="s">
        <v>476</v>
      </c>
      <c r="EC24" s="135">
        <v>1.0</v>
      </c>
      <c r="ED24" s="111"/>
      <c r="EE24" s="111"/>
      <c r="EF24" s="111"/>
    </row>
    <row r="25" ht="15.0" customHeight="1" outlineLevel="1">
      <c r="A25" s="60">
        <v>22.0</v>
      </c>
      <c r="B25" s="747" t="s">
        <v>130</v>
      </c>
      <c r="C25" s="747" t="s">
        <v>131</v>
      </c>
      <c r="D25" s="71" t="s">
        <v>85</v>
      </c>
      <c r="E25" s="146" t="s">
        <v>132</v>
      </c>
      <c r="F25" s="72">
        <v>1110.0</v>
      </c>
      <c r="G25" s="139" t="s">
        <v>133</v>
      </c>
      <c r="H25" s="139">
        <v>1128.0</v>
      </c>
      <c r="I25" s="74" t="str">
        <f>IFERROR(VLOOKUP(C23:C165,'R22 RELATÓRIO ACC'!B:F,5,FALSE),"NOT PUBLISHED")</f>
        <v>V25</v>
      </c>
      <c r="J25" s="74" t="str">
        <f>IFERROR(VLOOKUP(C23:C165,'R22 RELATÓRIO ACC'!B:P,15,FALSE),"NOT PUBLISHED")</f>
        <v>06/05/2026</v>
      </c>
      <c r="K25" s="141" t="str">
        <f>IFERROR(VLOOKUP(B23:B165,'RELATÓRIO ACC'!B:F,5,FALSE),"NOT PUBLISHED")</f>
        <v>V3</v>
      </c>
      <c r="L25" s="748" t="str">
        <f>IFERROR(VLOOKUP(B23:B165,'RELATÓRIO ACC'!B:P,15,FALSE),"NOT PUBLISHED")</f>
        <v>07/07/2026</v>
      </c>
      <c r="M25" s="141" t="s">
        <v>490</v>
      </c>
      <c r="N25" s="782">
        <v>45854.0</v>
      </c>
      <c r="O25" s="740" t="s">
        <v>482</v>
      </c>
      <c r="P25" s="751" t="s">
        <v>102</v>
      </c>
      <c r="Q25" s="746" t="s">
        <v>477</v>
      </c>
      <c r="R25" s="766" t="s">
        <v>476</v>
      </c>
      <c r="S25" s="773">
        <v>0.62</v>
      </c>
      <c r="T25" s="746" t="s">
        <v>477</v>
      </c>
      <c r="U25" s="766" t="s">
        <v>476</v>
      </c>
      <c r="V25" s="773">
        <v>0.91</v>
      </c>
      <c r="W25" s="746" t="s">
        <v>484</v>
      </c>
      <c r="X25" s="766" t="s">
        <v>476</v>
      </c>
      <c r="Y25" s="773">
        <v>1.0</v>
      </c>
      <c r="Z25" s="746" t="s">
        <v>484</v>
      </c>
      <c r="AA25" s="766" t="s">
        <v>476</v>
      </c>
      <c r="AB25" s="768">
        <v>1.0</v>
      </c>
      <c r="AC25" s="746" t="s">
        <v>484</v>
      </c>
      <c r="AD25" s="766" t="s">
        <v>476</v>
      </c>
      <c r="AE25" s="764">
        <v>1.0</v>
      </c>
      <c r="AF25" s="746" t="s">
        <v>485</v>
      </c>
      <c r="AG25" s="766" t="s">
        <v>476</v>
      </c>
      <c r="AH25" s="762">
        <v>1.0</v>
      </c>
      <c r="AI25" s="746" t="s">
        <v>485</v>
      </c>
      <c r="AJ25" s="766" t="s">
        <v>476</v>
      </c>
      <c r="AK25" s="764">
        <v>1.0</v>
      </c>
      <c r="AL25" s="746" t="s">
        <v>485</v>
      </c>
      <c r="AM25" s="775" t="s">
        <v>476</v>
      </c>
      <c r="AN25" s="773">
        <v>1.0</v>
      </c>
      <c r="AO25" s="746" t="s">
        <v>485</v>
      </c>
      <c r="AP25" s="775" t="s">
        <v>476</v>
      </c>
      <c r="AQ25" s="773">
        <v>1.0</v>
      </c>
      <c r="AR25" s="746" t="s">
        <v>485</v>
      </c>
      <c r="AS25" s="775" t="s">
        <v>476</v>
      </c>
      <c r="AT25" s="773">
        <v>1.0</v>
      </c>
      <c r="AU25" s="746" t="s">
        <v>485</v>
      </c>
      <c r="AV25" s="775" t="s">
        <v>476</v>
      </c>
      <c r="AW25" s="773">
        <v>1.0</v>
      </c>
      <c r="AX25" s="746" t="s">
        <v>485</v>
      </c>
      <c r="AY25" s="775" t="s">
        <v>476</v>
      </c>
      <c r="AZ25" s="773">
        <v>1.0</v>
      </c>
      <c r="BA25" s="746" t="s">
        <v>485</v>
      </c>
      <c r="BB25" s="775" t="s">
        <v>476</v>
      </c>
      <c r="BC25" s="773">
        <v>1.0</v>
      </c>
      <c r="BD25" s="746" t="s">
        <v>485</v>
      </c>
      <c r="BE25" s="775" t="s">
        <v>476</v>
      </c>
      <c r="BF25" s="773">
        <v>1.0</v>
      </c>
      <c r="BG25" s="746" t="s">
        <v>485</v>
      </c>
      <c r="BH25" s="775" t="s">
        <v>476</v>
      </c>
      <c r="BI25" s="773">
        <v>1.0</v>
      </c>
      <c r="BJ25" s="746" t="s">
        <v>485</v>
      </c>
      <c r="BK25" s="775" t="s">
        <v>476</v>
      </c>
      <c r="BL25" s="773">
        <v>1.0</v>
      </c>
      <c r="BM25" s="746" t="s">
        <v>485</v>
      </c>
      <c r="BN25" s="775" t="s">
        <v>476</v>
      </c>
      <c r="BO25" s="773">
        <v>1.0</v>
      </c>
      <c r="BP25" s="746" t="s">
        <v>485</v>
      </c>
      <c r="BQ25" s="775" t="s">
        <v>476</v>
      </c>
      <c r="BR25" s="773">
        <v>1.0</v>
      </c>
      <c r="BS25" s="746" t="s">
        <v>485</v>
      </c>
      <c r="BT25" s="775" t="s">
        <v>476</v>
      </c>
      <c r="BU25" s="773">
        <v>1.0</v>
      </c>
      <c r="BV25" s="746" t="s">
        <v>485</v>
      </c>
      <c r="BW25" s="775" t="s">
        <v>476</v>
      </c>
      <c r="BX25" s="773">
        <v>1.0</v>
      </c>
      <c r="BY25" s="746" t="s">
        <v>485</v>
      </c>
      <c r="BZ25" s="775" t="s">
        <v>476</v>
      </c>
      <c r="CA25" s="773">
        <v>1.0</v>
      </c>
      <c r="CB25" s="746" t="s">
        <v>485</v>
      </c>
      <c r="CC25" s="775" t="s">
        <v>476</v>
      </c>
      <c r="CD25" s="773">
        <v>1.0</v>
      </c>
      <c r="CE25" s="746" t="s">
        <v>485</v>
      </c>
      <c r="CF25" s="775" t="s">
        <v>476</v>
      </c>
      <c r="CG25" s="773">
        <v>1.0</v>
      </c>
      <c r="CH25" s="746" t="s">
        <v>485</v>
      </c>
      <c r="CI25" s="775" t="s">
        <v>476</v>
      </c>
      <c r="CJ25" s="773">
        <v>1.0</v>
      </c>
      <c r="CK25" s="746" t="s">
        <v>485</v>
      </c>
      <c r="CL25" s="775" t="s">
        <v>476</v>
      </c>
      <c r="CM25" s="773">
        <v>1.0</v>
      </c>
      <c r="CN25" s="746" t="s">
        <v>485</v>
      </c>
      <c r="CO25" s="775" t="s">
        <v>476</v>
      </c>
      <c r="CP25" s="773">
        <v>1.0</v>
      </c>
      <c r="CQ25" s="746" t="s">
        <v>485</v>
      </c>
      <c r="CR25" s="775" t="s">
        <v>476</v>
      </c>
      <c r="CS25" s="773">
        <v>1.0</v>
      </c>
      <c r="CT25" s="746" t="s">
        <v>485</v>
      </c>
      <c r="CU25" s="775" t="s">
        <v>476</v>
      </c>
      <c r="CV25" s="773">
        <v>1.0</v>
      </c>
      <c r="CW25" s="746" t="s">
        <v>485</v>
      </c>
      <c r="CX25" s="775" t="s">
        <v>476</v>
      </c>
      <c r="CY25" s="773">
        <v>1.0</v>
      </c>
      <c r="CZ25" s="746" t="s">
        <v>485</v>
      </c>
      <c r="DA25" s="775" t="s">
        <v>476</v>
      </c>
      <c r="DB25" s="773">
        <v>1.0</v>
      </c>
      <c r="DC25" s="746" t="s">
        <v>485</v>
      </c>
      <c r="DD25" s="775" t="s">
        <v>476</v>
      </c>
      <c r="DE25" s="773">
        <v>1.0</v>
      </c>
      <c r="DF25" s="746" t="s">
        <v>485</v>
      </c>
      <c r="DG25" s="775" t="s">
        <v>476</v>
      </c>
      <c r="DH25" s="773">
        <v>1.0</v>
      </c>
      <c r="DI25" s="746" t="s">
        <v>485</v>
      </c>
      <c r="DJ25" s="775" t="s">
        <v>476</v>
      </c>
      <c r="DK25" s="773">
        <v>1.0</v>
      </c>
      <c r="DL25" s="746" t="s">
        <v>485</v>
      </c>
      <c r="DM25" s="775" t="s">
        <v>476</v>
      </c>
      <c r="DN25" s="773">
        <v>1.0</v>
      </c>
      <c r="DO25" s="746" t="s">
        <v>485</v>
      </c>
      <c r="DP25" s="775" t="s">
        <v>476</v>
      </c>
      <c r="DQ25" s="773">
        <v>1.0</v>
      </c>
      <c r="DR25" s="746" t="s">
        <v>485</v>
      </c>
      <c r="DS25" s="775" t="s">
        <v>476</v>
      </c>
      <c r="DT25" s="773">
        <v>1.0</v>
      </c>
      <c r="DU25" s="746" t="s">
        <v>485</v>
      </c>
      <c r="DV25" s="775" t="s">
        <v>476</v>
      </c>
      <c r="DW25" s="773">
        <v>1.0</v>
      </c>
      <c r="DX25" s="746" t="s">
        <v>485</v>
      </c>
      <c r="DY25" s="775" t="s">
        <v>476</v>
      </c>
      <c r="DZ25" s="773">
        <v>1.0</v>
      </c>
      <c r="EA25" s="746" t="s">
        <v>485</v>
      </c>
      <c r="EB25" s="775" t="s">
        <v>476</v>
      </c>
      <c r="EC25" s="773">
        <v>1.0</v>
      </c>
      <c r="ED25" s="111"/>
      <c r="EE25" s="111"/>
      <c r="EF25" s="111"/>
    </row>
    <row r="26" ht="13.5" customHeight="1">
      <c r="A26" s="60">
        <v>23.0</v>
      </c>
      <c r="B26" s="769" t="s">
        <v>134</v>
      </c>
      <c r="C26" s="769" t="s">
        <v>135</v>
      </c>
      <c r="D26" s="770" t="s">
        <v>85</v>
      </c>
      <c r="E26" s="771" t="s">
        <v>132</v>
      </c>
      <c r="F26" s="771">
        <v>1110.0</v>
      </c>
      <c r="G26" s="771" t="s">
        <v>133</v>
      </c>
      <c r="H26" s="139">
        <v>1128.0</v>
      </c>
      <c r="I26" s="74" t="str">
        <f>IFERROR(VLOOKUP(C24:C166,'R22 RELATÓRIO ACC'!B:F,5,FALSE),"NOT PUBLISHED")</f>
        <v>V30</v>
      </c>
      <c r="J26" s="74" t="str">
        <f>IFERROR(VLOOKUP(C24:C166,'R22 RELATÓRIO ACC'!B:P,15,FALSE),"NOT PUBLISHED")</f>
        <v>26/03/2026</v>
      </c>
      <c r="K26" s="141" t="str">
        <f>IFERROR(VLOOKUP(B24:B166,'RELATÓRIO ACC'!B:F,5,FALSE),"NOT PUBLISHED")</f>
        <v>V2</v>
      </c>
      <c r="L26" s="748" t="str">
        <f>IFERROR(VLOOKUP(B24:B166,'RELATÓRIO ACC'!B:P,15,FALSE),"NOT PUBLISHED")</f>
        <v>20/05/2026</v>
      </c>
      <c r="M26" s="126" t="s">
        <v>481</v>
      </c>
      <c r="N26" s="772" t="s">
        <v>491</v>
      </c>
      <c r="O26" s="740" t="s">
        <v>482</v>
      </c>
      <c r="P26" s="783" t="s">
        <v>129</v>
      </c>
      <c r="Q26" s="746" t="s">
        <v>477</v>
      </c>
      <c r="R26" s="766" t="s">
        <v>476</v>
      </c>
      <c r="S26" s="773">
        <v>0.48</v>
      </c>
      <c r="T26" s="746" t="s">
        <v>477</v>
      </c>
      <c r="U26" s="766" t="s">
        <v>476</v>
      </c>
      <c r="V26" s="773">
        <v>0.9</v>
      </c>
      <c r="W26" s="68" t="s">
        <v>477</v>
      </c>
      <c r="X26" s="759" t="s">
        <v>476</v>
      </c>
      <c r="Y26" s="784">
        <v>0.97</v>
      </c>
      <c r="Z26" s="774" t="s">
        <v>484</v>
      </c>
      <c r="AA26" s="775" t="s">
        <v>476</v>
      </c>
      <c r="AB26" s="768">
        <v>1.0</v>
      </c>
      <c r="AC26" s="776" t="s">
        <v>484</v>
      </c>
      <c r="AD26" s="777" t="s">
        <v>476</v>
      </c>
      <c r="AE26" s="778">
        <v>1.0</v>
      </c>
      <c r="AF26" s="68" t="s">
        <v>485</v>
      </c>
      <c r="AG26" s="779" t="s">
        <v>476</v>
      </c>
      <c r="AH26" s="135">
        <v>1.0</v>
      </c>
      <c r="AI26" s="68" t="s">
        <v>485</v>
      </c>
      <c r="AJ26" s="779" t="s">
        <v>476</v>
      </c>
      <c r="AK26" s="135">
        <v>1.0</v>
      </c>
      <c r="AL26" s="68" t="s">
        <v>485</v>
      </c>
      <c r="AM26" s="779" t="s">
        <v>476</v>
      </c>
      <c r="AN26" s="135">
        <v>1.0</v>
      </c>
      <c r="AO26" s="68" t="s">
        <v>485</v>
      </c>
      <c r="AP26" s="779" t="s">
        <v>476</v>
      </c>
      <c r="AQ26" s="135">
        <v>1.0</v>
      </c>
      <c r="AR26" s="68" t="s">
        <v>485</v>
      </c>
      <c r="AS26" s="779" t="s">
        <v>476</v>
      </c>
      <c r="AT26" s="135">
        <v>1.0</v>
      </c>
      <c r="AU26" s="68" t="s">
        <v>485</v>
      </c>
      <c r="AV26" s="779" t="s">
        <v>476</v>
      </c>
      <c r="AW26" s="135">
        <v>1.0</v>
      </c>
      <c r="AX26" s="68" t="s">
        <v>485</v>
      </c>
      <c r="AY26" s="779" t="s">
        <v>476</v>
      </c>
      <c r="AZ26" s="135">
        <v>1.0</v>
      </c>
      <c r="BA26" s="68" t="s">
        <v>485</v>
      </c>
      <c r="BB26" s="779" t="s">
        <v>476</v>
      </c>
      <c r="BC26" s="135">
        <v>1.0</v>
      </c>
      <c r="BD26" s="68" t="s">
        <v>485</v>
      </c>
      <c r="BE26" s="779" t="s">
        <v>476</v>
      </c>
      <c r="BF26" s="135">
        <v>1.0</v>
      </c>
      <c r="BG26" s="68" t="s">
        <v>485</v>
      </c>
      <c r="BH26" s="779" t="s">
        <v>476</v>
      </c>
      <c r="BI26" s="135">
        <v>1.0</v>
      </c>
      <c r="BJ26" s="68" t="s">
        <v>485</v>
      </c>
      <c r="BK26" s="779" t="s">
        <v>476</v>
      </c>
      <c r="BL26" s="135">
        <v>1.0</v>
      </c>
      <c r="BM26" s="68" t="s">
        <v>485</v>
      </c>
      <c r="BN26" s="779" t="s">
        <v>476</v>
      </c>
      <c r="BO26" s="135">
        <v>1.0</v>
      </c>
      <c r="BP26" s="68" t="s">
        <v>485</v>
      </c>
      <c r="BQ26" s="779" t="s">
        <v>476</v>
      </c>
      <c r="BR26" s="135">
        <v>1.0</v>
      </c>
      <c r="BS26" s="68" t="s">
        <v>485</v>
      </c>
      <c r="BT26" s="779" t="s">
        <v>476</v>
      </c>
      <c r="BU26" s="135">
        <v>1.0</v>
      </c>
      <c r="BV26" s="68" t="s">
        <v>485</v>
      </c>
      <c r="BW26" s="779" t="s">
        <v>476</v>
      </c>
      <c r="BX26" s="135">
        <v>1.0</v>
      </c>
      <c r="BY26" s="68" t="s">
        <v>485</v>
      </c>
      <c r="BZ26" s="779" t="s">
        <v>476</v>
      </c>
      <c r="CA26" s="135">
        <v>1.0</v>
      </c>
      <c r="CB26" s="68" t="s">
        <v>485</v>
      </c>
      <c r="CC26" s="779" t="s">
        <v>476</v>
      </c>
      <c r="CD26" s="135">
        <v>1.0</v>
      </c>
      <c r="CE26" s="68" t="s">
        <v>485</v>
      </c>
      <c r="CF26" s="779" t="s">
        <v>476</v>
      </c>
      <c r="CG26" s="135">
        <v>1.0</v>
      </c>
      <c r="CH26" s="68" t="s">
        <v>485</v>
      </c>
      <c r="CI26" s="779" t="s">
        <v>476</v>
      </c>
      <c r="CJ26" s="135">
        <v>1.0</v>
      </c>
      <c r="CK26" s="68" t="s">
        <v>485</v>
      </c>
      <c r="CL26" s="779" t="s">
        <v>476</v>
      </c>
      <c r="CM26" s="135">
        <v>1.0</v>
      </c>
      <c r="CN26" s="68" t="s">
        <v>485</v>
      </c>
      <c r="CO26" s="779" t="s">
        <v>476</v>
      </c>
      <c r="CP26" s="135">
        <v>1.0</v>
      </c>
      <c r="CQ26" s="68" t="s">
        <v>485</v>
      </c>
      <c r="CR26" s="779" t="s">
        <v>476</v>
      </c>
      <c r="CS26" s="135">
        <v>1.0</v>
      </c>
      <c r="CT26" s="68" t="s">
        <v>485</v>
      </c>
      <c r="CU26" s="779" t="s">
        <v>476</v>
      </c>
      <c r="CV26" s="135">
        <v>1.0</v>
      </c>
      <c r="CW26" s="68" t="s">
        <v>485</v>
      </c>
      <c r="CX26" s="779" t="s">
        <v>476</v>
      </c>
      <c r="CY26" s="135">
        <v>1.0</v>
      </c>
      <c r="CZ26" s="68" t="s">
        <v>485</v>
      </c>
      <c r="DA26" s="779" t="s">
        <v>476</v>
      </c>
      <c r="DB26" s="135">
        <v>1.0</v>
      </c>
      <c r="DC26" s="68" t="s">
        <v>485</v>
      </c>
      <c r="DD26" s="779" t="s">
        <v>476</v>
      </c>
      <c r="DE26" s="135">
        <v>1.0</v>
      </c>
      <c r="DF26" s="68" t="s">
        <v>485</v>
      </c>
      <c r="DG26" s="779" t="s">
        <v>476</v>
      </c>
      <c r="DH26" s="135">
        <v>1.0</v>
      </c>
      <c r="DI26" s="68" t="s">
        <v>485</v>
      </c>
      <c r="DJ26" s="779" t="s">
        <v>476</v>
      </c>
      <c r="DK26" s="135">
        <v>1.0</v>
      </c>
      <c r="DL26" s="68" t="s">
        <v>485</v>
      </c>
      <c r="DM26" s="779" t="s">
        <v>476</v>
      </c>
      <c r="DN26" s="135">
        <v>1.0</v>
      </c>
      <c r="DO26" s="68" t="s">
        <v>485</v>
      </c>
      <c r="DP26" s="779" t="s">
        <v>476</v>
      </c>
      <c r="DQ26" s="135">
        <v>1.0</v>
      </c>
      <c r="DR26" s="68" t="s">
        <v>485</v>
      </c>
      <c r="DS26" s="779" t="s">
        <v>476</v>
      </c>
      <c r="DT26" s="135">
        <v>1.0</v>
      </c>
      <c r="DU26" s="68" t="s">
        <v>485</v>
      </c>
      <c r="DV26" s="779" t="s">
        <v>476</v>
      </c>
      <c r="DW26" s="135">
        <v>1.0</v>
      </c>
      <c r="DX26" s="68" t="s">
        <v>485</v>
      </c>
      <c r="DY26" s="779" t="s">
        <v>476</v>
      </c>
      <c r="DZ26" s="135">
        <v>1.0</v>
      </c>
      <c r="EA26" s="68" t="s">
        <v>485</v>
      </c>
      <c r="EB26" s="779" t="s">
        <v>476</v>
      </c>
      <c r="EC26" s="135">
        <v>1.0</v>
      </c>
      <c r="ED26" s="111"/>
      <c r="EE26" s="111"/>
      <c r="EF26" s="111"/>
    </row>
    <row r="27" ht="15.0" customHeight="1" outlineLevel="1">
      <c r="A27" s="60">
        <v>26.0</v>
      </c>
      <c r="B27" s="747" t="s">
        <v>143</v>
      </c>
      <c r="C27" s="747" t="s">
        <v>144</v>
      </c>
      <c r="D27" s="71" t="s">
        <v>145</v>
      </c>
      <c r="E27" s="146" t="s">
        <v>138</v>
      </c>
      <c r="F27" s="125">
        <v>1101.0</v>
      </c>
      <c r="G27" s="139" t="s">
        <v>139</v>
      </c>
      <c r="H27" s="139">
        <v>1126.0</v>
      </c>
      <c r="I27" s="74" t="str">
        <f>IFERROR(VLOOKUP(C25:C167,'R22 RELATÓRIO ACC'!B:F,5,FALSE),"NOT PUBLISHED")</f>
        <v>V24</v>
      </c>
      <c r="J27" s="74" t="str">
        <f>IFERROR(VLOOKUP(C25:C167,'R22 RELATÓRIO ACC'!B:P,15,FALSE),"NOT PUBLISHED")</f>
        <v>07/04/2026</v>
      </c>
      <c r="K27" s="141" t="str">
        <f>IFERROR(VLOOKUP(B25:B167,'RELATÓRIO ACC'!B:F,5,FALSE),"NOT PUBLISHED")</f>
        <v>V2</v>
      </c>
      <c r="L27" s="748" t="str">
        <f>IFERROR(VLOOKUP(B25:B167,'RELATÓRIO ACC'!B:P,15,FALSE),"NOT PUBLISHED")</f>
        <v>27/05/2026</v>
      </c>
      <c r="M27" s="141" t="s">
        <v>492</v>
      </c>
      <c r="N27" s="756" t="s">
        <v>493</v>
      </c>
      <c r="O27" s="740" t="s">
        <v>482</v>
      </c>
      <c r="P27" s="751" t="s">
        <v>146</v>
      </c>
      <c r="Q27" s="746" t="s">
        <v>477</v>
      </c>
      <c r="R27" s="766" t="s">
        <v>476</v>
      </c>
      <c r="S27" s="764">
        <v>0.43</v>
      </c>
      <c r="T27" s="746" t="s">
        <v>477</v>
      </c>
      <c r="U27" s="766" t="s">
        <v>476</v>
      </c>
      <c r="V27" s="773">
        <v>0.81</v>
      </c>
      <c r="W27" s="746" t="s">
        <v>477</v>
      </c>
      <c r="X27" s="766" t="s">
        <v>476</v>
      </c>
      <c r="Y27" s="784">
        <v>0.88</v>
      </c>
      <c r="Z27" s="746" t="s">
        <v>477</v>
      </c>
      <c r="AA27" s="766" t="s">
        <v>476</v>
      </c>
      <c r="AB27" s="768">
        <v>0.96</v>
      </c>
      <c r="AC27" s="755" t="s">
        <v>478</v>
      </c>
      <c r="AD27" s="759" t="s">
        <v>476</v>
      </c>
      <c r="AE27" s="785" t="s">
        <v>478</v>
      </c>
      <c r="AF27" s="755" t="s">
        <v>478</v>
      </c>
      <c r="AG27" s="759" t="s">
        <v>476</v>
      </c>
      <c r="AH27" s="785" t="s">
        <v>478</v>
      </c>
      <c r="AI27" s="755" t="s">
        <v>484</v>
      </c>
      <c r="AJ27" s="759" t="s">
        <v>476</v>
      </c>
      <c r="AK27" s="768">
        <v>1.0</v>
      </c>
      <c r="AL27" s="746" t="s">
        <v>485</v>
      </c>
      <c r="AM27" s="759" t="s">
        <v>476</v>
      </c>
      <c r="AN27" s="768">
        <v>1.0</v>
      </c>
      <c r="AO27" s="746" t="s">
        <v>485</v>
      </c>
      <c r="AP27" s="759" t="s">
        <v>476</v>
      </c>
      <c r="AQ27" s="768">
        <v>1.0</v>
      </c>
      <c r="AR27" s="746" t="s">
        <v>485</v>
      </c>
      <c r="AS27" s="759" t="s">
        <v>476</v>
      </c>
      <c r="AT27" s="768">
        <v>1.0</v>
      </c>
      <c r="AU27" s="746" t="s">
        <v>485</v>
      </c>
      <c r="AV27" s="759" t="s">
        <v>476</v>
      </c>
      <c r="AW27" s="768">
        <v>1.0</v>
      </c>
      <c r="AX27" s="746" t="s">
        <v>485</v>
      </c>
      <c r="AY27" s="759" t="s">
        <v>476</v>
      </c>
      <c r="AZ27" s="768">
        <v>1.0</v>
      </c>
      <c r="BA27" s="746" t="s">
        <v>485</v>
      </c>
      <c r="BB27" s="759" t="s">
        <v>476</v>
      </c>
      <c r="BC27" s="768">
        <v>1.0</v>
      </c>
      <c r="BD27" s="746" t="s">
        <v>485</v>
      </c>
      <c r="BE27" s="759" t="s">
        <v>476</v>
      </c>
      <c r="BF27" s="768">
        <v>1.0</v>
      </c>
      <c r="BG27" s="746" t="s">
        <v>485</v>
      </c>
      <c r="BH27" s="759" t="s">
        <v>476</v>
      </c>
      <c r="BI27" s="768">
        <v>1.0</v>
      </c>
      <c r="BJ27" s="746" t="s">
        <v>485</v>
      </c>
      <c r="BK27" s="759" t="s">
        <v>476</v>
      </c>
      <c r="BL27" s="768">
        <v>1.0</v>
      </c>
      <c r="BM27" s="746" t="s">
        <v>485</v>
      </c>
      <c r="BN27" s="759" t="s">
        <v>476</v>
      </c>
      <c r="BO27" s="768">
        <v>1.0</v>
      </c>
      <c r="BP27" s="746" t="s">
        <v>485</v>
      </c>
      <c r="BQ27" s="759" t="s">
        <v>476</v>
      </c>
      <c r="BR27" s="768">
        <v>1.0</v>
      </c>
      <c r="BS27" s="746" t="s">
        <v>485</v>
      </c>
      <c r="BT27" s="759" t="s">
        <v>476</v>
      </c>
      <c r="BU27" s="768">
        <v>1.0</v>
      </c>
      <c r="BV27" s="746" t="s">
        <v>485</v>
      </c>
      <c r="BW27" s="759" t="s">
        <v>476</v>
      </c>
      <c r="BX27" s="768">
        <v>1.0</v>
      </c>
      <c r="BY27" s="746" t="s">
        <v>485</v>
      </c>
      <c r="BZ27" s="759" t="s">
        <v>476</v>
      </c>
      <c r="CA27" s="768">
        <v>1.0</v>
      </c>
      <c r="CB27" s="746" t="s">
        <v>485</v>
      </c>
      <c r="CC27" s="759" t="s">
        <v>476</v>
      </c>
      <c r="CD27" s="768">
        <v>1.0</v>
      </c>
      <c r="CE27" s="746" t="s">
        <v>485</v>
      </c>
      <c r="CF27" s="759" t="s">
        <v>476</v>
      </c>
      <c r="CG27" s="768">
        <v>1.0</v>
      </c>
      <c r="CH27" s="746" t="s">
        <v>485</v>
      </c>
      <c r="CI27" s="759" t="s">
        <v>476</v>
      </c>
      <c r="CJ27" s="768">
        <v>1.0</v>
      </c>
      <c r="CK27" s="746" t="s">
        <v>485</v>
      </c>
      <c r="CL27" s="759" t="s">
        <v>476</v>
      </c>
      <c r="CM27" s="768">
        <v>1.0</v>
      </c>
      <c r="CN27" s="746" t="s">
        <v>485</v>
      </c>
      <c r="CO27" s="759" t="s">
        <v>476</v>
      </c>
      <c r="CP27" s="768">
        <v>1.0</v>
      </c>
      <c r="CQ27" s="746" t="s">
        <v>485</v>
      </c>
      <c r="CR27" s="759" t="s">
        <v>476</v>
      </c>
      <c r="CS27" s="768">
        <v>1.0</v>
      </c>
      <c r="CT27" s="746" t="s">
        <v>485</v>
      </c>
      <c r="CU27" s="759" t="s">
        <v>476</v>
      </c>
      <c r="CV27" s="768">
        <v>1.0</v>
      </c>
      <c r="CW27" s="746" t="s">
        <v>485</v>
      </c>
      <c r="CX27" s="759" t="s">
        <v>476</v>
      </c>
      <c r="CY27" s="768">
        <v>1.0</v>
      </c>
      <c r="CZ27" s="746" t="s">
        <v>485</v>
      </c>
      <c r="DA27" s="759" t="s">
        <v>476</v>
      </c>
      <c r="DB27" s="768">
        <v>1.0</v>
      </c>
      <c r="DC27" s="746" t="s">
        <v>485</v>
      </c>
      <c r="DD27" s="759" t="s">
        <v>476</v>
      </c>
      <c r="DE27" s="768">
        <v>1.0</v>
      </c>
      <c r="DF27" s="746" t="s">
        <v>485</v>
      </c>
      <c r="DG27" s="759" t="s">
        <v>476</v>
      </c>
      <c r="DH27" s="768">
        <v>1.0</v>
      </c>
      <c r="DI27" s="746" t="s">
        <v>485</v>
      </c>
      <c r="DJ27" s="759" t="s">
        <v>476</v>
      </c>
      <c r="DK27" s="768">
        <v>1.0</v>
      </c>
      <c r="DL27" s="746" t="s">
        <v>485</v>
      </c>
      <c r="DM27" s="759" t="s">
        <v>476</v>
      </c>
      <c r="DN27" s="768">
        <v>1.0</v>
      </c>
      <c r="DO27" s="746" t="s">
        <v>485</v>
      </c>
      <c r="DP27" s="759" t="s">
        <v>476</v>
      </c>
      <c r="DQ27" s="768">
        <v>1.0</v>
      </c>
      <c r="DR27" s="746" t="s">
        <v>485</v>
      </c>
      <c r="DS27" s="759" t="s">
        <v>476</v>
      </c>
      <c r="DT27" s="768">
        <v>1.0</v>
      </c>
      <c r="DU27" s="746" t="s">
        <v>485</v>
      </c>
      <c r="DV27" s="759" t="s">
        <v>476</v>
      </c>
      <c r="DW27" s="768">
        <v>1.0</v>
      </c>
      <c r="DX27" s="746" t="s">
        <v>485</v>
      </c>
      <c r="DY27" s="759" t="s">
        <v>476</v>
      </c>
      <c r="DZ27" s="768">
        <v>1.0</v>
      </c>
      <c r="EA27" s="746" t="s">
        <v>485</v>
      </c>
      <c r="EB27" s="759" t="s">
        <v>476</v>
      </c>
      <c r="EC27" s="768">
        <v>1.0</v>
      </c>
      <c r="ED27" s="111"/>
      <c r="EE27" s="111"/>
      <c r="EF27" s="111"/>
    </row>
    <row r="28" ht="15.0" customHeight="1">
      <c r="A28" s="60">
        <v>32.0</v>
      </c>
      <c r="B28" s="769" t="s">
        <v>160</v>
      </c>
      <c r="C28" s="769" t="s">
        <v>161</v>
      </c>
      <c r="D28" s="770" t="s">
        <v>85</v>
      </c>
      <c r="E28" s="157" t="s">
        <v>162</v>
      </c>
      <c r="F28" s="157" t="s">
        <v>162</v>
      </c>
      <c r="G28" s="157" t="s">
        <v>162</v>
      </c>
      <c r="H28" s="150"/>
      <c r="I28" s="74" t="str">
        <f>IFERROR(VLOOKUP(C26:C168,'R22 RELATÓRIO ACC'!B:F,5,FALSE),"NOT PUBLISHED")</f>
        <v>V9</v>
      </c>
      <c r="J28" s="74" t="str">
        <f>IFERROR(VLOOKUP(C26:C168,'R22 RELATÓRIO ACC'!B:P,15,FALSE),"NOT PUBLISHED")</f>
        <v>28/02/2026</v>
      </c>
      <c r="K28" s="141" t="str">
        <f>IFERROR(VLOOKUP(B26:B168,'RELATÓRIO ACC'!B:F,5,FALSE),"NOT PUBLISHED")</f>
        <v>V1</v>
      </c>
      <c r="L28" s="748" t="str">
        <f>IFERROR(VLOOKUP(B26:B168,'RELATÓRIO ACC'!B:P,15,FALSE),"NOT PUBLISHED")</f>
        <v>20/05/2026</v>
      </c>
      <c r="M28" s="126" t="s">
        <v>494</v>
      </c>
      <c r="N28" s="772" t="s">
        <v>495</v>
      </c>
      <c r="O28" s="740" t="s">
        <v>482</v>
      </c>
      <c r="P28" s="751"/>
      <c r="Q28" s="746" t="s">
        <v>466</v>
      </c>
      <c r="R28" s="74" t="s">
        <v>462</v>
      </c>
      <c r="S28" s="749" t="s">
        <v>466</v>
      </c>
      <c r="T28" s="746" t="s">
        <v>466</v>
      </c>
      <c r="U28" s="74" t="s">
        <v>462</v>
      </c>
      <c r="V28" s="749" t="s">
        <v>466</v>
      </c>
      <c r="W28" s="746" t="s">
        <v>466</v>
      </c>
      <c r="X28" s="74" t="s">
        <v>462</v>
      </c>
      <c r="Y28" s="749" t="s">
        <v>466</v>
      </c>
      <c r="Z28" s="774" t="s">
        <v>477</v>
      </c>
      <c r="AA28" s="786" t="s">
        <v>476</v>
      </c>
      <c r="AB28" s="768">
        <v>0.67</v>
      </c>
      <c r="AC28" s="787" t="s">
        <v>477</v>
      </c>
      <c r="AD28" s="788" t="s">
        <v>476</v>
      </c>
      <c r="AE28" s="778">
        <v>0.5</v>
      </c>
      <c r="AF28" s="789" t="s">
        <v>477</v>
      </c>
      <c r="AG28" s="788" t="s">
        <v>476</v>
      </c>
      <c r="AH28" s="778">
        <v>0.92</v>
      </c>
      <c r="AI28" s="787" t="s">
        <v>478</v>
      </c>
      <c r="AJ28" s="788" t="s">
        <v>476</v>
      </c>
      <c r="AK28" s="790" t="s">
        <v>478</v>
      </c>
      <c r="AL28" s="787" t="s">
        <v>478</v>
      </c>
      <c r="AM28" s="788" t="s">
        <v>476</v>
      </c>
      <c r="AN28" s="790" t="s">
        <v>478</v>
      </c>
      <c r="AO28" s="787" t="s">
        <v>474</v>
      </c>
      <c r="AP28" s="788" t="s">
        <v>476</v>
      </c>
      <c r="AQ28" s="790" t="s">
        <v>474</v>
      </c>
      <c r="AR28" s="787" t="s">
        <v>484</v>
      </c>
      <c r="AS28" s="788" t="s">
        <v>476</v>
      </c>
      <c r="AT28" s="778">
        <v>1.0</v>
      </c>
      <c r="AU28" s="776" t="s">
        <v>485</v>
      </c>
      <c r="AV28" s="788" t="s">
        <v>476</v>
      </c>
      <c r="AW28" s="778">
        <v>1.0</v>
      </c>
      <c r="AX28" s="776" t="s">
        <v>485</v>
      </c>
      <c r="AY28" s="788" t="s">
        <v>476</v>
      </c>
      <c r="AZ28" s="778">
        <v>1.0</v>
      </c>
      <c r="BA28" s="776" t="s">
        <v>485</v>
      </c>
      <c r="BB28" s="788" t="s">
        <v>476</v>
      </c>
      <c r="BC28" s="778">
        <v>1.0</v>
      </c>
      <c r="BD28" s="776" t="s">
        <v>485</v>
      </c>
      <c r="BE28" s="788" t="s">
        <v>476</v>
      </c>
      <c r="BF28" s="778">
        <v>1.0</v>
      </c>
      <c r="BG28" s="68" t="s">
        <v>485</v>
      </c>
      <c r="BH28" s="791" t="s">
        <v>476</v>
      </c>
      <c r="BI28" s="135">
        <v>1.0</v>
      </c>
      <c r="BJ28" s="68" t="s">
        <v>485</v>
      </c>
      <c r="BK28" s="791" t="s">
        <v>476</v>
      </c>
      <c r="BL28" s="135">
        <v>1.0</v>
      </c>
      <c r="BM28" s="68" t="s">
        <v>485</v>
      </c>
      <c r="BN28" s="791" t="s">
        <v>476</v>
      </c>
      <c r="BO28" s="135">
        <v>1.0</v>
      </c>
      <c r="BP28" s="68" t="s">
        <v>485</v>
      </c>
      <c r="BQ28" s="791" t="s">
        <v>476</v>
      </c>
      <c r="BR28" s="135">
        <v>1.0</v>
      </c>
      <c r="BS28" s="68" t="s">
        <v>485</v>
      </c>
      <c r="BT28" s="791" t="s">
        <v>476</v>
      </c>
      <c r="BU28" s="135">
        <v>1.0</v>
      </c>
      <c r="BV28" s="68" t="s">
        <v>485</v>
      </c>
      <c r="BW28" s="791" t="s">
        <v>476</v>
      </c>
      <c r="BX28" s="135">
        <v>1.0</v>
      </c>
      <c r="BY28" s="68" t="s">
        <v>485</v>
      </c>
      <c r="BZ28" s="791" t="s">
        <v>476</v>
      </c>
      <c r="CA28" s="135">
        <v>1.0</v>
      </c>
      <c r="CB28" s="68" t="s">
        <v>485</v>
      </c>
      <c r="CC28" s="791" t="s">
        <v>476</v>
      </c>
      <c r="CD28" s="135">
        <v>1.0</v>
      </c>
      <c r="CE28" s="68" t="s">
        <v>485</v>
      </c>
      <c r="CF28" s="791" t="s">
        <v>476</v>
      </c>
      <c r="CG28" s="135">
        <v>1.0</v>
      </c>
      <c r="CH28" s="68" t="s">
        <v>485</v>
      </c>
      <c r="CI28" s="791" t="s">
        <v>476</v>
      </c>
      <c r="CJ28" s="135">
        <v>1.0</v>
      </c>
      <c r="CK28" s="68" t="s">
        <v>485</v>
      </c>
      <c r="CL28" s="791" t="s">
        <v>476</v>
      </c>
      <c r="CM28" s="135">
        <v>1.0</v>
      </c>
      <c r="CN28" s="68" t="s">
        <v>485</v>
      </c>
      <c r="CO28" s="791" t="s">
        <v>476</v>
      </c>
      <c r="CP28" s="135">
        <v>1.0</v>
      </c>
      <c r="CQ28" s="68" t="s">
        <v>485</v>
      </c>
      <c r="CR28" s="791" t="s">
        <v>476</v>
      </c>
      <c r="CS28" s="135">
        <v>1.0</v>
      </c>
      <c r="CT28" s="68" t="s">
        <v>485</v>
      </c>
      <c r="CU28" s="791" t="s">
        <v>476</v>
      </c>
      <c r="CV28" s="135">
        <v>1.0</v>
      </c>
      <c r="CW28" s="68" t="s">
        <v>485</v>
      </c>
      <c r="CX28" s="791" t="s">
        <v>476</v>
      </c>
      <c r="CY28" s="135">
        <v>1.0</v>
      </c>
      <c r="CZ28" s="68" t="s">
        <v>485</v>
      </c>
      <c r="DA28" s="791" t="s">
        <v>476</v>
      </c>
      <c r="DB28" s="135">
        <v>1.0</v>
      </c>
      <c r="DC28" s="68" t="s">
        <v>485</v>
      </c>
      <c r="DD28" s="791" t="s">
        <v>476</v>
      </c>
      <c r="DE28" s="135">
        <v>1.0</v>
      </c>
      <c r="DF28" s="68" t="s">
        <v>485</v>
      </c>
      <c r="DG28" s="791" t="s">
        <v>476</v>
      </c>
      <c r="DH28" s="135">
        <v>1.0</v>
      </c>
      <c r="DI28" s="68" t="s">
        <v>485</v>
      </c>
      <c r="DJ28" s="791" t="s">
        <v>476</v>
      </c>
      <c r="DK28" s="135">
        <v>1.0</v>
      </c>
      <c r="DL28" s="68" t="s">
        <v>485</v>
      </c>
      <c r="DM28" s="791" t="s">
        <v>476</v>
      </c>
      <c r="DN28" s="135">
        <v>1.0</v>
      </c>
      <c r="DO28" s="68" t="s">
        <v>485</v>
      </c>
      <c r="DP28" s="791" t="s">
        <v>476</v>
      </c>
      <c r="DQ28" s="135">
        <v>1.0</v>
      </c>
      <c r="DR28" s="68" t="s">
        <v>485</v>
      </c>
      <c r="DS28" s="791" t="s">
        <v>476</v>
      </c>
      <c r="DT28" s="135">
        <v>1.0</v>
      </c>
      <c r="DU28" s="68" t="s">
        <v>485</v>
      </c>
      <c r="DV28" s="791" t="s">
        <v>476</v>
      </c>
      <c r="DW28" s="135">
        <v>1.0</v>
      </c>
      <c r="DX28" s="68" t="s">
        <v>485</v>
      </c>
      <c r="DY28" s="791" t="s">
        <v>476</v>
      </c>
      <c r="DZ28" s="135">
        <v>1.0</v>
      </c>
      <c r="EA28" s="68" t="s">
        <v>485</v>
      </c>
      <c r="EB28" s="791" t="s">
        <v>476</v>
      </c>
      <c r="EC28" s="135">
        <v>1.0</v>
      </c>
      <c r="ED28" s="111"/>
      <c r="EE28" s="111"/>
      <c r="EF28" s="111"/>
    </row>
    <row r="29" ht="15.0" customHeight="1" outlineLevel="1">
      <c r="A29" s="60">
        <v>34.0</v>
      </c>
      <c r="B29" s="747" t="s">
        <v>167</v>
      </c>
      <c r="C29" s="747" t="s">
        <v>168</v>
      </c>
      <c r="D29" s="71" t="s">
        <v>85</v>
      </c>
      <c r="E29" s="146" t="s">
        <v>169</v>
      </c>
      <c r="F29" s="72">
        <v>1112.0</v>
      </c>
      <c r="G29" s="139" t="s">
        <v>170</v>
      </c>
      <c r="H29" s="139">
        <v>1129.0</v>
      </c>
      <c r="I29" s="74" t="str">
        <f>IFERROR(VLOOKUP(C27:C169,'R22 RELATÓRIO ACC'!B:F,5,FALSE),"NOT PUBLISHED")</f>
        <v>V40</v>
      </c>
      <c r="J29" s="74" t="str">
        <f>IFERROR(VLOOKUP(C27:C169,'R22 RELATÓRIO ACC'!B:P,15,FALSE),"NOT PUBLISHED")</f>
        <v>10/04/2026</v>
      </c>
      <c r="K29" s="141" t="str">
        <f>IFERROR(VLOOKUP(B27:B169,'RELATÓRIO ACC'!B:F,5,FALSE),"NOT PUBLISHED")</f>
        <v>V3</v>
      </c>
      <c r="L29" s="748" t="str">
        <f>IFERROR(VLOOKUP(B27:B169,'RELATÓRIO ACC'!B:P,15,FALSE),"NOT PUBLISHED")</f>
        <v>13/07/2026</v>
      </c>
      <c r="M29" s="141" t="s">
        <v>496</v>
      </c>
      <c r="N29" s="756" t="s">
        <v>497</v>
      </c>
      <c r="O29" s="740" t="s">
        <v>482</v>
      </c>
      <c r="P29" s="751" t="s">
        <v>102</v>
      </c>
      <c r="Q29" s="746" t="s">
        <v>477</v>
      </c>
      <c r="R29" s="766" t="s">
        <v>476</v>
      </c>
      <c r="S29" s="773">
        <v>0.33</v>
      </c>
      <c r="T29" s="746" t="s">
        <v>477</v>
      </c>
      <c r="U29" s="766" t="s">
        <v>476</v>
      </c>
      <c r="V29" s="762">
        <v>0.98</v>
      </c>
      <c r="W29" s="126" t="s">
        <v>484</v>
      </c>
      <c r="X29" s="792" t="s">
        <v>476</v>
      </c>
      <c r="Y29" s="773">
        <v>1.0</v>
      </c>
      <c r="Z29" s="746" t="s">
        <v>484</v>
      </c>
      <c r="AA29" s="759" t="s">
        <v>476</v>
      </c>
      <c r="AB29" s="768">
        <v>1.0</v>
      </c>
      <c r="AC29" s="746" t="s">
        <v>484</v>
      </c>
      <c r="AD29" s="759" t="s">
        <v>476</v>
      </c>
      <c r="AE29" s="768">
        <v>1.0</v>
      </c>
      <c r="AF29" s="746" t="s">
        <v>485</v>
      </c>
      <c r="AG29" s="759" t="s">
        <v>476</v>
      </c>
      <c r="AH29" s="768">
        <v>1.0</v>
      </c>
      <c r="AI29" s="746" t="s">
        <v>485</v>
      </c>
      <c r="AJ29" s="759" t="s">
        <v>476</v>
      </c>
      <c r="AK29" s="768">
        <v>1.0</v>
      </c>
      <c r="AL29" s="746" t="s">
        <v>485</v>
      </c>
      <c r="AM29" s="759" t="s">
        <v>476</v>
      </c>
      <c r="AN29" s="768">
        <v>1.0</v>
      </c>
      <c r="AO29" s="746" t="s">
        <v>485</v>
      </c>
      <c r="AP29" s="759" t="s">
        <v>476</v>
      </c>
      <c r="AQ29" s="768">
        <v>1.0</v>
      </c>
      <c r="AR29" s="746" t="s">
        <v>485</v>
      </c>
      <c r="AS29" s="759" t="s">
        <v>476</v>
      </c>
      <c r="AT29" s="768">
        <v>1.0</v>
      </c>
      <c r="AU29" s="746" t="s">
        <v>485</v>
      </c>
      <c r="AV29" s="759" t="s">
        <v>476</v>
      </c>
      <c r="AW29" s="768">
        <v>1.0</v>
      </c>
      <c r="AX29" s="746" t="s">
        <v>485</v>
      </c>
      <c r="AY29" s="759" t="s">
        <v>476</v>
      </c>
      <c r="AZ29" s="768">
        <v>1.0</v>
      </c>
      <c r="BA29" s="746" t="s">
        <v>485</v>
      </c>
      <c r="BB29" s="759" t="s">
        <v>476</v>
      </c>
      <c r="BC29" s="768">
        <v>1.0</v>
      </c>
      <c r="BD29" s="746" t="s">
        <v>485</v>
      </c>
      <c r="BE29" s="759" t="s">
        <v>476</v>
      </c>
      <c r="BF29" s="768">
        <v>1.0</v>
      </c>
      <c r="BG29" s="746" t="s">
        <v>485</v>
      </c>
      <c r="BH29" s="759" t="s">
        <v>476</v>
      </c>
      <c r="BI29" s="768">
        <v>1.0</v>
      </c>
      <c r="BJ29" s="746" t="s">
        <v>485</v>
      </c>
      <c r="BK29" s="759" t="s">
        <v>476</v>
      </c>
      <c r="BL29" s="768">
        <v>1.0</v>
      </c>
      <c r="BM29" s="746" t="s">
        <v>485</v>
      </c>
      <c r="BN29" s="759" t="s">
        <v>476</v>
      </c>
      <c r="BO29" s="768">
        <v>1.0</v>
      </c>
      <c r="BP29" s="746" t="s">
        <v>485</v>
      </c>
      <c r="BQ29" s="759" t="s">
        <v>476</v>
      </c>
      <c r="BR29" s="768">
        <v>1.0</v>
      </c>
      <c r="BS29" s="746" t="s">
        <v>485</v>
      </c>
      <c r="BT29" s="759" t="s">
        <v>476</v>
      </c>
      <c r="BU29" s="768">
        <v>1.0</v>
      </c>
      <c r="BV29" s="746" t="s">
        <v>485</v>
      </c>
      <c r="BW29" s="759" t="s">
        <v>476</v>
      </c>
      <c r="BX29" s="768">
        <v>1.0</v>
      </c>
      <c r="BY29" s="746" t="s">
        <v>485</v>
      </c>
      <c r="BZ29" s="759" t="s">
        <v>476</v>
      </c>
      <c r="CA29" s="768">
        <v>1.0</v>
      </c>
      <c r="CB29" s="746" t="s">
        <v>485</v>
      </c>
      <c r="CC29" s="759" t="s">
        <v>476</v>
      </c>
      <c r="CD29" s="768">
        <v>1.0</v>
      </c>
      <c r="CE29" s="746" t="s">
        <v>485</v>
      </c>
      <c r="CF29" s="759" t="s">
        <v>476</v>
      </c>
      <c r="CG29" s="768">
        <v>1.0</v>
      </c>
      <c r="CH29" s="746" t="s">
        <v>485</v>
      </c>
      <c r="CI29" s="759" t="s">
        <v>476</v>
      </c>
      <c r="CJ29" s="768">
        <v>1.0</v>
      </c>
      <c r="CK29" s="746" t="s">
        <v>485</v>
      </c>
      <c r="CL29" s="759" t="s">
        <v>476</v>
      </c>
      <c r="CM29" s="768">
        <v>1.0</v>
      </c>
      <c r="CN29" s="746" t="s">
        <v>485</v>
      </c>
      <c r="CO29" s="759" t="s">
        <v>476</v>
      </c>
      <c r="CP29" s="768">
        <v>1.0</v>
      </c>
      <c r="CQ29" s="746" t="s">
        <v>485</v>
      </c>
      <c r="CR29" s="759" t="s">
        <v>476</v>
      </c>
      <c r="CS29" s="768">
        <v>1.0</v>
      </c>
      <c r="CT29" s="746" t="s">
        <v>485</v>
      </c>
      <c r="CU29" s="759" t="s">
        <v>476</v>
      </c>
      <c r="CV29" s="768">
        <v>1.0</v>
      </c>
      <c r="CW29" s="746" t="s">
        <v>485</v>
      </c>
      <c r="CX29" s="759" t="s">
        <v>476</v>
      </c>
      <c r="CY29" s="768">
        <v>1.0</v>
      </c>
      <c r="CZ29" s="746" t="s">
        <v>485</v>
      </c>
      <c r="DA29" s="759" t="s">
        <v>476</v>
      </c>
      <c r="DB29" s="768">
        <v>1.0</v>
      </c>
      <c r="DC29" s="746" t="s">
        <v>485</v>
      </c>
      <c r="DD29" s="759" t="s">
        <v>476</v>
      </c>
      <c r="DE29" s="768">
        <v>1.0</v>
      </c>
      <c r="DF29" s="746" t="s">
        <v>485</v>
      </c>
      <c r="DG29" s="759" t="s">
        <v>476</v>
      </c>
      <c r="DH29" s="768">
        <v>1.0</v>
      </c>
      <c r="DI29" s="746" t="s">
        <v>485</v>
      </c>
      <c r="DJ29" s="759" t="s">
        <v>476</v>
      </c>
      <c r="DK29" s="768">
        <v>1.0</v>
      </c>
      <c r="DL29" s="746" t="s">
        <v>485</v>
      </c>
      <c r="DM29" s="759" t="s">
        <v>476</v>
      </c>
      <c r="DN29" s="768">
        <v>1.0</v>
      </c>
      <c r="DO29" s="746" t="s">
        <v>485</v>
      </c>
      <c r="DP29" s="759" t="s">
        <v>476</v>
      </c>
      <c r="DQ29" s="768">
        <v>1.0</v>
      </c>
      <c r="DR29" s="746" t="s">
        <v>485</v>
      </c>
      <c r="DS29" s="759" t="s">
        <v>476</v>
      </c>
      <c r="DT29" s="768">
        <v>1.0</v>
      </c>
      <c r="DU29" s="746" t="s">
        <v>485</v>
      </c>
      <c r="DV29" s="759" t="s">
        <v>476</v>
      </c>
      <c r="DW29" s="768">
        <v>1.0</v>
      </c>
      <c r="DX29" s="746" t="s">
        <v>485</v>
      </c>
      <c r="DY29" s="759" t="s">
        <v>476</v>
      </c>
      <c r="DZ29" s="768">
        <v>1.0</v>
      </c>
      <c r="EA29" s="746" t="s">
        <v>485</v>
      </c>
      <c r="EB29" s="759" t="s">
        <v>476</v>
      </c>
      <c r="EC29" s="768">
        <v>1.0</v>
      </c>
      <c r="ED29" s="111"/>
      <c r="EE29" s="111"/>
      <c r="EF29" s="111"/>
    </row>
    <row r="30" ht="15.0" customHeight="1">
      <c r="A30" s="60">
        <v>37.0</v>
      </c>
      <c r="B30" s="769" t="s">
        <v>174</v>
      </c>
      <c r="C30" s="769" t="s">
        <v>175</v>
      </c>
      <c r="D30" s="770" t="s">
        <v>85</v>
      </c>
      <c r="E30" s="771" t="s">
        <v>176</v>
      </c>
      <c r="F30" s="771">
        <v>1113.0</v>
      </c>
      <c r="G30" s="771" t="s">
        <v>176</v>
      </c>
      <c r="H30" s="139">
        <v>1113.0</v>
      </c>
      <c r="I30" s="74" t="str">
        <f>IFERROR(VLOOKUP(C28:C170,'R22 RELATÓRIO ACC'!B:F,5,FALSE),"NOT PUBLISHED")</f>
        <v>V28</v>
      </c>
      <c r="J30" s="74" t="str">
        <f>IFERROR(VLOOKUP(C28:C170,'R22 RELATÓRIO ACC'!B:P,15,FALSE),"NOT PUBLISHED")</f>
        <v>16/04/2026</v>
      </c>
      <c r="K30" s="141" t="str">
        <f>IFERROR(VLOOKUP(B28:B170,'RELATÓRIO ACC'!B:F,5,FALSE),"NOT PUBLISHED")</f>
        <v>V4</v>
      </c>
      <c r="L30" s="748" t="str">
        <f>IFERROR(VLOOKUP(B28:B170,'RELATÓRIO ACC'!B:P,15,FALSE),"NOT PUBLISHED")</f>
        <v>26/06/2026</v>
      </c>
      <c r="M30" s="126" t="s">
        <v>498</v>
      </c>
      <c r="N30" s="772" t="s">
        <v>499</v>
      </c>
      <c r="O30" s="740" t="s">
        <v>482</v>
      </c>
      <c r="P30" s="751" t="s">
        <v>129</v>
      </c>
      <c r="Q30" s="746" t="s">
        <v>477</v>
      </c>
      <c r="R30" s="766" t="s">
        <v>476</v>
      </c>
      <c r="S30" s="773">
        <v>0.41</v>
      </c>
      <c r="T30" s="746" t="s">
        <v>477</v>
      </c>
      <c r="U30" s="766" t="s">
        <v>476</v>
      </c>
      <c r="V30" s="773">
        <v>0.41</v>
      </c>
      <c r="W30" s="746" t="s">
        <v>477</v>
      </c>
      <c r="X30" s="766" t="s">
        <v>476</v>
      </c>
      <c r="Y30" s="773">
        <v>0.43</v>
      </c>
      <c r="Z30" s="774" t="s">
        <v>477</v>
      </c>
      <c r="AA30" s="775" t="s">
        <v>476</v>
      </c>
      <c r="AB30" s="768">
        <v>0.88</v>
      </c>
      <c r="AC30" s="787" t="s">
        <v>478</v>
      </c>
      <c r="AD30" s="788" t="s">
        <v>476</v>
      </c>
      <c r="AE30" s="790" t="s">
        <v>478</v>
      </c>
      <c r="AF30" s="789" t="s">
        <v>477</v>
      </c>
      <c r="AG30" s="788" t="s">
        <v>476</v>
      </c>
      <c r="AH30" s="778">
        <v>0.93</v>
      </c>
      <c r="AI30" s="787" t="s">
        <v>478</v>
      </c>
      <c r="AJ30" s="788" t="s">
        <v>476</v>
      </c>
      <c r="AK30" s="790" t="s">
        <v>478</v>
      </c>
      <c r="AL30" s="787" t="s">
        <v>484</v>
      </c>
      <c r="AM30" s="788" t="s">
        <v>476</v>
      </c>
      <c r="AN30" s="778">
        <v>1.0</v>
      </c>
      <c r="AO30" s="776" t="s">
        <v>485</v>
      </c>
      <c r="AP30" s="791" t="s">
        <v>476</v>
      </c>
      <c r="AQ30" s="762">
        <v>1.0</v>
      </c>
      <c r="AR30" s="746" t="s">
        <v>485</v>
      </c>
      <c r="AS30" s="759" t="s">
        <v>476</v>
      </c>
      <c r="AT30" s="762">
        <v>1.0</v>
      </c>
      <c r="AU30" s="68" t="s">
        <v>485</v>
      </c>
      <c r="AV30" s="759" t="s">
        <v>476</v>
      </c>
      <c r="AW30" s="135">
        <v>1.0</v>
      </c>
      <c r="AX30" s="68" t="s">
        <v>485</v>
      </c>
      <c r="AY30" s="759" t="s">
        <v>476</v>
      </c>
      <c r="AZ30" s="135">
        <v>1.0</v>
      </c>
      <c r="BA30" s="68" t="s">
        <v>485</v>
      </c>
      <c r="BB30" s="759" t="s">
        <v>476</v>
      </c>
      <c r="BC30" s="135">
        <v>1.0</v>
      </c>
      <c r="BD30" s="68" t="s">
        <v>485</v>
      </c>
      <c r="BE30" s="759" t="s">
        <v>476</v>
      </c>
      <c r="BF30" s="135">
        <v>1.0</v>
      </c>
      <c r="BG30" s="68" t="s">
        <v>485</v>
      </c>
      <c r="BH30" s="791" t="s">
        <v>476</v>
      </c>
      <c r="BI30" s="135">
        <v>1.0</v>
      </c>
      <c r="BJ30" s="68" t="s">
        <v>485</v>
      </c>
      <c r="BK30" s="791" t="s">
        <v>476</v>
      </c>
      <c r="BL30" s="135">
        <v>1.0</v>
      </c>
      <c r="BM30" s="68" t="s">
        <v>485</v>
      </c>
      <c r="BN30" s="791" t="s">
        <v>476</v>
      </c>
      <c r="BO30" s="135">
        <v>1.0</v>
      </c>
      <c r="BP30" s="68" t="s">
        <v>485</v>
      </c>
      <c r="BQ30" s="791" t="s">
        <v>476</v>
      </c>
      <c r="BR30" s="135">
        <v>1.0</v>
      </c>
      <c r="BS30" s="68" t="s">
        <v>485</v>
      </c>
      <c r="BT30" s="791" t="s">
        <v>476</v>
      </c>
      <c r="BU30" s="135">
        <v>1.0</v>
      </c>
      <c r="BV30" s="68" t="s">
        <v>485</v>
      </c>
      <c r="BW30" s="791" t="s">
        <v>476</v>
      </c>
      <c r="BX30" s="135">
        <v>1.0</v>
      </c>
      <c r="BY30" s="68" t="s">
        <v>485</v>
      </c>
      <c r="BZ30" s="791" t="s">
        <v>476</v>
      </c>
      <c r="CA30" s="135">
        <v>1.0</v>
      </c>
      <c r="CB30" s="68" t="s">
        <v>485</v>
      </c>
      <c r="CC30" s="791" t="s">
        <v>476</v>
      </c>
      <c r="CD30" s="135">
        <v>1.0</v>
      </c>
      <c r="CE30" s="68" t="s">
        <v>485</v>
      </c>
      <c r="CF30" s="791" t="s">
        <v>476</v>
      </c>
      <c r="CG30" s="135">
        <v>1.0</v>
      </c>
      <c r="CH30" s="68" t="s">
        <v>485</v>
      </c>
      <c r="CI30" s="791" t="s">
        <v>476</v>
      </c>
      <c r="CJ30" s="135">
        <v>1.0</v>
      </c>
      <c r="CK30" s="68" t="s">
        <v>485</v>
      </c>
      <c r="CL30" s="759" t="s">
        <v>476</v>
      </c>
      <c r="CM30" s="135">
        <v>1.0</v>
      </c>
      <c r="CN30" s="746" t="s">
        <v>485</v>
      </c>
      <c r="CO30" s="759" t="s">
        <v>476</v>
      </c>
      <c r="CP30" s="135">
        <v>1.0</v>
      </c>
      <c r="CQ30" s="746" t="s">
        <v>485</v>
      </c>
      <c r="CR30" s="759" t="s">
        <v>476</v>
      </c>
      <c r="CS30" s="135">
        <v>1.0</v>
      </c>
      <c r="CT30" s="746" t="s">
        <v>485</v>
      </c>
      <c r="CU30" s="759" t="s">
        <v>476</v>
      </c>
      <c r="CV30" s="135">
        <v>1.0</v>
      </c>
      <c r="CW30" s="746" t="s">
        <v>485</v>
      </c>
      <c r="CX30" s="759" t="s">
        <v>476</v>
      </c>
      <c r="CY30" s="135">
        <v>1.0</v>
      </c>
      <c r="CZ30" s="746" t="s">
        <v>485</v>
      </c>
      <c r="DA30" s="759" t="s">
        <v>476</v>
      </c>
      <c r="DB30" s="135">
        <v>1.0</v>
      </c>
      <c r="DC30" s="746" t="s">
        <v>485</v>
      </c>
      <c r="DD30" s="759" t="s">
        <v>476</v>
      </c>
      <c r="DE30" s="135">
        <v>1.0</v>
      </c>
      <c r="DF30" s="746" t="s">
        <v>485</v>
      </c>
      <c r="DG30" s="759" t="s">
        <v>476</v>
      </c>
      <c r="DH30" s="135">
        <v>1.0</v>
      </c>
      <c r="DI30" s="746" t="s">
        <v>485</v>
      </c>
      <c r="DJ30" s="759" t="s">
        <v>476</v>
      </c>
      <c r="DK30" s="135">
        <v>1.0</v>
      </c>
      <c r="DL30" s="746" t="s">
        <v>485</v>
      </c>
      <c r="DM30" s="759" t="s">
        <v>476</v>
      </c>
      <c r="DN30" s="135">
        <v>1.0</v>
      </c>
      <c r="DO30" s="746" t="s">
        <v>485</v>
      </c>
      <c r="DP30" s="759" t="s">
        <v>476</v>
      </c>
      <c r="DQ30" s="135">
        <v>1.0</v>
      </c>
      <c r="DR30" s="746" t="s">
        <v>485</v>
      </c>
      <c r="DS30" s="759" t="s">
        <v>476</v>
      </c>
      <c r="DT30" s="135">
        <v>1.0</v>
      </c>
      <c r="DU30" s="746" t="s">
        <v>485</v>
      </c>
      <c r="DV30" s="759" t="s">
        <v>476</v>
      </c>
      <c r="DW30" s="135">
        <v>1.0</v>
      </c>
      <c r="DX30" s="746" t="s">
        <v>485</v>
      </c>
      <c r="DY30" s="759" t="s">
        <v>476</v>
      </c>
      <c r="DZ30" s="135">
        <v>1.0</v>
      </c>
      <c r="EA30" s="746" t="s">
        <v>485</v>
      </c>
      <c r="EB30" s="759" t="s">
        <v>476</v>
      </c>
      <c r="EC30" s="135">
        <v>1.0</v>
      </c>
      <c r="ED30" s="111"/>
      <c r="EE30" s="111"/>
      <c r="EF30" s="111"/>
    </row>
    <row r="31" ht="15.0" customHeight="1" outlineLevel="1">
      <c r="A31" s="60">
        <v>39.0</v>
      </c>
      <c r="B31" s="747" t="s">
        <v>178</v>
      </c>
      <c r="C31" s="747" t="s">
        <v>179</v>
      </c>
      <c r="D31" s="71" t="s">
        <v>85</v>
      </c>
      <c r="E31" s="146" t="s">
        <v>180</v>
      </c>
      <c r="F31" s="72">
        <v>1114.0</v>
      </c>
      <c r="G31" s="139" t="s">
        <v>180</v>
      </c>
      <c r="H31" s="139">
        <v>1114.0</v>
      </c>
      <c r="I31" s="74" t="str">
        <f>IFERROR(VLOOKUP(C29:C171,'R22 RELATÓRIO ACC'!B:F,5,FALSE),"NOT PUBLISHED")</f>
        <v>V15</v>
      </c>
      <c r="J31" s="74" t="str">
        <f>IFERROR(VLOOKUP(C29:C171,'R22 RELATÓRIO ACC'!B:P,15,FALSE),"NOT PUBLISHED")</f>
        <v>27/04/2026</v>
      </c>
      <c r="K31" s="141" t="str">
        <f>IFERROR(VLOOKUP(B29:B171,'RELATÓRIO ACC'!B:F,5,FALSE),"NOT PUBLISHED")</f>
        <v>V3</v>
      </c>
      <c r="L31" s="748" t="str">
        <f>IFERROR(VLOOKUP(B29:B171,'RELATÓRIO ACC'!B:P,15,FALSE),"NOT PUBLISHED")</f>
        <v>12/07/2026</v>
      </c>
      <c r="M31" s="141" t="s">
        <v>500</v>
      </c>
      <c r="N31" s="782">
        <v>45929.0</v>
      </c>
      <c r="O31" s="740" t="s">
        <v>482</v>
      </c>
      <c r="P31" s="751" t="s">
        <v>102</v>
      </c>
      <c r="Q31" s="746" t="s">
        <v>477</v>
      </c>
      <c r="R31" s="766" t="s">
        <v>476</v>
      </c>
      <c r="S31" s="773">
        <v>0.7</v>
      </c>
      <c r="T31" s="746" t="s">
        <v>484</v>
      </c>
      <c r="U31" s="766" t="s">
        <v>476</v>
      </c>
      <c r="V31" s="773">
        <v>1.0</v>
      </c>
      <c r="W31" s="746" t="s">
        <v>477</v>
      </c>
      <c r="X31" s="792" t="s">
        <v>476</v>
      </c>
      <c r="Y31" s="773">
        <v>0.9</v>
      </c>
      <c r="Z31" s="746" t="s">
        <v>484</v>
      </c>
      <c r="AA31" s="759" t="s">
        <v>476</v>
      </c>
      <c r="AB31" s="768">
        <v>1.0</v>
      </c>
      <c r="AC31" s="746" t="s">
        <v>484</v>
      </c>
      <c r="AD31" s="759" t="s">
        <v>476</v>
      </c>
      <c r="AE31" s="768">
        <v>1.0</v>
      </c>
      <c r="AF31" s="746" t="s">
        <v>485</v>
      </c>
      <c r="AG31" s="759" t="s">
        <v>476</v>
      </c>
      <c r="AH31" s="768">
        <v>1.0</v>
      </c>
      <c r="AI31" s="746" t="s">
        <v>485</v>
      </c>
      <c r="AJ31" s="759" t="s">
        <v>476</v>
      </c>
      <c r="AK31" s="768">
        <v>1.0</v>
      </c>
      <c r="AL31" s="746" t="s">
        <v>485</v>
      </c>
      <c r="AM31" s="759" t="s">
        <v>476</v>
      </c>
      <c r="AN31" s="768">
        <v>1.0</v>
      </c>
      <c r="AO31" s="746" t="s">
        <v>485</v>
      </c>
      <c r="AP31" s="759" t="s">
        <v>476</v>
      </c>
      <c r="AQ31" s="768">
        <v>1.0</v>
      </c>
      <c r="AR31" s="746" t="s">
        <v>485</v>
      </c>
      <c r="AS31" s="759" t="s">
        <v>476</v>
      </c>
      <c r="AT31" s="768">
        <v>1.0</v>
      </c>
      <c r="AU31" s="746" t="s">
        <v>485</v>
      </c>
      <c r="AV31" s="759" t="s">
        <v>476</v>
      </c>
      <c r="AW31" s="768">
        <v>1.0</v>
      </c>
      <c r="AX31" s="746" t="s">
        <v>485</v>
      </c>
      <c r="AY31" s="759" t="s">
        <v>476</v>
      </c>
      <c r="AZ31" s="768">
        <v>1.0</v>
      </c>
      <c r="BA31" s="746" t="s">
        <v>485</v>
      </c>
      <c r="BB31" s="759" t="s">
        <v>476</v>
      </c>
      <c r="BC31" s="768">
        <v>1.0</v>
      </c>
      <c r="BD31" s="746" t="s">
        <v>485</v>
      </c>
      <c r="BE31" s="759" t="s">
        <v>476</v>
      </c>
      <c r="BF31" s="768">
        <v>1.0</v>
      </c>
      <c r="BG31" s="746" t="s">
        <v>485</v>
      </c>
      <c r="BH31" s="759" t="s">
        <v>476</v>
      </c>
      <c r="BI31" s="768">
        <v>1.0</v>
      </c>
      <c r="BJ31" s="746" t="s">
        <v>485</v>
      </c>
      <c r="BK31" s="759" t="s">
        <v>476</v>
      </c>
      <c r="BL31" s="768">
        <v>1.0</v>
      </c>
      <c r="BM31" s="746" t="s">
        <v>485</v>
      </c>
      <c r="BN31" s="759" t="s">
        <v>476</v>
      </c>
      <c r="BO31" s="768">
        <v>1.0</v>
      </c>
      <c r="BP31" s="746" t="s">
        <v>485</v>
      </c>
      <c r="BQ31" s="759" t="s">
        <v>476</v>
      </c>
      <c r="BR31" s="768">
        <v>1.0</v>
      </c>
      <c r="BS31" s="746" t="s">
        <v>485</v>
      </c>
      <c r="BT31" s="759" t="s">
        <v>476</v>
      </c>
      <c r="BU31" s="768">
        <v>1.0</v>
      </c>
      <c r="BV31" s="746" t="s">
        <v>485</v>
      </c>
      <c r="BW31" s="759" t="s">
        <v>476</v>
      </c>
      <c r="BX31" s="768">
        <v>1.0</v>
      </c>
      <c r="BY31" s="746" t="s">
        <v>485</v>
      </c>
      <c r="BZ31" s="759" t="s">
        <v>476</v>
      </c>
      <c r="CA31" s="768">
        <v>1.0</v>
      </c>
      <c r="CB31" s="746" t="s">
        <v>485</v>
      </c>
      <c r="CC31" s="759" t="s">
        <v>476</v>
      </c>
      <c r="CD31" s="768">
        <v>1.0</v>
      </c>
      <c r="CE31" s="746" t="s">
        <v>485</v>
      </c>
      <c r="CF31" s="759" t="s">
        <v>476</v>
      </c>
      <c r="CG31" s="768">
        <v>1.0</v>
      </c>
      <c r="CH31" s="746" t="s">
        <v>485</v>
      </c>
      <c r="CI31" s="759" t="s">
        <v>476</v>
      </c>
      <c r="CJ31" s="768">
        <v>1.0</v>
      </c>
      <c r="CK31" s="746" t="s">
        <v>485</v>
      </c>
      <c r="CL31" s="759" t="s">
        <v>476</v>
      </c>
      <c r="CM31" s="768">
        <v>1.0</v>
      </c>
      <c r="CN31" s="746" t="s">
        <v>485</v>
      </c>
      <c r="CO31" s="791" t="s">
        <v>476</v>
      </c>
      <c r="CP31" s="135">
        <v>1.0</v>
      </c>
      <c r="CQ31" s="746" t="s">
        <v>485</v>
      </c>
      <c r="CR31" s="791" t="s">
        <v>476</v>
      </c>
      <c r="CS31" s="135">
        <v>1.0</v>
      </c>
      <c r="CT31" s="746" t="s">
        <v>485</v>
      </c>
      <c r="CU31" s="791" t="s">
        <v>476</v>
      </c>
      <c r="CV31" s="135">
        <v>1.0</v>
      </c>
      <c r="CW31" s="746" t="s">
        <v>485</v>
      </c>
      <c r="CX31" s="791" t="s">
        <v>476</v>
      </c>
      <c r="CY31" s="135">
        <v>1.0</v>
      </c>
      <c r="CZ31" s="746" t="s">
        <v>485</v>
      </c>
      <c r="DA31" s="791" t="s">
        <v>476</v>
      </c>
      <c r="DB31" s="135">
        <v>1.0</v>
      </c>
      <c r="DC31" s="746" t="s">
        <v>485</v>
      </c>
      <c r="DD31" s="791" t="s">
        <v>476</v>
      </c>
      <c r="DE31" s="135">
        <v>1.0</v>
      </c>
      <c r="DF31" s="746" t="s">
        <v>485</v>
      </c>
      <c r="DG31" s="791" t="s">
        <v>476</v>
      </c>
      <c r="DH31" s="135">
        <v>1.0</v>
      </c>
      <c r="DI31" s="746" t="s">
        <v>485</v>
      </c>
      <c r="DJ31" s="791" t="s">
        <v>476</v>
      </c>
      <c r="DK31" s="135">
        <v>1.0</v>
      </c>
      <c r="DL31" s="746" t="s">
        <v>485</v>
      </c>
      <c r="DM31" s="791" t="s">
        <v>476</v>
      </c>
      <c r="DN31" s="135">
        <v>1.0</v>
      </c>
      <c r="DO31" s="746" t="s">
        <v>485</v>
      </c>
      <c r="DP31" s="791" t="s">
        <v>476</v>
      </c>
      <c r="DQ31" s="135">
        <v>1.0</v>
      </c>
      <c r="DR31" s="746" t="s">
        <v>485</v>
      </c>
      <c r="DS31" s="791" t="s">
        <v>476</v>
      </c>
      <c r="DT31" s="135">
        <v>1.0</v>
      </c>
      <c r="DU31" s="746" t="s">
        <v>485</v>
      </c>
      <c r="DV31" s="791" t="s">
        <v>476</v>
      </c>
      <c r="DW31" s="135">
        <v>1.0</v>
      </c>
      <c r="DX31" s="746" t="s">
        <v>485</v>
      </c>
      <c r="DY31" s="791" t="s">
        <v>476</v>
      </c>
      <c r="DZ31" s="135">
        <v>1.0</v>
      </c>
      <c r="EA31" s="746" t="s">
        <v>485</v>
      </c>
      <c r="EB31" s="791" t="s">
        <v>476</v>
      </c>
      <c r="EC31" s="135">
        <v>1.0</v>
      </c>
      <c r="ED31" s="111"/>
      <c r="EE31" s="111"/>
      <c r="EF31" s="111"/>
    </row>
    <row r="32" ht="15.0" hidden="1" customHeight="1">
      <c r="A32" s="60">
        <v>1.0</v>
      </c>
      <c r="B32" s="793" t="s">
        <v>82</v>
      </c>
      <c r="C32" s="794"/>
      <c r="D32" s="795"/>
      <c r="E32" s="795"/>
      <c r="F32" s="795"/>
      <c r="G32" s="795"/>
      <c r="H32" s="796"/>
      <c r="I32" s="797"/>
      <c r="J32" s="797"/>
      <c r="K32" s="798"/>
      <c r="L32" s="799"/>
      <c r="M32" s="795"/>
      <c r="N32" s="795"/>
      <c r="O32" s="795"/>
      <c r="P32" s="800"/>
      <c r="Q32" s="801"/>
      <c r="R32" s="797"/>
      <c r="S32" s="796"/>
      <c r="T32" s="801"/>
      <c r="U32" s="797"/>
      <c r="V32" s="796"/>
      <c r="W32" s="801"/>
      <c r="X32" s="797"/>
      <c r="Y32" s="796"/>
      <c r="Z32" s="802"/>
      <c r="AA32" s="803"/>
      <c r="AB32" s="804"/>
      <c r="AC32" s="805"/>
      <c r="AD32" s="806"/>
      <c r="AE32" s="807"/>
      <c r="AF32" s="808"/>
      <c r="AG32" s="808"/>
      <c r="AH32" s="808"/>
      <c r="AI32" s="808"/>
      <c r="AJ32" s="808"/>
      <c r="AK32" s="808"/>
      <c r="AL32" s="808"/>
      <c r="AM32" s="808"/>
      <c r="AN32" s="808"/>
      <c r="AO32" s="808"/>
      <c r="AP32" s="808"/>
      <c r="AQ32" s="808"/>
      <c r="AR32" s="808"/>
      <c r="AS32" s="808"/>
      <c r="AT32" s="808"/>
      <c r="AU32" s="808"/>
      <c r="AV32" s="808"/>
      <c r="AW32" s="808"/>
      <c r="AX32" s="808"/>
      <c r="AY32" s="808"/>
      <c r="AZ32" s="808"/>
      <c r="BA32" s="808"/>
      <c r="BB32" s="808"/>
      <c r="BC32" s="808"/>
      <c r="BD32" s="808"/>
      <c r="BE32" s="808"/>
      <c r="BF32" s="808"/>
      <c r="BG32" s="808"/>
      <c r="BH32" s="808"/>
      <c r="BI32" s="808"/>
      <c r="BJ32" s="808"/>
      <c r="BK32" s="808"/>
      <c r="BL32" s="808"/>
      <c r="BM32" s="808"/>
      <c r="BN32" s="808"/>
      <c r="BO32" s="808"/>
      <c r="BP32" s="808"/>
      <c r="BQ32" s="808"/>
      <c r="BR32" s="808"/>
      <c r="BS32" s="808"/>
      <c r="BT32" s="808"/>
      <c r="BU32" s="808"/>
      <c r="BV32" s="808"/>
      <c r="BW32" s="808"/>
      <c r="BX32" s="808"/>
      <c r="BY32" s="808"/>
      <c r="BZ32" s="808"/>
      <c r="CA32" s="808"/>
      <c r="CB32" s="808"/>
      <c r="CC32" s="808"/>
      <c r="CD32" s="808"/>
      <c r="CE32" s="808"/>
      <c r="CF32" s="808"/>
      <c r="CG32" s="808"/>
      <c r="CH32" s="808"/>
      <c r="CI32" s="808"/>
      <c r="CJ32" s="808"/>
      <c r="CK32" s="808"/>
      <c r="CL32" s="808"/>
      <c r="CM32" s="808"/>
      <c r="CN32" s="808"/>
      <c r="CO32" s="808"/>
      <c r="CP32" s="808"/>
      <c r="CQ32" s="808"/>
      <c r="CR32" s="808"/>
      <c r="CS32" s="808"/>
      <c r="CT32" s="808"/>
      <c r="CU32" s="808"/>
      <c r="CV32" s="808"/>
      <c r="CW32" s="808"/>
      <c r="CX32" s="808"/>
      <c r="CY32" s="808"/>
      <c r="CZ32" s="808"/>
      <c r="DA32" s="808"/>
      <c r="DB32" s="808"/>
      <c r="DC32" s="808"/>
      <c r="DD32" s="808"/>
      <c r="DE32" s="808"/>
      <c r="DF32" s="808"/>
      <c r="DG32" s="808"/>
      <c r="DH32" s="808"/>
      <c r="DI32" s="808"/>
      <c r="DJ32" s="808"/>
      <c r="DK32" s="808"/>
      <c r="DL32" s="808"/>
      <c r="DM32" s="808"/>
      <c r="DN32" s="808"/>
      <c r="DO32" s="808"/>
      <c r="DP32" s="808"/>
      <c r="DQ32" s="808"/>
      <c r="DR32" s="808"/>
      <c r="DS32" s="808"/>
      <c r="DT32" s="808"/>
      <c r="DU32" s="808"/>
      <c r="DV32" s="808"/>
      <c r="DW32" s="808"/>
      <c r="DX32" s="808"/>
      <c r="DY32" s="808"/>
      <c r="DZ32" s="808"/>
      <c r="EA32" s="808"/>
      <c r="EB32" s="808"/>
      <c r="EC32" s="808"/>
      <c r="ED32" s="68"/>
      <c r="EE32" s="68"/>
      <c r="EF32" s="68"/>
    </row>
    <row r="33" ht="15.0" hidden="1" customHeight="1" outlineLevel="1">
      <c r="A33" s="60">
        <v>50.0</v>
      </c>
      <c r="B33" s="809" t="s">
        <v>201</v>
      </c>
      <c r="C33" s="810"/>
      <c r="D33" s="191"/>
      <c r="E33" s="811"/>
      <c r="F33" s="191"/>
      <c r="G33" s="190"/>
      <c r="H33" s="190"/>
      <c r="I33" s="191"/>
      <c r="J33" s="191"/>
      <c r="K33" s="811"/>
      <c r="L33" s="812"/>
      <c r="M33" s="811"/>
      <c r="N33" s="190"/>
      <c r="O33" s="189"/>
      <c r="P33" s="243"/>
      <c r="Q33" s="813"/>
      <c r="R33" s="191"/>
      <c r="S33" s="190"/>
      <c r="T33" s="813"/>
      <c r="U33" s="191"/>
      <c r="V33" s="190"/>
      <c r="W33" s="813"/>
      <c r="X33" s="190"/>
      <c r="Y33" s="190"/>
      <c r="Z33" s="813"/>
      <c r="AA33" s="192"/>
      <c r="AB33" s="814"/>
      <c r="AC33" s="813"/>
      <c r="AD33" s="192"/>
      <c r="AE33" s="814"/>
      <c r="AF33" s="813"/>
      <c r="AG33" s="192"/>
      <c r="AH33" s="814"/>
      <c r="AI33" s="813"/>
      <c r="AJ33" s="192"/>
      <c r="AK33" s="814"/>
      <c r="AL33" s="813"/>
      <c r="AM33" s="192"/>
      <c r="AN33" s="814"/>
      <c r="AO33" s="813"/>
      <c r="AP33" s="192"/>
      <c r="AQ33" s="814"/>
      <c r="AR33" s="813"/>
      <c r="AS33" s="192"/>
      <c r="AT33" s="814"/>
      <c r="AU33" s="813"/>
      <c r="AV33" s="192"/>
      <c r="AW33" s="814"/>
      <c r="AX33" s="813"/>
      <c r="AY33" s="192"/>
      <c r="AZ33" s="814"/>
      <c r="BA33" s="813"/>
      <c r="BB33" s="192"/>
      <c r="BC33" s="814"/>
      <c r="BD33" s="813"/>
      <c r="BE33" s="192"/>
      <c r="BF33" s="814"/>
      <c r="BG33" s="813"/>
      <c r="BH33" s="192"/>
      <c r="BI33" s="814"/>
      <c r="BJ33" s="813"/>
      <c r="BK33" s="192"/>
      <c r="BL33" s="814"/>
      <c r="BM33" s="813"/>
      <c r="BN33" s="192"/>
      <c r="BO33" s="814"/>
      <c r="BP33" s="813"/>
      <c r="BQ33" s="192"/>
      <c r="BR33" s="814"/>
      <c r="BS33" s="813"/>
      <c r="BT33" s="192"/>
      <c r="BU33" s="814"/>
      <c r="BV33" s="813"/>
      <c r="BW33" s="192"/>
      <c r="BX33" s="814"/>
      <c r="BY33" s="813"/>
      <c r="BZ33" s="192"/>
      <c r="CA33" s="814"/>
      <c r="CB33" s="813"/>
      <c r="CC33" s="192"/>
      <c r="CD33" s="814"/>
      <c r="CE33" s="813"/>
      <c r="CF33" s="192"/>
      <c r="CG33" s="814"/>
      <c r="CH33" s="813"/>
      <c r="CI33" s="192"/>
      <c r="CJ33" s="814"/>
      <c r="CK33" s="813"/>
      <c r="CL33" s="192"/>
      <c r="CM33" s="814"/>
      <c r="CN33" s="815"/>
      <c r="CO33" s="815"/>
      <c r="CP33" s="815"/>
      <c r="CQ33" s="815"/>
      <c r="CR33" s="815"/>
      <c r="CS33" s="815"/>
      <c r="CT33" s="815"/>
      <c r="CU33" s="815"/>
      <c r="CV33" s="815"/>
      <c r="CW33" s="815"/>
      <c r="CX33" s="815"/>
      <c r="CY33" s="815"/>
      <c r="CZ33" s="815"/>
      <c r="DA33" s="815"/>
      <c r="DB33" s="815"/>
      <c r="DC33" s="815"/>
      <c r="DD33" s="815"/>
      <c r="DE33" s="815"/>
      <c r="DF33" s="815"/>
      <c r="DG33" s="815"/>
      <c r="DH33" s="815"/>
      <c r="DI33" s="815"/>
      <c r="DJ33" s="815"/>
      <c r="DK33" s="815"/>
      <c r="DL33" s="815"/>
      <c r="DM33" s="815"/>
      <c r="DN33" s="815"/>
      <c r="DO33" s="815"/>
      <c r="DP33" s="815"/>
      <c r="DQ33" s="815"/>
      <c r="DR33" s="815"/>
      <c r="DS33" s="815"/>
      <c r="DT33" s="815"/>
      <c r="DU33" s="815"/>
      <c r="DV33" s="815"/>
      <c r="DW33" s="815"/>
      <c r="DX33" s="815"/>
      <c r="DY33" s="815"/>
      <c r="DZ33" s="815"/>
      <c r="EA33" s="815"/>
      <c r="EB33" s="815"/>
      <c r="EC33" s="815"/>
      <c r="ED33" s="215"/>
      <c r="EE33" s="215"/>
      <c r="EF33" s="215"/>
    </row>
    <row r="34" ht="15.0" hidden="1" customHeight="1">
      <c r="A34" s="60">
        <v>47.0</v>
      </c>
      <c r="B34" s="816" t="s">
        <v>195</v>
      </c>
      <c r="C34" s="159"/>
      <c r="D34" s="216"/>
      <c r="E34" s="216"/>
      <c r="F34" s="216"/>
      <c r="G34" s="216"/>
      <c r="H34" s="217"/>
      <c r="I34" s="218"/>
      <c r="J34" s="218"/>
      <c r="K34" s="817"/>
      <c r="L34" s="818"/>
      <c r="M34" s="216"/>
      <c r="N34" s="216"/>
      <c r="O34" s="216"/>
      <c r="P34" s="819"/>
      <c r="Q34" s="820"/>
      <c r="R34" s="821"/>
      <c r="S34" s="822"/>
      <c r="T34" s="820"/>
      <c r="U34" s="821"/>
      <c r="V34" s="822"/>
      <c r="W34" s="820"/>
      <c r="X34" s="821"/>
      <c r="Y34" s="822"/>
      <c r="Z34" s="823"/>
      <c r="AA34" s="824"/>
      <c r="AB34" s="825"/>
      <c r="AC34" s="826"/>
      <c r="AD34" s="827"/>
      <c r="AE34" s="828"/>
      <c r="AF34" s="826"/>
      <c r="AG34" s="827"/>
      <c r="AH34" s="828"/>
      <c r="AI34" s="826"/>
      <c r="AJ34" s="827"/>
      <c r="AK34" s="828"/>
      <c r="AL34" s="826"/>
      <c r="AM34" s="827"/>
      <c r="AN34" s="828"/>
      <c r="AO34" s="826"/>
      <c r="AP34" s="827"/>
      <c r="AQ34" s="828"/>
      <c r="AR34" s="826"/>
      <c r="AS34" s="827"/>
      <c r="AT34" s="828"/>
      <c r="AU34" s="826"/>
      <c r="AV34" s="827"/>
      <c r="AW34" s="828"/>
      <c r="AX34" s="826"/>
      <c r="AY34" s="827"/>
      <c r="AZ34" s="828"/>
      <c r="BA34" s="826"/>
      <c r="BB34" s="827"/>
      <c r="BC34" s="828"/>
      <c r="BD34" s="826"/>
      <c r="BE34" s="827"/>
      <c r="BF34" s="828"/>
      <c r="BG34" s="829"/>
      <c r="BH34" s="829"/>
      <c r="BI34" s="829"/>
      <c r="BJ34" s="829"/>
      <c r="BK34" s="829"/>
      <c r="BL34" s="829"/>
      <c r="BM34" s="829"/>
      <c r="BN34" s="829"/>
      <c r="BO34" s="829"/>
      <c r="BP34" s="829"/>
      <c r="BQ34" s="829"/>
      <c r="BR34" s="829"/>
      <c r="BS34" s="829"/>
      <c r="BT34" s="829"/>
      <c r="BU34" s="829"/>
      <c r="BV34" s="829"/>
      <c r="BW34" s="829"/>
      <c r="BX34" s="829"/>
      <c r="BY34" s="829"/>
      <c r="BZ34" s="829"/>
      <c r="CA34" s="829"/>
      <c r="CB34" s="829"/>
      <c r="CC34" s="829"/>
      <c r="CD34" s="829"/>
      <c r="CE34" s="829"/>
      <c r="CF34" s="829"/>
      <c r="CG34" s="829"/>
      <c r="CH34" s="829"/>
      <c r="CI34" s="829"/>
      <c r="CJ34" s="829"/>
      <c r="CK34" s="829"/>
      <c r="CL34" s="829"/>
      <c r="CM34" s="829"/>
      <c r="CN34" s="829"/>
      <c r="CO34" s="829"/>
      <c r="CP34" s="829"/>
      <c r="CQ34" s="829"/>
      <c r="CR34" s="829"/>
      <c r="CS34" s="829"/>
      <c r="CT34" s="829"/>
      <c r="CU34" s="829"/>
      <c r="CV34" s="829"/>
      <c r="CW34" s="829"/>
      <c r="CX34" s="829"/>
      <c r="CY34" s="829"/>
      <c r="CZ34" s="829"/>
      <c r="DA34" s="829"/>
      <c r="DB34" s="829"/>
      <c r="DC34" s="829"/>
      <c r="DD34" s="829"/>
      <c r="DE34" s="829"/>
      <c r="DF34" s="829"/>
      <c r="DG34" s="829"/>
      <c r="DH34" s="829"/>
      <c r="DI34" s="829"/>
      <c r="DJ34" s="829"/>
      <c r="DK34" s="829"/>
      <c r="DL34" s="829"/>
      <c r="DM34" s="829"/>
      <c r="DN34" s="829"/>
      <c r="DO34" s="829"/>
      <c r="DP34" s="829"/>
      <c r="DQ34" s="829"/>
      <c r="DR34" s="829"/>
      <c r="DS34" s="829"/>
      <c r="DT34" s="829"/>
      <c r="DU34" s="829"/>
      <c r="DV34" s="829"/>
      <c r="DW34" s="829"/>
      <c r="DX34" s="829"/>
      <c r="DY34" s="829"/>
      <c r="DZ34" s="829"/>
      <c r="EA34" s="829"/>
      <c r="EB34" s="829"/>
      <c r="EC34" s="829"/>
      <c r="ED34" s="215"/>
      <c r="EE34" s="215"/>
      <c r="EF34" s="215"/>
    </row>
    <row r="35" ht="15.0" hidden="1" customHeight="1" outlineLevel="1">
      <c r="A35" s="60">
        <v>86.0</v>
      </c>
      <c r="B35" s="830" t="s">
        <v>270</v>
      </c>
      <c r="C35" s="831"/>
      <c r="D35" s="466"/>
      <c r="E35" s="832"/>
      <c r="F35" s="466"/>
      <c r="G35" s="465"/>
      <c r="H35" s="465"/>
      <c r="I35" s="466"/>
      <c r="J35" s="466"/>
      <c r="K35" s="832"/>
      <c r="L35" s="833"/>
      <c r="M35" s="832"/>
      <c r="N35" s="465"/>
      <c r="O35" s="464"/>
      <c r="P35" s="834"/>
      <c r="Q35" s="835"/>
      <c r="R35" s="836"/>
      <c r="S35" s="837"/>
      <c r="T35" s="835"/>
      <c r="U35" s="836"/>
      <c r="V35" s="837"/>
      <c r="W35" s="835"/>
      <c r="X35" s="837"/>
      <c r="Y35" s="837"/>
      <c r="Z35" s="838"/>
      <c r="AA35" s="839"/>
      <c r="AB35" s="840"/>
      <c r="AC35" s="838"/>
      <c r="AD35" s="839"/>
      <c r="AE35" s="840"/>
      <c r="AF35" s="838"/>
      <c r="AG35" s="839"/>
      <c r="AH35" s="840"/>
      <c r="AI35" s="838"/>
      <c r="AJ35" s="839"/>
      <c r="AK35" s="840"/>
      <c r="AL35" s="838"/>
      <c r="AM35" s="839"/>
      <c r="AN35" s="840"/>
      <c r="AO35" s="838"/>
      <c r="AP35" s="839"/>
      <c r="AQ35" s="840"/>
      <c r="AR35" s="838"/>
      <c r="AS35" s="839"/>
      <c r="AT35" s="840"/>
      <c r="AU35" s="838"/>
      <c r="AV35" s="839"/>
      <c r="AW35" s="840"/>
      <c r="AX35" s="838"/>
      <c r="AY35" s="839"/>
      <c r="AZ35" s="840"/>
      <c r="BA35" s="838"/>
      <c r="BB35" s="839"/>
      <c r="BC35" s="840"/>
      <c r="BD35" s="838"/>
      <c r="BE35" s="839"/>
      <c r="BF35" s="840"/>
      <c r="BG35" s="838"/>
      <c r="BH35" s="839"/>
      <c r="BI35" s="840"/>
      <c r="BJ35" s="838"/>
      <c r="BK35" s="839"/>
      <c r="BL35" s="840"/>
      <c r="BM35" s="838"/>
      <c r="BN35" s="839"/>
      <c r="BO35" s="840"/>
      <c r="BP35" s="838"/>
      <c r="BQ35" s="839"/>
      <c r="BR35" s="840"/>
      <c r="BS35" s="838"/>
      <c r="BT35" s="839"/>
      <c r="BU35" s="840"/>
      <c r="BV35" s="838"/>
      <c r="BW35" s="839"/>
      <c r="BX35" s="840"/>
      <c r="BY35" s="838"/>
      <c r="BZ35" s="839"/>
      <c r="CA35" s="840"/>
      <c r="CB35" s="838"/>
      <c r="CC35" s="839"/>
      <c r="CD35" s="840"/>
      <c r="CE35" s="838"/>
      <c r="CF35" s="839"/>
      <c r="CG35" s="840"/>
      <c r="CH35" s="838"/>
      <c r="CI35" s="839"/>
      <c r="CJ35" s="840"/>
      <c r="CK35" s="838"/>
      <c r="CL35" s="839"/>
      <c r="CM35" s="840"/>
      <c r="CN35" s="841"/>
      <c r="CO35" s="841"/>
      <c r="CP35" s="841"/>
      <c r="CQ35" s="841"/>
      <c r="CR35" s="841"/>
      <c r="CS35" s="841"/>
      <c r="CT35" s="841"/>
      <c r="CU35" s="841"/>
      <c r="CV35" s="841"/>
      <c r="CW35" s="841"/>
      <c r="CX35" s="841"/>
      <c r="CY35" s="841"/>
      <c r="CZ35" s="841"/>
      <c r="DA35" s="841"/>
      <c r="DB35" s="841"/>
      <c r="DC35" s="841"/>
      <c r="DD35" s="841"/>
      <c r="DE35" s="841"/>
      <c r="DF35" s="841"/>
      <c r="DG35" s="841"/>
      <c r="DH35" s="841"/>
      <c r="DI35" s="841"/>
      <c r="DJ35" s="841"/>
      <c r="DK35" s="841"/>
      <c r="DL35" s="841"/>
      <c r="DM35" s="841"/>
      <c r="DN35" s="841"/>
      <c r="DO35" s="841"/>
      <c r="DP35" s="841"/>
      <c r="DQ35" s="841"/>
      <c r="DR35" s="841"/>
      <c r="DS35" s="841"/>
      <c r="DT35" s="841"/>
      <c r="DU35" s="841"/>
      <c r="DV35" s="841"/>
      <c r="DW35" s="841"/>
      <c r="DX35" s="841"/>
      <c r="DY35" s="841"/>
      <c r="DZ35" s="841"/>
      <c r="EA35" s="841"/>
      <c r="EB35" s="841"/>
      <c r="EC35" s="841"/>
      <c r="ED35" s="215"/>
      <c r="EE35" s="215"/>
      <c r="EF35" s="215"/>
    </row>
    <row r="36" ht="15.0" customHeight="1">
      <c r="A36" s="60">
        <v>43.0</v>
      </c>
      <c r="B36" s="769" t="s">
        <v>187</v>
      </c>
      <c r="C36" s="769" t="s">
        <v>188</v>
      </c>
      <c r="D36" s="770" t="s">
        <v>85</v>
      </c>
      <c r="E36" s="771" t="s">
        <v>176</v>
      </c>
      <c r="F36" s="771">
        <v>1113.0</v>
      </c>
      <c r="G36" s="771" t="s">
        <v>176</v>
      </c>
      <c r="H36" s="139">
        <v>1113.0</v>
      </c>
      <c r="I36" s="74" t="str">
        <f>IFERROR(VLOOKUP(C34:C176,'R22 RELATÓRIO ACC'!B:F,5,FALSE),"NOT PUBLISHED")</f>
        <v>V36</v>
      </c>
      <c r="J36" s="74" t="str">
        <f>IFERROR(VLOOKUP(C34:C176,'R22 RELATÓRIO ACC'!B:P,15,FALSE),"NOT PUBLISHED")</f>
        <v>08/05/2026</v>
      </c>
      <c r="K36" s="141" t="str">
        <f>IFERROR(VLOOKUP(B34:B176,'RELATÓRIO ACC'!B:F,5,FALSE),"NOT PUBLISHED")</f>
        <v>V2</v>
      </c>
      <c r="L36" s="748" t="str">
        <f>IFERROR(VLOOKUP(B34:B176,'RELATÓRIO ACC'!B:P,15,FALSE),"NOT PUBLISHED")</f>
        <v>03/06/2026</v>
      </c>
      <c r="M36" s="126" t="s">
        <v>501</v>
      </c>
      <c r="N36" s="772" t="s">
        <v>491</v>
      </c>
      <c r="O36" s="740" t="s">
        <v>482</v>
      </c>
      <c r="P36" s="751" t="s">
        <v>146</v>
      </c>
      <c r="Q36" s="746" t="s">
        <v>477</v>
      </c>
      <c r="R36" s="766" t="s">
        <v>476</v>
      </c>
      <c r="S36" s="842">
        <v>0.45</v>
      </c>
      <c r="T36" s="746" t="s">
        <v>477</v>
      </c>
      <c r="U36" s="766" t="s">
        <v>476</v>
      </c>
      <c r="V36" s="773">
        <v>0.48</v>
      </c>
      <c r="W36" s="746" t="s">
        <v>477</v>
      </c>
      <c r="X36" s="766" t="s">
        <v>476</v>
      </c>
      <c r="Y36" s="773">
        <v>0.91</v>
      </c>
      <c r="Z36" s="774" t="s">
        <v>484</v>
      </c>
      <c r="AA36" s="786" t="s">
        <v>476</v>
      </c>
      <c r="AB36" s="768">
        <v>1.0</v>
      </c>
      <c r="AC36" s="776" t="s">
        <v>484</v>
      </c>
      <c r="AD36" s="788" t="s">
        <v>476</v>
      </c>
      <c r="AE36" s="778">
        <v>1.0</v>
      </c>
      <c r="AF36" s="68" t="s">
        <v>485</v>
      </c>
      <c r="AG36" s="791" t="s">
        <v>476</v>
      </c>
      <c r="AH36" s="135">
        <v>1.0</v>
      </c>
      <c r="AI36" s="68" t="s">
        <v>485</v>
      </c>
      <c r="AJ36" s="791" t="s">
        <v>476</v>
      </c>
      <c r="AK36" s="135">
        <v>1.0</v>
      </c>
      <c r="AL36" s="68" t="s">
        <v>485</v>
      </c>
      <c r="AM36" s="791" t="s">
        <v>476</v>
      </c>
      <c r="AN36" s="135">
        <v>1.0</v>
      </c>
      <c r="AO36" s="68" t="s">
        <v>485</v>
      </c>
      <c r="AP36" s="791" t="s">
        <v>476</v>
      </c>
      <c r="AQ36" s="135">
        <v>1.0</v>
      </c>
      <c r="AR36" s="68" t="s">
        <v>485</v>
      </c>
      <c r="AS36" s="791" t="s">
        <v>476</v>
      </c>
      <c r="AT36" s="135">
        <v>1.0</v>
      </c>
      <c r="AU36" s="68" t="s">
        <v>485</v>
      </c>
      <c r="AV36" s="791" t="s">
        <v>476</v>
      </c>
      <c r="AW36" s="135">
        <v>1.0</v>
      </c>
      <c r="AX36" s="68" t="s">
        <v>485</v>
      </c>
      <c r="AY36" s="791" t="s">
        <v>476</v>
      </c>
      <c r="AZ36" s="135">
        <v>1.0</v>
      </c>
      <c r="BA36" s="68" t="s">
        <v>485</v>
      </c>
      <c r="BB36" s="791" t="s">
        <v>476</v>
      </c>
      <c r="BC36" s="135">
        <v>1.0</v>
      </c>
      <c r="BD36" s="68" t="s">
        <v>485</v>
      </c>
      <c r="BE36" s="791" t="s">
        <v>476</v>
      </c>
      <c r="BF36" s="135">
        <v>1.0</v>
      </c>
      <c r="BG36" s="68" t="s">
        <v>485</v>
      </c>
      <c r="BH36" s="791" t="s">
        <v>476</v>
      </c>
      <c r="BI36" s="135">
        <v>1.0</v>
      </c>
      <c r="BJ36" s="68" t="s">
        <v>485</v>
      </c>
      <c r="BK36" s="791" t="s">
        <v>476</v>
      </c>
      <c r="BL36" s="135">
        <v>1.0</v>
      </c>
      <c r="BM36" s="68" t="s">
        <v>485</v>
      </c>
      <c r="BN36" s="791" t="s">
        <v>476</v>
      </c>
      <c r="BO36" s="135">
        <v>1.0</v>
      </c>
      <c r="BP36" s="68" t="s">
        <v>485</v>
      </c>
      <c r="BQ36" s="791" t="s">
        <v>476</v>
      </c>
      <c r="BR36" s="135">
        <v>1.0</v>
      </c>
      <c r="BS36" s="68" t="s">
        <v>485</v>
      </c>
      <c r="BT36" s="791" t="s">
        <v>476</v>
      </c>
      <c r="BU36" s="135">
        <v>1.0</v>
      </c>
      <c r="BV36" s="68" t="s">
        <v>485</v>
      </c>
      <c r="BW36" s="791" t="s">
        <v>476</v>
      </c>
      <c r="BX36" s="135">
        <v>1.0</v>
      </c>
      <c r="BY36" s="68" t="s">
        <v>485</v>
      </c>
      <c r="BZ36" s="791" t="s">
        <v>476</v>
      </c>
      <c r="CA36" s="135">
        <v>1.0</v>
      </c>
      <c r="CB36" s="68" t="s">
        <v>485</v>
      </c>
      <c r="CC36" s="791" t="s">
        <v>476</v>
      </c>
      <c r="CD36" s="135">
        <v>1.0</v>
      </c>
      <c r="CE36" s="68" t="s">
        <v>485</v>
      </c>
      <c r="CF36" s="791" t="s">
        <v>476</v>
      </c>
      <c r="CG36" s="135">
        <v>1.0</v>
      </c>
      <c r="CH36" s="68" t="s">
        <v>485</v>
      </c>
      <c r="CI36" s="791" t="s">
        <v>476</v>
      </c>
      <c r="CJ36" s="135">
        <v>1.0</v>
      </c>
      <c r="CK36" s="68" t="s">
        <v>485</v>
      </c>
      <c r="CL36" s="791" t="s">
        <v>476</v>
      </c>
      <c r="CM36" s="135">
        <v>1.0</v>
      </c>
      <c r="CN36" s="68" t="s">
        <v>485</v>
      </c>
      <c r="CO36" s="791" t="s">
        <v>476</v>
      </c>
      <c r="CP36" s="135">
        <v>1.0</v>
      </c>
      <c r="CQ36" s="68" t="s">
        <v>485</v>
      </c>
      <c r="CR36" s="791" t="s">
        <v>476</v>
      </c>
      <c r="CS36" s="135">
        <v>1.0</v>
      </c>
      <c r="CT36" s="68" t="s">
        <v>485</v>
      </c>
      <c r="CU36" s="791" t="s">
        <v>476</v>
      </c>
      <c r="CV36" s="135">
        <v>1.0</v>
      </c>
      <c r="CW36" s="68" t="s">
        <v>485</v>
      </c>
      <c r="CX36" s="791" t="s">
        <v>476</v>
      </c>
      <c r="CY36" s="135">
        <v>1.0</v>
      </c>
      <c r="CZ36" s="746" t="s">
        <v>485</v>
      </c>
      <c r="DA36" s="791" t="s">
        <v>476</v>
      </c>
      <c r="DB36" s="764">
        <v>1.0</v>
      </c>
      <c r="DC36" s="746" t="s">
        <v>485</v>
      </c>
      <c r="DD36" s="791" t="s">
        <v>476</v>
      </c>
      <c r="DE36" s="764">
        <v>1.0</v>
      </c>
      <c r="DF36" s="746" t="s">
        <v>485</v>
      </c>
      <c r="DG36" s="791" t="s">
        <v>476</v>
      </c>
      <c r="DH36" s="135">
        <v>1.0</v>
      </c>
      <c r="DI36" s="746" t="s">
        <v>485</v>
      </c>
      <c r="DJ36" s="791" t="s">
        <v>476</v>
      </c>
      <c r="DK36" s="135">
        <v>1.0</v>
      </c>
      <c r="DL36" s="746" t="s">
        <v>485</v>
      </c>
      <c r="DM36" s="791" t="s">
        <v>476</v>
      </c>
      <c r="DN36" s="135">
        <v>1.0</v>
      </c>
      <c r="DO36" s="746" t="s">
        <v>485</v>
      </c>
      <c r="DP36" s="791" t="s">
        <v>476</v>
      </c>
      <c r="DQ36" s="135">
        <v>1.0</v>
      </c>
      <c r="DR36" s="746" t="s">
        <v>485</v>
      </c>
      <c r="DS36" s="791" t="s">
        <v>476</v>
      </c>
      <c r="DT36" s="135">
        <v>1.0</v>
      </c>
      <c r="DU36" s="746" t="s">
        <v>485</v>
      </c>
      <c r="DV36" s="791" t="s">
        <v>476</v>
      </c>
      <c r="DW36" s="135">
        <v>1.0</v>
      </c>
      <c r="DX36" s="746" t="s">
        <v>485</v>
      </c>
      <c r="DY36" s="791" t="s">
        <v>476</v>
      </c>
      <c r="DZ36" s="135">
        <v>1.0</v>
      </c>
      <c r="EA36" s="746" t="s">
        <v>485</v>
      </c>
      <c r="EB36" s="791" t="s">
        <v>476</v>
      </c>
      <c r="EC36" s="135">
        <v>1.0</v>
      </c>
      <c r="ED36" s="111"/>
      <c r="EE36" s="111"/>
      <c r="EF36" s="111"/>
    </row>
    <row r="37" ht="16.5" customHeight="1" outlineLevel="1">
      <c r="A37" s="60">
        <v>46.0</v>
      </c>
      <c r="B37" s="747" t="s">
        <v>192</v>
      </c>
      <c r="C37" s="747" t="s">
        <v>193</v>
      </c>
      <c r="D37" s="71" t="s">
        <v>85</v>
      </c>
      <c r="E37" s="146" t="s">
        <v>180</v>
      </c>
      <c r="F37" s="72">
        <v>1114.0</v>
      </c>
      <c r="G37" s="139" t="s">
        <v>180</v>
      </c>
      <c r="H37" s="139">
        <v>1114.0</v>
      </c>
      <c r="I37" s="74" t="str">
        <f>IFERROR(VLOOKUP(C35:C177,'R22 RELATÓRIO ACC'!B:F,5,FALSE),"NOT PUBLISHED")</f>
        <v>V18</v>
      </c>
      <c r="J37" s="74" t="str">
        <f>IFERROR(VLOOKUP(C35:C177,'R22 RELATÓRIO ACC'!B:P,15,FALSE),"NOT PUBLISHED")</f>
        <v>30/04/2026</v>
      </c>
      <c r="K37" s="141" t="str">
        <f>IFERROR(VLOOKUP(B35:B177,'RELATÓRIO ACC'!B:F,5,FALSE),"NOT PUBLISHED")</f>
        <v>V3</v>
      </c>
      <c r="L37" s="748" t="str">
        <f>IFERROR(VLOOKUP(B35:B177,'RELATÓRIO ACC'!B:P,15,FALSE),"NOT PUBLISHED")</f>
        <v>29/06/2026</v>
      </c>
      <c r="M37" s="141" t="s">
        <v>492</v>
      </c>
      <c r="N37" s="843" t="s">
        <v>499</v>
      </c>
      <c r="O37" s="740" t="s">
        <v>482</v>
      </c>
      <c r="P37" s="751" t="s">
        <v>194</v>
      </c>
      <c r="Q37" s="746" t="s">
        <v>477</v>
      </c>
      <c r="R37" s="766" t="s">
        <v>476</v>
      </c>
      <c r="S37" s="764">
        <v>0.48</v>
      </c>
      <c r="T37" s="746" t="s">
        <v>477</v>
      </c>
      <c r="U37" s="766" t="s">
        <v>476</v>
      </c>
      <c r="V37" s="764">
        <v>0.9</v>
      </c>
      <c r="W37" s="746" t="s">
        <v>477</v>
      </c>
      <c r="X37" s="792" t="s">
        <v>476</v>
      </c>
      <c r="Y37" s="764">
        <v>0.9</v>
      </c>
      <c r="Z37" s="746" t="s">
        <v>484</v>
      </c>
      <c r="AA37" s="766" t="s">
        <v>476</v>
      </c>
      <c r="AB37" s="768">
        <v>1.0</v>
      </c>
      <c r="AC37" s="746" t="s">
        <v>484</v>
      </c>
      <c r="AD37" s="766" t="s">
        <v>476</v>
      </c>
      <c r="AE37" s="778">
        <v>1.0</v>
      </c>
      <c r="AF37" s="746" t="s">
        <v>485</v>
      </c>
      <c r="AG37" s="766" t="s">
        <v>476</v>
      </c>
      <c r="AH37" s="135">
        <v>1.0</v>
      </c>
      <c r="AI37" s="746" t="s">
        <v>485</v>
      </c>
      <c r="AJ37" s="766" t="s">
        <v>476</v>
      </c>
      <c r="AK37" s="135">
        <v>1.0</v>
      </c>
      <c r="AL37" s="746" t="s">
        <v>485</v>
      </c>
      <c r="AM37" s="766" t="s">
        <v>476</v>
      </c>
      <c r="AN37" s="135">
        <v>1.0</v>
      </c>
      <c r="AO37" s="746" t="s">
        <v>485</v>
      </c>
      <c r="AP37" s="766" t="s">
        <v>476</v>
      </c>
      <c r="AQ37" s="135">
        <v>1.0</v>
      </c>
      <c r="AR37" s="746" t="s">
        <v>485</v>
      </c>
      <c r="AS37" s="766" t="s">
        <v>476</v>
      </c>
      <c r="AT37" s="135">
        <v>1.0</v>
      </c>
      <c r="AU37" s="746" t="s">
        <v>485</v>
      </c>
      <c r="AV37" s="766" t="s">
        <v>476</v>
      </c>
      <c r="AW37" s="135">
        <v>1.0</v>
      </c>
      <c r="AX37" s="746" t="s">
        <v>485</v>
      </c>
      <c r="AY37" s="766" t="s">
        <v>476</v>
      </c>
      <c r="AZ37" s="135">
        <v>1.0</v>
      </c>
      <c r="BA37" s="746" t="s">
        <v>485</v>
      </c>
      <c r="BB37" s="766" t="s">
        <v>476</v>
      </c>
      <c r="BC37" s="135">
        <v>1.0</v>
      </c>
      <c r="BD37" s="746" t="s">
        <v>485</v>
      </c>
      <c r="BE37" s="766" t="s">
        <v>476</v>
      </c>
      <c r="BF37" s="135">
        <v>1.0</v>
      </c>
      <c r="BG37" s="746" t="s">
        <v>485</v>
      </c>
      <c r="BH37" s="766" t="s">
        <v>476</v>
      </c>
      <c r="BI37" s="135">
        <v>1.0</v>
      </c>
      <c r="BJ37" s="746" t="s">
        <v>485</v>
      </c>
      <c r="BK37" s="766" t="s">
        <v>476</v>
      </c>
      <c r="BL37" s="135">
        <v>1.0</v>
      </c>
      <c r="BM37" s="746" t="s">
        <v>485</v>
      </c>
      <c r="BN37" s="766" t="s">
        <v>476</v>
      </c>
      <c r="BO37" s="135">
        <v>1.0</v>
      </c>
      <c r="BP37" s="746" t="s">
        <v>485</v>
      </c>
      <c r="BQ37" s="766" t="s">
        <v>476</v>
      </c>
      <c r="BR37" s="135">
        <v>1.0</v>
      </c>
      <c r="BS37" s="746" t="s">
        <v>485</v>
      </c>
      <c r="BT37" s="766" t="s">
        <v>476</v>
      </c>
      <c r="BU37" s="135">
        <v>1.0</v>
      </c>
      <c r="BV37" s="746" t="s">
        <v>485</v>
      </c>
      <c r="BW37" s="766" t="s">
        <v>476</v>
      </c>
      <c r="BX37" s="135">
        <v>1.0</v>
      </c>
      <c r="BY37" s="746" t="s">
        <v>485</v>
      </c>
      <c r="BZ37" s="766" t="s">
        <v>476</v>
      </c>
      <c r="CA37" s="135">
        <v>1.0</v>
      </c>
      <c r="CB37" s="746" t="s">
        <v>485</v>
      </c>
      <c r="CC37" s="766" t="s">
        <v>476</v>
      </c>
      <c r="CD37" s="135">
        <v>1.0</v>
      </c>
      <c r="CE37" s="746" t="s">
        <v>485</v>
      </c>
      <c r="CF37" s="766" t="s">
        <v>476</v>
      </c>
      <c r="CG37" s="135">
        <v>1.0</v>
      </c>
      <c r="CH37" s="746" t="s">
        <v>485</v>
      </c>
      <c r="CI37" s="766" t="s">
        <v>476</v>
      </c>
      <c r="CJ37" s="135">
        <v>1.0</v>
      </c>
      <c r="CK37" s="746" t="s">
        <v>485</v>
      </c>
      <c r="CL37" s="766" t="s">
        <v>476</v>
      </c>
      <c r="CM37" s="135">
        <v>1.0</v>
      </c>
      <c r="CN37" s="746" t="s">
        <v>485</v>
      </c>
      <c r="CO37" s="766" t="s">
        <v>476</v>
      </c>
      <c r="CP37" s="135">
        <v>1.0</v>
      </c>
      <c r="CQ37" s="746" t="s">
        <v>485</v>
      </c>
      <c r="CR37" s="766" t="s">
        <v>476</v>
      </c>
      <c r="CS37" s="135">
        <v>1.0</v>
      </c>
      <c r="CT37" s="746" t="s">
        <v>485</v>
      </c>
      <c r="CU37" s="766" t="s">
        <v>476</v>
      </c>
      <c r="CV37" s="135">
        <v>1.0</v>
      </c>
      <c r="CW37" s="746" t="s">
        <v>485</v>
      </c>
      <c r="CX37" s="766" t="s">
        <v>476</v>
      </c>
      <c r="CY37" s="764">
        <v>1.0</v>
      </c>
      <c r="CZ37" s="746" t="s">
        <v>485</v>
      </c>
      <c r="DA37" s="766" t="s">
        <v>476</v>
      </c>
      <c r="DB37" s="764">
        <v>1.0</v>
      </c>
      <c r="DC37" s="746" t="s">
        <v>485</v>
      </c>
      <c r="DD37" s="766" t="s">
        <v>476</v>
      </c>
      <c r="DE37" s="764">
        <v>1.0</v>
      </c>
      <c r="DF37" s="746" t="s">
        <v>485</v>
      </c>
      <c r="DG37" s="766" t="s">
        <v>476</v>
      </c>
      <c r="DH37" s="764">
        <v>1.0</v>
      </c>
      <c r="DI37" s="746" t="s">
        <v>485</v>
      </c>
      <c r="DJ37" s="766" t="s">
        <v>476</v>
      </c>
      <c r="DK37" s="764">
        <v>1.0</v>
      </c>
      <c r="DL37" s="746" t="s">
        <v>485</v>
      </c>
      <c r="DM37" s="766" t="s">
        <v>476</v>
      </c>
      <c r="DN37" s="764">
        <v>1.0</v>
      </c>
      <c r="DO37" s="746" t="s">
        <v>485</v>
      </c>
      <c r="DP37" s="766" t="s">
        <v>476</v>
      </c>
      <c r="DQ37" s="764">
        <v>1.0</v>
      </c>
      <c r="DR37" s="746" t="s">
        <v>485</v>
      </c>
      <c r="DS37" s="766" t="s">
        <v>476</v>
      </c>
      <c r="DT37" s="764">
        <v>1.0</v>
      </c>
      <c r="DU37" s="746" t="s">
        <v>485</v>
      </c>
      <c r="DV37" s="766" t="s">
        <v>476</v>
      </c>
      <c r="DW37" s="764">
        <v>1.0</v>
      </c>
      <c r="DX37" s="746" t="s">
        <v>485</v>
      </c>
      <c r="DY37" s="766" t="s">
        <v>476</v>
      </c>
      <c r="DZ37" s="764">
        <v>1.0</v>
      </c>
      <c r="EA37" s="746" t="s">
        <v>485</v>
      </c>
      <c r="EB37" s="766" t="s">
        <v>476</v>
      </c>
      <c r="EC37" s="764">
        <v>1.0</v>
      </c>
      <c r="ED37" s="111"/>
      <c r="EE37" s="111"/>
      <c r="EF37" s="111"/>
    </row>
    <row r="38" ht="15.0" customHeight="1">
      <c r="A38" s="60">
        <v>48.0</v>
      </c>
      <c r="B38" s="769" t="s">
        <v>196</v>
      </c>
      <c r="C38" s="769" t="s">
        <v>197</v>
      </c>
      <c r="D38" s="770" t="s">
        <v>85</v>
      </c>
      <c r="E38" s="771" t="s">
        <v>169</v>
      </c>
      <c r="F38" s="771">
        <v>1112.0</v>
      </c>
      <c r="G38" s="771" t="s">
        <v>170</v>
      </c>
      <c r="H38" s="139">
        <v>1129.0</v>
      </c>
      <c r="I38" s="74" t="str">
        <f>IFERROR(VLOOKUP(C36:C178,'R22 RELATÓRIO ACC'!B:F,5,FALSE),"NOT PUBLISHED")</f>
        <v>V33</v>
      </c>
      <c r="J38" s="74" t="str">
        <f>IFERROR(VLOOKUP(C36:C178,'R22 RELATÓRIO ACC'!B:P,15,FALSE),"NOT PUBLISHED")</f>
        <v>04/03/2026</v>
      </c>
      <c r="K38" s="141" t="str">
        <f>IFERROR(VLOOKUP(B36:B178,'RELATÓRIO ACC'!B:F,5,FALSE),"NOT PUBLISHED")</f>
        <v>V2</v>
      </c>
      <c r="L38" s="748" t="str">
        <f>IFERROR(VLOOKUP(B36:B178,'RELATÓRIO ACC'!B:P,15,FALSE),"NOT PUBLISHED")</f>
        <v>13/07/2026</v>
      </c>
      <c r="M38" s="141" t="s">
        <v>502</v>
      </c>
      <c r="N38" s="843" t="s">
        <v>503</v>
      </c>
      <c r="O38" s="740" t="s">
        <v>482</v>
      </c>
      <c r="P38" s="751" t="s">
        <v>102</v>
      </c>
      <c r="Q38" s="746" t="s">
        <v>477</v>
      </c>
      <c r="R38" s="766" t="s">
        <v>476</v>
      </c>
      <c r="S38" s="764">
        <v>0.52</v>
      </c>
      <c r="T38" s="746" t="s">
        <v>477</v>
      </c>
      <c r="U38" s="766" t="s">
        <v>476</v>
      </c>
      <c r="V38" s="764">
        <v>0.94</v>
      </c>
      <c r="W38" s="746" t="s">
        <v>484</v>
      </c>
      <c r="X38" s="766" t="s">
        <v>476</v>
      </c>
      <c r="Y38" s="764">
        <v>1.0</v>
      </c>
      <c r="Z38" s="774" t="s">
        <v>484</v>
      </c>
      <c r="AA38" s="775" t="s">
        <v>476</v>
      </c>
      <c r="AB38" s="768">
        <v>1.0</v>
      </c>
      <c r="AC38" s="776" t="s">
        <v>484</v>
      </c>
      <c r="AD38" s="777" t="s">
        <v>476</v>
      </c>
      <c r="AE38" s="778">
        <v>1.0</v>
      </c>
      <c r="AF38" s="776" t="s">
        <v>485</v>
      </c>
      <c r="AG38" s="777" t="s">
        <v>476</v>
      </c>
      <c r="AH38" s="135">
        <v>1.0</v>
      </c>
      <c r="AI38" s="776" t="s">
        <v>485</v>
      </c>
      <c r="AJ38" s="777" t="s">
        <v>476</v>
      </c>
      <c r="AK38" s="135">
        <v>1.0</v>
      </c>
      <c r="AL38" s="776" t="s">
        <v>485</v>
      </c>
      <c r="AM38" s="777" t="s">
        <v>476</v>
      </c>
      <c r="AN38" s="135">
        <v>1.0</v>
      </c>
      <c r="AO38" s="776" t="s">
        <v>485</v>
      </c>
      <c r="AP38" s="777" t="s">
        <v>476</v>
      </c>
      <c r="AQ38" s="135">
        <v>1.0</v>
      </c>
      <c r="AR38" s="776" t="s">
        <v>485</v>
      </c>
      <c r="AS38" s="777" t="s">
        <v>476</v>
      </c>
      <c r="AT38" s="135">
        <v>1.0</v>
      </c>
      <c r="AU38" s="776" t="s">
        <v>485</v>
      </c>
      <c r="AV38" s="777" t="s">
        <v>476</v>
      </c>
      <c r="AW38" s="135">
        <v>1.0</v>
      </c>
      <c r="AX38" s="776" t="s">
        <v>485</v>
      </c>
      <c r="AY38" s="777" t="s">
        <v>476</v>
      </c>
      <c r="AZ38" s="135">
        <v>1.0</v>
      </c>
      <c r="BA38" s="776" t="s">
        <v>485</v>
      </c>
      <c r="BB38" s="777" t="s">
        <v>476</v>
      </c>
      <c r="BC38" s="135">
        <v>1.0</v>
      </c>
      <c r="BD38" s="776" t="s">
        <v>485</v>
      </c>
      <c r="BE38" s="777" t="s">
        <v>476</v>
      </c>
      <c r="BF38" s="135">
        <v>1.0</v>
      </c>
      <c r="BG38" s="68" t="s">
        <v>485</v>
      </c>
      <c r="BH38" s="779" t="s">
        <v>476</v>
      </c>
      <c r="BI38" s="135">
        <v>1.0</v>
      </c>
      <c r="BJ38" s="68" t="s">
        <v>485</v>
      </c>
      <c r="BK38" s="779" t="s">
        <v>476</v>
      </c>
      <c r="BL38" s="135">
        <v>1.0</v>
      </c>
      <c r="BM38" s="68" t="s">
        <v>485</v>
      </c>
      <c r="BN38" s="779" t="s">
        <v>476</v>
      </c>
      <c r="BO38" s="135">
        <v>1.0</v>
      </c>
      <c r="BP38" s="68" t="s">
        <v>485</v>
      </c>
      <c r="BQ38" s="779" t="s">
        <v>476</v>
      </c>
      <c r="BR38" s="135">
        <v>1.0</v>
      </c>
      <c r="BS38" s="68" t="s">
        <v>485</v>
      </c>
      <c r="BT38" s="779" t="s">
        <v>476</v>
      </c>
      <c r="BU38" s="135">
        <v>1.0</v>
      </c>
      <c r="BV38" s="68" t="s">
        <v>485</v>
      </c>
      <c r="BW38" s="779" t="s">
        <v>476</v>
      </c>
      <c r="BX38" s="135">
        <v>1.0</v>
      </c>
      <c r="BY38" s="68" t="s">
        <v>485</v>
      </c>
      <c r="BZ38" s="779" t="s">
        <v>476</v>
      </c>
      <c r="CA38" s="135">
        <v>1.0</v>
      </c>
      <c r="CB38" s="68" t="s">
        <v>485</v>
      </c>
      <c r="CC38" s="779" t="s">
        <v>476</v>
      </c>
      <c r="CD38" s="135">
        <v>1.0</v>
      </c>
      <c r="CE38" s="68" t="s">
        <v>485</v>
      </c>
      <c r="CF38" s="779" t="s">
        <v>476</v>
      </c>
      <c r="CG38" s="135">
        <v>1.0</v>
      </c>
      <c r="CH38" s="68" t="s">
        <v>485</v>
      </c>
      <c r="CI38" s="779" t="s">
        <v>476</v>
      </c>
      <c r="CJ38" s="135">
        <v>1.0</v>
      </c>
      <c r="CK38" s="68" t="s">
        <v>485</v>
      </c>
      <c r="CL38" s="779" t="s">
        <v>476</v>
      </c>
      <c r="CM38" s="135">
        <v>1.0</v>
      </c>
      <c r="CN38" s="68" t="s">
        <v>485</v>
      </c>
      <c r="CO38" s="779" t="s">
        <v>476</v>
      </c>
      <c r="CP38" s="135">
        <v>1.0</v>
      </c>
      <c r="CQ38" s="68" t="s">
        <v>485</v>
      </c>
      <c r="CR38" s="779" t="s">
        <v>476</v>
      </c>
      <c r="CS38" s="135">
        <v>1.0</v>
      </c>
      <c r="CT38" s="68" t="s">
        <v>485</v>
      </c>
      <c r="CU38" s="779" t="s">
        <v>476</v>
      </c>
      <c r="CV38" s="135">
        <v>1.0</v>
      </c>
      <c r="CW38" s="68" t="s">
        <v>485</v>
      </c>
      <c r="CX38" s="779" t="s">
        <v>476</v>
      </c>
      <c r="CY38" s="135">
        <v>1.0</v>
      </c>
      <c r="CZ38" s="68" t="s">
        <v>485</v>
      </c>
      <c r="DA38" s="779" t="s">
        <v>476</v>
      </c>
      <c r="DB38" s="135">
        <v>1.0</v>
      </c>
      <c r="DC38" s="68" t="s">
        <v>485</v>
      </c>
      <c r="DD38" s="779" t="s">
        <v>476</v>
      </c>
      <c r="DE38" s="135">
        <v>1.0</v>
      </c>
      <c r="DF38" s="68" t="s">
        <v>485</v>
      </c>
      <c r="DG38" s="779" t="s">
        <v>476</v>
      </c>
      <c r="DH38" s="135">
        <v>1.0</v>
      </c>
      <c r="DI38" s="68" t="s">
        <v>485</v>
      </c>
      <c r="DJ38" s="779" t="s">
        <v>476</v>
      </c>
      <c r="DK38" s="135">
        <v>1.0</v>
      </c>
      <c r="DL38" s="68" t="s">
        <v>485</v>
      </c>
      <c r="DM38" s="779" t="s">
        <v>476</v>
      </c>
      <c r="DN38" s="135">
        <v>1.0</v>
      </c>
      <c r="DO38" s="68" t="s">
        <v>485</v>
      </c>
      <c r="DP38" s="779" t="s">
        <v>476</v>
      </c>
      <c r="DQ38" s="135">
        <v>1.0</v>
      </c>
      <c r="DR38" s="68" t="s">
        <v>485</v>
      </c>
      <c r="DS38" s="779" t="s">
        <v>476</v>
      </c>
      <c r="DT38" s="135">
        <v>1.0</v>
      </c>
      <c r="DU38" s="68" t="s">
        <v>485</v>
      </c>
      <c r="DV38" s="779" t="s">
        <v>476</v>
      </c>
      <c r="DW38" s="135">
        <v>1.0</v>
      </c>
      <c r="DX38" s="68" t="s">
        <v>485</v>
      </c>
      <c r="DY38" s="779" t="s">
        <v>476</v>
      </c>
      <c r="DZ38" s="135">
        <v>1.0</v>
      </c>
      <c r="EA38" s="68" t="s">
        <v>485</v>
      </c>
      <c r="EB38" s="779" t="s">
        <v>476</v>
      </c>
      <c r="EC38" s="135">
        <v>1.0</v>
      </c>
      <c r="ED38" s="111"/>
      <c r="EE38" s="111"/>
      <c r="EF38" s="111"/>
    </row>
    <row r="39" ht="15.0" customHeight="1" outlineLevel="1">
      <c r="A39" s="60">
        <v>52.0</v>
      </c>
      <c r="B39" s="747" t="s">
        <v>204</v>
      </c>
      <c r="C39" s="747" t="s">
        <v>205</v>
      </c>
      <c r="D39" s="71" t="s">
        <v>85</v>
      </c>
      <c r="E39" s="146" t="s">
        <v>180</v>
      </c>
      <c r="F39" s="72">
        <v>1114.0</v>
      </c>
      <c r="G39" s="139" t="s">
        <v>180</v>
      </c>
      <c r="H39" s="139">
        <v>1114.0</v>
      </c>
      <c r="I39" s="74" t="str">
        <f>IFERROR(VLOOKUP(C37:C179,'R22 RELATÓRIO ACC'!B:F,5,FALSE),"NOT PUBLISHED")</f>
        <v>V20</v>
      </c>
      <c r="J39" s="74" t="str">
        <f>IFERROR(VLOOKUP(C37:C179,'R22 RELATÓRIO ACC'!B:P,15,FALSE),"NOT PUBLISHED")</f>
        <v>05/05/2026</v>
      </c>
      <c r="K39" s="141" t="str">
        <f>IFERROR(VLOOKUP(B37:B179,'RELATÓRIO ACC'!B:F,5,FALSE),"NOT PUBLISHED")</f>
        <v>V2</v>
      </c>
      <c r="L39" s="748" t="str">
        <f>IFERROR(VLOOKUP(B37:B179,'RELATÓRIO ACC'!B:P,15,FALSE),"NOT PUBLISHED")</f>
        <v>12/07/2026</v>
      </c>
      <c r="M39" s="141" t="s">
        <v>492</v>
      </c>
      <c r="N39" s="843" t="s">
        <v>504</v>
      </c>
      <c r="O39" s="740" t="s">
        <v>482</v>
      </c>
      <c r="P39" s="844" t="s">
        <v>87</v>
      </c>
      <c r="Q39" s="746" t="s">
        <v>477</v>
      </c>
      <c r="R39" s="766" t="s">
        <v>476</v>
      </c>
      <c r="S39" s="764">
        <v>0.63</v>
      </c>
      <c r="T39" s="746" t="s">
        <v>477</v>
      </c>
      <c r="U39" s="766" t="s">
        <v>476</v>
      </c>
      <c r="V39" s="845">
        <v>0.93</v>
      </c>
      <c r="W39" s="746" t="s">
        <v>477</v>
      </c>
      <c r="X39" s="766" t="s">
        <v>476</v>
      </c>
      <c r="Y39" s="764">
        <v>0.93</v>
      </c>
      <c r="Z39" s="746" t="s">
        <v>484</v>
      </c>
      <c r="AA39" s="766" t="s">
        <v>476</v>
      </c>
      <c r="AB39" s="768">
        <v>1.0</v>
      </c>
      <c r="AC39" s="746" t="s">
        <v>484</v>
      </c>
      <c r="AD39" s="766" t="s">
        <v>476</v>
      </c>
      <c r="AE39" s="778">
        <v>1.0</v>
      </c>
      <c r="AF39" s="746" t="s">
        <v>485</v>
      </c>
      <c r="AG39" s="766" t="s">
        <v>476</v>
      </c>
      <c r="AH39" s="135">
        <v>1.0</v>
      </c>
      <c r="AI39" s="746" t="s">
        <v>485</v>
      </c>
      <c r="AJ39" s="766" t="s">
        <v>476</v>
      </c>
      <c r="AK39" s="135">
        <v>1.0</v>
      </c>
      <c r="AL39" s="746" t="s">
        <v>485</v>
      </c>
      <c r="AM39" s="766" t="s">
        <v>476</v>
      </c>
      <c r="AN39" s="135">
        <v>1.0</v>
      </c>
      <c r="AO39" s="746" t="s">
        <v>485</v>
      </c>
      <c r="AP39" s="766" t="s">
        <v>476</v>
      </c>
      <c r="AQ39" s="135">
        <v>1.0</v>
      </c>
      <c r="AR39" s="746" t="s">
        <v>485</v>
      </c>
      <c r="AS39" s="766" t="s">
        <v>476</v>
      </c>
      <c r="AT39" s="135">
        <v>1.0</v>
      </c>
      <c r="AU39" s="746" t="s">
        <v>485</v>
      </c>
      <c r="AV39" s="766" t="s">
        <v>476</v>
      </c>
      <c r="AW39" s="135">
        <v>1.0</v>
      </c>
      <c r="AX39" s="746" t="s">
        <v>485</v>
      </c>
      <c r="AY39" s="766" t="s">
        <v>476</v>
      </c>
      <c r="AZ39" s="135">
        <v>1.0</v>
      </c>
      <c r="BA39" s="746" t="s">
        <v>485</v>
      </c>
      <c r="BB39" s="766" t="s">
        <v>476</v>
      </c>
      <c r="BC39" s="135">
        <v>1.0</v>
      </c>
      <c r="BD39" s="746" t="s">
        <v>485</v>
      </c>
      <c r="BE39" s="766" t="s">
        <v>476</v>
      </c>
      <c r="BF39" s="135">
        <v>1.0</v>
      </c>
      <c r="BG39" s="746" t="s">
        <v>485</v>
      </c>
      <c r="BH39" s="766" t="s">
        <v>476</v>
      </c>
      <c r="BI39" s="135">
        <v>1.0</v>
      </c>
      <c r="BJ39" s="746" t="s">
        <v>485</v>
      </c>
      <c r="BK39" s="766" t="s">
        <v>476</v>
      </c>
      <c r="BL39" s="135">
        <v>1.0</v>
      </c>
      <c r="BM39" s="746" t="s">
        <v>485</v>
      </c>
      <c r="BN39" s="766" t="s">
        <v>476</v>
      </c>
      <c r="BO39" s="135">
        <v>1.0</v>
      </c>
      <c r="BP39" s="746" t="s">
        <v>485</v>
      </c>
      <c r="BQ39" s="766" t="s">
        <v>476</v>
      </c>
      <c r="BR39" s="135">
        <v>1.0</v>
      </c>
      <c r="BS39" s="746" t="s">
        <v>485</v>
      </c>
      <c r="BT39" s="766" t="s">
        <v>476</v>
      </c>
      <c r="BU39" s="135">
        <v>1.0</v>
      </c>
      <c r="BV39" s="746" t="s">
        <v>485</v>
      </c>
      <c r="BW39" s="766" t="s">
        <v>476</v>
      </c>
      <c r="BX39" s="135">
        <v>1.0</v>
      </c>
      <c r="BY39" s="746" t="s">
        <v>485</v>
      </c>
      <c r="BZ39" s="766" t="s">
        <v>476</v>
      </c>
      <c r="CA39" s="135">
        <v>1.0</v>
      </c>
      <c r="CB39" s="746" t="s">
        <v>485</v>
      </c>
      <c r="CC39" s="766" t="s">
        <v>476</v>
      </c>
      <c r="CD39" s="135">
        <v>1.0</v>
      </c>
      <c r="CE39" s="746" t="s">
        <v>485</v>
      </c>
      <c r="CF39" s="766" t="s">
        <v>476</v>
      </c>
      <c r="CG39" s="135">
        <v>1.0</v>
      </c>
      <c r="CH39" s="746" t="s">
        <v>485</v>
      </c>
      <c r="CI39" s="766" t="s">
        <v>476</v>
      </c>
      <c r="CJ39" s="135">
        <v>1.0</v>
      </c>
      <c r="CK39" s="746" t="s">
        <v>485</v>
      </c>
      <c r="CL39" s="766" t="s">
        <v>476</v>
      </c>
      <c r="CM39" s="135">
        <v>1.0</v>
      </c>
      <c r="CN39" s="746" t="s">
        <v>485</v>
      </c>
      <c r="CO39" s="766" t="s">
        <v>476</v>
      </c>
      <c r="CP39" s="135">
        <v>1.0</v>
      </c>
      <c r="CQ39" s="746" t="s">
        <v>485</v>
      </c>
      <c r="CR39" s="766" t="s">
        <v>476</v>
      </c>
      <c r="CS39" s="135">
        <v>1.0</v>
      </c>
      <c r="CT39" s="746" t="s">
        <v>485</v>
      </c>
      <c r="CU39" s="766" t="s">
        <v>476</v>
      </c>
      <c r="CV39" s="135">
        <v>1.0</v>
      </c>
      <c r="CW39" s="746" t="s">
        <v>485</v>
      </c>
      <c r="CX39" s="766" t="s">
        <v>476</v>
      </c>
      <c r="CY39" s="135">
        <v>1.0</v>
      </c>
      <c r="CZ39" s="746" t="s">
        <v>485</v>
      </c>
      <c r="DA39" s="766" t="s">
        <v>476</v>
      </c>
      <c r="DB39" s="135">
        <v>1.0</v>
      </c>
      <c r="DC39" s="746" t="s">
        <v>485</v>
      </c>
      <c r="DD39" s="766" t="s">
        <v>476</v>
      </c>
      <c r="DE39" s="135">
        <v>1.0</v>
      </c>
      <c r="DF39" s="746" t="s">
        <v>485</v>
      </c>
      <c r="DG39" s="766" t="s">
        <v>476</v>
      </c>
      <c r="DH39" s="135">
        <v>1.0</v>
      </c>
      <c r="DI39" s="746" t="s">
        <v>485</v>
      </c>
      <c r="DJ39" s="766" t="s">
        <v>476</v>
      </c>
      <c r="DK39" s="135">
        <v>1.0</v>
      </c>
      <c r="DL39" s="746" t="s">
        <v>485</v>
      </c>
      <c r="DM39" s="766" t="s">
        <v>476</v>
      </c>
      <c r="DN39" s="135">
        <v>1.0</v>
      </c>
      <c r="DO39" s="746" t="s">
        <v>485</v>
      </c>
      <c r="DP39" s="766" t="s">
        <v>476</v>
      </c>
      <c r="DQ39" s="135">
        <v>1.0</v>
      </c>
      <c r="DR39" s="746" t="s">
        <v>485</v>
      </c>
      <c r="DS39" s="766" t="s">
        <v>476</v>
      </c>
      <c r="DT39" s="135">
        <v>1.0</v>
      </c>
      <c r="DU39" s="746" t="s">
        <v>485</v>
      </c>
      <c r="DV39" s="766" t="s">
        <v>476</v>
      </c>
      <c r="DW39" s="135">
        <v>1.0</v>
      </c>
      <c r="DX39" s="746" t="s">
        <v>485</v>
      </c>
      <c r="DY39" s="766" t="s">
        <v>476</v>
      </c>
      <c r="DZ39" s="135">
        <v>1.0</v>
      </c>
      <c r="EA39" s="746" t="s">
        <v>485</v>
      </c>
      <c r="EB39" s="766" t="s">
        <v>476</v>
      </c>
      <c r="EC39" s="135">
        <v>1.0</v>
      </c>
      <c r="ED39" s="111"/>
      <c r="EE39" s="111"/>
      <c r="EF39" s="111"/>
    </row>
    <row r="40" ht="15.0" customHeight="1">
      <c r="A40" s="60">
        <v>54.0</v>
      </c>
      <c r="B40" s="769" t="s">
        <v>207</v>
      </c>
      <c r="C40" s="769" t="s">
        <v>208</v>
      </c>
      <c r="D40" s="770" t="s">
        <v>85</v>
      </c>
      <c r="E40" s="771" t="s">
        <v>169</v>
      </c>
      <c r="F40" s="771">
        <v>1112.0</v>
      </c>
      <c r="G40" s="771" t="s">
        <v>170</v>
      </c>
      <c r="H40" s="139">
        <v>1129.0</v>
      </c>
      <c r="I40" s="74" t="str">
        <f>IFERROR(VLOOKUP(C38:C180,'R22 RELATÓRIO ACC'!B:F,5,FALSE),"NOT PUBLISHED")</f>
        <v>V39</v>
      </c>
      <c r="J40" s="74" t="str">
        <f>IFERROR(VLOOKUP(C38:C180,'R22 RELATÓRIO ACC'!B:P,15,FALSE),"NOT PUBLISHED")</f>
        <v>19/03/2026</v>
      </c>
      <c r="K40" s="141" t="str">
        <f>IFERROR(VLOOKUP(B38:B180,'RELATÓRIO ACC'!B:F,5,FALSE),"NOT PUBLISHED")</f>
        <v>V5</v>
      </c>
      <c r="L40" s="748" t="str">
        <f>IFERROR(VLOOKUP(B38:B180,'RELATÓRIO ACC'!B:P,15,FALSE),"NOT PUBLISHED")</f>
        <v>10/07/2026</v>
      </c>
      <c r="M40" s="141" t="s">
        <v>505</v>
      </c>
      <c r="N40" s="843" t="s">
        <v>497</v>
      </c>
      <c r="O40" s="740" t="s">
        <v>482</v>
      </c>
      <c r="P40" s="751" t="s">
        <v>129</v>
      </c>
      <c r="Q40" s="746" t="s">
        <v>477</v>
      </c>
      <c r="R40" s="766" t="s">
        <v>476</v>
      </c>
      <c r="S40" s="846">
        <v>0.49</v>
      </c>
      <c r="T40" s="746" t="s">
        <v>477</v>
      </c>
      <c r="U40" s="766" t="s">
        <v>476</v>
      </c>
      <c r="V40" s="773">
        <v>0.97</v>
      </c>
      <c r="W40" s="746" t="s">
        <v>484</v>
      </c>
      <c r="X40" s="766" t="s">
        <v>476</v>
      </c>
      <c r="Y40" s="764">
        <v>1.0</v>
      </c>
      <c r="Z40" s="774" t="s">
        <v>484</v>
      </c>
      <c r="AA40" s="759" t="s">
        <v>476</v>
      </c>
      <c r="AB40" s="768">
        <v>1.0</v>
      </c>
      <c r="AC40" s="776" t="s">
        <v>484</v>
      </c>
      <c r="AD40" s="788" t="s">
        <v>476</v>
      </c>
      <c r="AE40" s="778">
        <v>1.0</v>
      </c>
      <c r="AF40" s="68" t="s">
        <v>485</v>
      </c>
      <c r="AG40" s="791" t="s">
        <v>476</v>
      </c>
      <c r="AH40" s="764">
        <v>1.0</v>
      </c>
      <c r="AI40" s="68" t="s">
        <v>485</v>
      </c>
      <c r="AJ40" s="791" t="s">
        <v>476</v>
      </c>
      <c r="AK40" s="764">
        <v>1.0</v>
      </c>
      <c r="AL40" s="68" t="s">
        <v>485</v>
      </c>
      <c r="AM40" s="791" t="s">
        <v>476</v>
      </c>
      <c r="AN40" s="135">
        <v>1.0</v>
      </c>
      <c r="AO40" s="68" t="s">
        <v>485</v>
      </c>
      <c r="AP40" s="791" t="s">
        <v>476</v>
      </c>
      <c r="AQ40" s="135">
        <v>1.0</v>
      </c>
      <c r="AR40" s="68" t="s">
        <v>485</v>
      </c>
      <c r="AS40" s="791" t="s">
        <v>476</v>
      </c>
      <c r="AT40" s="135">
        <v>1.0</v>
      </c>
      <c r="AU40" s="68" t="s">
        <v>485</v>
      </c>
      <c r="AV40" s="791" t="s">
        <v>476</v>
      </c>
      <c r="AW40" s="135">
        <v>1.0</v>
      </c>
      <c r="AX40" s="68" t="s">
        <v>485</v>
      </c>
      <c r="AY40" s="791" t="s">
        <v>476</v>
      </c>
      <c r="AZ40" s="135">
        <v>1.0</v>
      </c>
      <c r="BA40" s="68" t="s">
        <v>485</v>
      </c>
      <c r="BB40" s="791" t="s">
        <v>476</v>
      </c>
      <c r="BC40" s="135">
        <v>1.0</v>
      </c>
      <c r="BD40" s="68" t="s">
        <v>485</v>
      </c>
      <c r="BE40" s="791" t="s">
        <v>476</v>
      </c>
      <c r="BF40" s="135">
        <v>1.0</v>
      </c>
      <c r="BG40" s="68" t="s">
        <v>485</v>
      </c>
      <c r="BH40" s="791" t="s">
        <v>476</v>
      </c>
      <c r="BI40" s="135">
        <v>1.0</v>
      </c>
      <c r="BJ40" s="68" t="s">
        <v>485</v>
      </c>
      <c r="BK40" s="791" t="s">
        <v>476</v>
      </c>
      <c r="BL40" s="135">
        <v>1.0</v>
      </c>
      <c r="BM40" s="68" t="s">
        <v>485</v>
      </c>
      <c r="BN40" s="791" t="s">
        <v>476</v>
      </c>
      <c r="BO40" s="135">
        <v>1.0</v>
      </c>
      <c r="BP40" s="68" t="s">
        <v>485</v>
      </c>
      <c r="BQ40" s="791" t="s">
        <v>476</v>
      </c>
      <c r="BR40" s="135">
        <v>1.0</v>
      </c>
      <c r="BS40" s="68" t="s">
        <v>485</v>
      </c>
      <c r="BT40" s="791" t="s">
        <v>476</v>
      </c>
      <c r="BU40" s="135">
        <v>1.0</v>
      </c>
      <c r="BV40" s="68" t="s">
        <v>485</v>
      </c>
      <c r="BW40" s="791" t="s">
        <v>476</v>
      </c>
      <c r="BX40" s="135">
        <v>1.0</v>
      </c>
      <c r="BY40" s="68" t="s">
        <v>485</v>
      </c>
      <c r="BZ40" s="791" t="s">
        <v>476</v>
      </c>
      <c r="CA40" s="135">
        <v>1.0</v>
      </c>
      <c r="CB40" s="68" t="s">
        <v>485</v>
      </c>
      <c r="CC40" s="791" t="s">
        <v>476</v>
      </c>
      <c r="CD40" s="135">
        <v>1.0</v>
      </c>
      <c r="CE40" s="68" t="s">
        <v>485</v>
      </c>
      <c r="CF40" s="791" t="s">
        <v>476</v>
      </c>
      <c r="CG40" s="135">
        <v>1.0</v>
      </c>
      <c r="CH40" s="68" t="s">
        <v>485</v>
      </c>
      <c r="CI40" s="791" t="s">
        <v>476</v>
      </c>
      <c r="CJ40" s="135">
        <v>1.0</v>
      </c>
      <c r="CK40" s="68" t="s">
        <v>485</v>
      </c>
      <c r="CL40" s="791" t="s">
        <v>476</v>
      </c>
      <c r="CM40" s="135">
        <v>1.0</v>
      </c>
      <c r="CN40" s="68" t="s">
        <v>485</v>
      </c>
      <c r="CO40" s="791" t="s">
        <v>476</v>
      </c>
      <c r="CP40" s="135">
        <v>1.0</v>
      </c>
      <c r="CQ40" s="68" t="s">
        <v>485</v>
      </c>
      <c r="CR40" s="791" t="s">
        <v>476</v>
      </c>
      <c r="CS40" s="135">
        <v>1.0</v>
      </c>
      <c r="CT40" s="68" t="s">
        <v>485</v>
      </c>
      <c r="CU40" s="791" t="s">
        <v>476</v>
      </c>
      <c r="CV40" s="135">
        <v>1.0</v>
      </c>
      <c r="CW40" s="68" t="s">
        <v>485</v>
      </c>
      <c r="CX40" s="791" t="s">
        <v>476</v>
      </c>
      <c r="CY40" s="135">
        <v>1.0</v>
      </c>
      <c r="CZ40" s="68" t="s">
        <v>485</v>
      </c>
      <c r="DA40" s="791" t="s">
        <v>476</v>
      </c>
      <c r="DB40" s="135">
        <v>1.0</v>
      </c>
      <c r="DC40" s="68" t="s">
        <v>485</v>
      </c>
      <c r="DD40" s="791" t="s">
        <v>476</v>
      </c>
      <c r="DE40" s="135">
        <v>1.0</v>
      </c>
      <c r="DF40" s="68" t="s">
        <v>485</v>
      </c>
      <c r="DG40" s="791" t="s">
        <v>476</v>
      </c>
      <c r="DH40" s="135">
        <v>1.0</v>
      </c>
      <c r="DI40" s="68" t="s">
        <v>485</v>
      </c>
      <c r="DJ40" s="791" t="s">
        <v>476</v>
      </c>
      <c r="DK40" s="135">
        <v>1.0</v>
      </c>
      <c r="DL40" s="68" t="s">
        <v>485</v>
      </c>
      <c r="DM40" s="791" t="s">
        <v>476</v>
      </c>
      <c r="DN40" s="135">
        <v>1.0</v>
      </c>
      <c r="DO40" s="68" t="s">
        <v>485</v>
      </c>
      <c r="DP40" s="791" t="s">
        <v>476</v>
      </c>
      <c r="DQ40" s="135">
        <v>1.0</v>
      </c>
      <c r="DR40" s="68" t="s">
        <v>485</v>
      </c>
      <c r="DS40" s="791" t="s">
        <v>476</v>
      </c>
      <c r="DT40" s="135">
        <v>1.0</v>
      </c>
      <c r="DU40" s="68" t="s">
        <v>485</v>
      </c>
      <c r="DV40" s="791" t="s">
        <v>476</v>
      </c>
      <c r="DW40" s="135">
        <v>1.0</v>
      </c>
      <c r="DX40" s="68" t="s">
        <v>485</v>
      </c>
      <c r="DY40" s="791" t="s">
        <v>476</v>
      </c>
      <c r="DZ40" s="135">
        <v>1.0</v>
      </c>
      <c r="EA40" s="68" t="s">
        <v>485</v>
      </c>
      <c r="EB40" s="791" t="s">
        <v>476</v>
      </c>
      <c r="EC40" s="135">
        <v>1.0</v>
      </c>
      <c r="ED40" s="111"/>
      <c r="EE40" s="111"/>
      <c r="EF40" s="111"/>
    </row>
    <row r="41" ht="15.0" customHeight="1" outlineLevel="1">
      <c r="A41" s="60">
        <v>58.0</v>
      </c>
      <c r="B41" s="747" t="s">
        <v>215</v>
      </c>
      <c r="C41" s="747" t="s">
        <v>216</v>
      </c>
      <c r="D41" s="71" t="s">
        <v>85</v>
      </c>
      <c r="E41" s="146" t="s">
        <v>214</v>
      </c>
      <c r="F41" s="72">
        <v>1115.0</v>
      </c>
      <c r="G41" s="139" t="s">
        <v>214</v>
      </c>
      <c r="H41" s="139">
        <v>1115.0</v>
      </c>
      <c r="I41" s="74" t="str">
        <f>IFERROR(VLOOKUP(C39:C181,'R22 RELATÓRIO ACC'!B:F,5,FALSE),"NOT PUBLISHED")</f>
        <v>V40</v>
      </c>
      <c r="J41" s="74" t="str">
        <f>IFERROR(VLOOKUP(C39:C181,'R22 RELATÓRIO ACC'!B:P,15,FALSE),"NOT PUBLISHED")</f>
        <v>06/05/2026</v>
      </c>
      <c r="K41" s="141" t="str">
        <f>IFERROR(VLOOKUP(B39:B181,'RELATÓRIO ACC'!B:F,5,FALSE),"NOT PUBLISHED")</f>
        <v>V3</v>
      </c>
      <c r="L41" s="748" t="str">
        <f>IFERROR(VLOOKUP(B39:B181,'RELATÓRIO ACC'!B:P,15,FALSE),"NOT PUBLISHED")</f>
        <v>13/07/2026</v>
      </c>
      <c r="M41" s="141" t="s">
        <v>496</v>
      </c>
      <c r="N41" s="847">
        <v>45924.0</v>
      </c>
      <c r="O41" s="740" t="s">
        <v>482</v>
      </c>
      <c r="P41" s="751" t="s">
        <v>129</v>
      </c>
      <c r="Q41" s="746" t="s">
        <v>477</v>
      </c>
      <c r="R41" s="766" t="s">
        <v>476</v>
      </c>
      <c r="S41" s="846">
        <v>0.35</v>
      </c>
      <c r="T41" s="746" t="s">
        <v>477</v>
      </c>
      <c r="U41" s="766" t="s">
        <v>476</v>
      </c>
      <c r="V41" s="764">
        <v>0.35</v>
      </c>
      <c r="W41" s="746" t="s">
        <v>477</v>
      </c>
      <c r="X41" s="792" t="s">
        <v>476</v>
      </c>
      <c r="Y41" s="764">
        <v>0.99</v>
      </c>
      <c r="Z41" s="746" t="s">
        <v>484</v>
      </c>
      <c r="AA41" s="786" t="s">
        <v>476</v>
      </c>
      <c r="AB41" s="764">
        <v>1.0</v>
      </c>
      <c r="AC41" s="746" t="s">
        <v>484</v>
      </c>
      <c r="AD41" s="786" t="s">
        <v>476</v>
      </c>
      <c r="AE41" s="764">
        <v>1.0</v>
      </c>
      <c r="AF41" s="746" t="s">
        <v>485</v>
      </c>
      <c r="AG41" s="786" t="s">
        <v>476</v>
      </c>
      <c r="AH41" s="764">
        <v>1.0</v>
      </c>
      <c r="AI41" s="746" t="s">
        <v>485</v>
      </c>
      <c r="AJ41" s="786" t="s">
        <v>476</v>
      </c>
      <c r="AK41" s="764">
        <v>1.0</v>
      </c>
      <c r="AL41" s="746" t="s">
        <v>485</v>
      </c>
      <c r="AM41" s="786" t="s">
        <v>476</v>
      </c>
      <c r="AN41" s="764">
        <v>1.0</v>
      </c>
      <c r="AO41" s="746" t="s">
        <v>485</v>
      </c>
      <c r="AP41" s="786" t="s">
        <v>476</v>
      </c>
      <c r="AQ41" s="764">
        <v>1.0</v>
      </c>
      <c r="AR41" s="746" t="s">
        <v>485</v>
      </c>
      <c r="AS41" s="786" t="s">
        <v>476</v>
      </c>
      <c r="AT41" s="764">
        <v>1.0</v>
      </c>
      <c r="AU41" s="746" t="s">
        <v>485</v>
      </c>
      <c r="AV41" s="786" t="s">
        <v>476</v>
      </c>
      <c r="AW41" s="764">
        <v>1.0</v>
      </c>
      <c r="AX41" s="746" t="s">
        <v>485</v>
      </c>
      <c r="AY41" s="786" t="s">
        <v>476</v>
      </c>
      <c r="AZ41" s="764">
        <v>1.0</v>
      </c>
      <c r="BA41" s="746" t="s">
        <v>485</v>
      </c>
      <c r="BB41" s="786" t="s">
        <v>476</v>
      </c>
      <c r="BC41" s="764">
        <v>1.0</v>
      </c>
      <c r="BD41" s="746" t="s">
        <v>485</v>
      </c>
      <c r="BE41" s="786" t="s">
        <v>476</v>
      </c>
      <c r="BF41" s="764">
        <v>1.0</v>
      </c>
      <c r="BG41" s="746" t="s">
        <v>485</v>
      </c>
      <c r="BH41" s="786" t="s">
        <v>476</v>
      </c>
      <c r="BI41" s="764">
        <v>1.0</v>
      </c>
      <c r="BJ41" s="746" t="s">
        <v>485</v>
      </c>
      <c r="BK41" s="786" t="s">
        <v>476</v>
      </c>
      <c r="BL41" s="764">
        <v>1.0</v>
      </c>
      <c r="BM41" s="746" t="s">
        <v>485</v>
      </c>
      <c r="BN41" s="786" t="s">
        <v>476</v>
      </c>
      <c r="BO41" s="764">
        <v>1.0</v>
      </c>
      <c r="BP41" s="746" t="s">
        <v>485</v>
      </c>
      <c r="BQ41" s="786" t="s">
        <v>476</v>
      </c>
      <c r="BR41" s="764">
        <v>1.0</v>
      </c>
      <c r="BS41" s="746" t="s">
        <v>485</v>
      </c>
      <c r="BT41" s="786" t="s">
        <v>476</v>
      </c>
      <c r="BU41" s="764">
        <v>1.0</v>
      </c>
      <c r="BV41" s="746" t="s">
        <v>485</v>
      </c>
      <c r="BW41" s="786" t="s">
        <v>476</v>
      </c>
      <c r="BX41" s="764">
        <v>1.0</v>
      </c>
      <c r="BY41" s="746" t="s">
        <v>485</v>
      </c>
      <c r="BZ41" s="786" t="s">
        <v>476</v>
      </c>
      <c r="CA41" s="764">
        <v>1.0</v>
      </c>
      <c r="CB41" s="746" t="s">
        <v>485</v>
      </c>
      <c r="CC41" s="786" t="s">
        <v>476</v>
      </c>
      <c r="CD41" s="764">
        <v>1.0</v>
      </c>
      <c r="CE41" s="746" t="s">
        <v>485</v>
      </c>
      <c r="CF41" s="786" t="s">
        <v>476</v>
      </c>
      <c r="CG41" s="764">
        <v>1.0</v>
      </c>
      <c r="CH41" s="746" t="s">
        <v>485</v>
      </c>
      <c r="CI41" s="786" t="s">
        <v>476</v>
      </c>
      <c r="CJ41" s="764">
        <v>1.0</v>
      </c>
      <c r="CK41" s="746" t="s">
        <v>485</v>
      </c>
      <c r="CL41" s="786" t="s">
        <v>476</v>
      </c>
      <c r="CM41" s="764">
        <v>1.0</v>
      </c>
      <c r="CN41" s="746" t="s">
        <v>485</v>
      </c>
      <c r="CO41" s="786" t="s">
        <v>476</v>
      </c>
      <c r="CP41" s="764">
        <v>1.0</v>
      </c>
      <c r="CQ41" s="746" t="s">
        <v>485</v>
      </c>
      <c r="CR41" s="786" t="s">
        <v>476</v>
      </c>
      <c r="CS41" s="764">
        <v>1.0</v>
      </c>
      <c r="CT41" s="746" t="s">
        <v>485</v>
      </c>
      <c r="CU41" s="786" t="s">
        <v>476</v>
      </c>
      <c r="CV41" s="764">
        <v>1.0</v>
      </c>
      <c r="CW41" s="746" t="s">
        <v>485</v>
      </c>
      <c r="CX41" s="786" t="s">
        <v>476</v>
      </c>
      <c r="CY41" s="764">
        <v>1.0</v>
      </c>
      <c r="CZ41" s="746" t="s">
        <v>485</v>
      </c>
      <c r="DA41" s="786" t="s">
        <v>476</v>
      </c>
      <c r="DB41" s="764">
        <v>1.0</v>
      </c>
      <c r="DC41" s="746" t="s">
        <v>485</v>
      </c>
      <c r="DD41" s="786" t="s">
        <v>476</v>
      </c>
      <c r="DE41" s="764">
        <v>1.0</v>
      </c>
      <c r="DF41" s="746" t="s">
        <v>485</v>
      </c>
      <c r="DG41" s="786" t="s">
        <v>476</v>
      </c>
      <c r="DH41" s="764">
        <v>1.0</v>
      </c>
      <c r="DI41" s="746" t="s">
        <v>485</v>
      </c>
      <c r="DJ41" s="786" t="s">
        <v>476</v>
      </c>
      <c r="DK41" s="764">
        <v>1.0</v>
      </c>
      <c r="DL41" s="746" t="s">
        <v>485</v>
      </c>
      <c r="DM41" s="786" t="s">
        <v>476</v>
      </c>
      <c r="DN41" s="764">
        <v>1.0</v>
      </c>
      <c r="DO41" s="746" t="s">
        <v>485</v>
      </c>
      <c r="DP41" s="786" t="s">
        <v>476</v>
      </c>
      <c r="DQ41" s="135">
        <v>1.0</v>
      </c>
      <c r="DR41" s="746" t="s">
        <v>485</v>
      </c>
      <c r="DS41" s="786" t="s">
        <v>476</v>
      </c>
      <c r="DT41" s="135">
        <v>1.0</v>
      </c>
      <c r="DU41" s="746" t="s">
        <v>485</v>
      </c>
      <c r="DV41" s="786" t="s">
        <v>476</v>
      </c>
      <c r="DW41" s="135">
        <v>1.0</v>
      </c>
      <c r="DX41" s="746" t="s">
        <v>485</v>
      </c>
      <c r="DY41" s="786" t="s">
        <v>476</v>
      </c>
      <c r="DZ41" s="135">
        <v>1.0</v>
      </c>
      <c r="EA41" s="746" t="s">
        <v>485</v>
      </c>
      <c r="EB41" s="786" t="s">
        <v>476</v>
      </c>
      <c r="EC41" s="135">
        <v>1.0</v>
      </c>
      <c r="ED41" s="111"/>
      <c r="EE41" s="111"/>
      <c r="EF41" s="111"/>
    </row>
    <row r="42" ht="15.0" customHeight="1" outlineLevel="1">
      <c r="A42" s="60">
        <v>61.0</v>
      </c>
      <c r="B42" s="769" t="s">
        <v>222</v>
      </c>
      <c r="C42" s="769" t="s">
        <v>223</v>
      </c>
      <c r="D42" s="770" t="s">
        <v>85</v>
      </c>
      <c r="E42" s="771" t="s">
        <v>169</v>
      </c>
      <c r="F42" s="771">
        <v>1112.0</v>
      </c>
      <c r="G42" s="771" t="s">
        <v>170</v>
      </c>
      <c r="H42" s="139">
        <v>1129.0</v>
      </c>
      <c r="I42" s="74" t="str">
        <f>IFERROR(VLOOKUP(C40:C182,'R22 RELATÓRIO ACC'!B:F,5,FALSE),"NOT PUBLISHED")</f>
        <v>V52</v>
      </c>
      <c r="J42" s="74" t="str">
        <f>IFERROR(VLOOKUP(C40:C182,'R22 RELATÓRIO ACC'!B:P,15,FALSE),"NOT PUBLISHED")</f>
        <v>30/04/2026</v>
      </c>
      <c r="K42" s="141" t="str">
        <f>IFERROR(VLOOKUP(B40:B182,'RELATÓRIO ACC'!B:F,5,FALSE),"NOT PUBLISHED")</f>
        <v>V4</v>
      </c>
      <c r="L42" s="748" t="str">
        <f>IFERROR(VLOOKUP(B40:B182,'RELATÓRIO ACC'!B:P,15,FALSE),"NOT PUBLISHED")</f>
        <v>06/07/2026</v>
      </c>
      <c r="M42" s="141" t="s">
        <v>506</v>
      </c>
      <c r="N42" s="848" t="s">
        <v>503</v>
      </c>
      <c r="O42" s="740" t="s">
        <v>482</v>
      </c>
      <c r="P42" s="751" t="s">
        <v>129</v>
      </c>
      <c r="Q42" s="746" t="s">
        <v>477</v>
      </c>
      <c r="R42" s="766" t="s">
        <v>476</v>
      </c>
      <c r="S42" s="764">
        <v>0.46</v>
      </c>
      <c r="T42" s="746" t="s">
        <v>477</v>
      </c>
      <c r="U42" s="766" t="s">
        <v>476</v>
      </c>
      <c r="V42" s="764">
        <v>0.94</v>
      </c>
      <c r="W42" s="746" t="s">
        <v>484</v>
      </c>
      <c r="X42" s="766" t="s">
        <v>476</v>
      </c>
      <c r="Y42" s="764">
        <v>1.0</v>
      </c>
      <c r="Z42" s="774" t="s">
        <v>484</v>
      </c>
      <c r="AA42" s="786" t="s">
        <v>476</v>
      </c>
      <c r="AB42" s="764">
        <v>1.0</v>
      </c>
      <c r="AC42" s="776" t="s">
        <v>484</v>
      </c>
      <c r="AD42" s="788" t="s">
        <v>476</v>
      </c>
      <c r="AE42" s="764">
        <v>1.0</v>
      </c>
      <c r="AF42" s="68" t="s">
        <v>485</v>
      </c>
      <c r="AG42" s="791" t="s">
        <v>476</v>
      </c>
      <c r="AH42" s="764">
        <v>1.0</v>
      </c>
      <c r="AI42" s="68" t="s">
        <v>485</v>
      </c>
      <c r="AJ42" s="791" t="s">
        <v>476</v>
      </c>
      <c r="AK42" s="764">
        <v>1.0</v>
      </c>
      <c r="AL42" s="68" t="s">
        <v>485</v>
      </c>
      <c r="AM42" s="791" t="s">
        <v>476</v>
      </c>
      <c r="AN42" s="764">
        <v>1.0</v>
      </c>
      <c r="AO42" s="68" t="s">
        <v>485</v>
      </c>
      <c r="AP42" s="791" t="s">
        <v>476</v>
      </c>
      <c r="AQ42" s="764">
        <v>1.0</v>
      </c>
      <c r="AR42" s="68" t="s">
        <v>485</v>
      </c>
      <c r="AS42" s="791" t="s">
        <v>476</v>
      </c>
      <c r="AT42" s="764">
        <v>1.0</v>
      </c>
      <c r="AU42" s="68" t="s">
        <v>485</v>
      </c>
      <c r="AV42" s="791" t="s">
        <v>476</v>
      </c>
      <c r="AW42" s="764">
        <v>1.0</v>
      </c>
      <c r="AX42" s="68" t="s">
        <v>485</v>
      </c>
      <c r="AY42" s="791" t="s">
        <v>476</v>
      </c>
      <c r="AZ42" s="764">
        <v>1.0</v>
      </c>
      <c r="BA42" s="68" t="s">
        <v>485</v>
      </c>
      <c r="BB42" s="791" t="s">
        <v>476</v>
      </c>
      <c r="BC42" s="764">
        <v>1.0</v>
      </c>
      <c r="BD42" s="68" t="s">
        <v>485</v>
      </c>
      <c r="BE42" s="791" t="s">
        <v>476</v>
      </c>
      <c r="BF42" s="764">
        <v>1.0</v>
      </c>
      <c r="BG42" s="68" t="s">
        <v>485</v>
      </c>
      <c r="BH42" s="791" t="s">
        <v>476</v>
      </c>
      <c r="BI42" s="135">
        <v>1.0</v>
      </c>
      <c r="BJ42" s="68" t="s">
        <v>485</v>
      </c>
      <c r="BK42" s="791" t="s">
        <v>476</v>
      </c>
      <c r="BL42" s="135">
        <v>1.0</v>
      </c>
      <c r="BM42" s="68" t="s">
        <v>485</v>
      </c>
      <c r="BN42" s="791" t="s">
        <v>476</v>
      </c>
      <c r="BO42" s="135">
        <v>1.0</v>
      </c>
      <c r="BP42" s="68" t="s">
        <v>485</v>
      </c>
      <c r="BQ42" s="791" t="s">
        <v>476</v>
      </c>
      <c r="BR42" s="135">
        <v>1.0</v>
      </c>
      <c r="BS42" s="68" t="s">
        <v>485</v>
      </c>
      <c r="BT42" s="791" t="s">
        <v>476</v>
      </c>
      <c r="BU42" s="135">
        <v>1.0</v>
      </c>
      <c r="BV42" s="68" t="s">
        <v>485</v>
      </c>
      <c r="BW42" s="791" t="s">
        <v>476</v>
      </c>
      <c r="BX42" s="135">
        <v>1.0</v>
      </c>
      <c r="BY42" s="68" t="s">
        <v>485</v>
      </c>
      <c r="BZ42" s="791" t="s">
        <v>476</v>
      </c>
      <c r="CA42" s="135">
        <v>1.0</v>
      </c>
      <c r="CB42" s="68" t="s">
        <v>485</v>
      </c>
      <c r="CC42" s="791" t="s">
        <v>476</v>
      </c>
      <c r="CD42" s="135">
        <v>1.0</v>
      </c>
      <c r="CE42" s="68" t="s">
        <v>485</v>
      </c>
      <c r="CF42" s="791" t="s">
        <v>476</v>
      </c>
      <c r="CG42" s="135">
        <v>1.0</v>
      </c>
      <c r="CH42" s="68" t="s">
        <v>485</v>
      </c>
      <c r="CI42" s="791" t="s">
        <v>476</v>
      </c>
      <c r="CJ42" s="135">
        <v>1.0</v>
      </c>
      <c r="CK42" s="68" t="s">
        <v>485</v>
      </c>
      <c r="CL42" s="791" t="s">
        <v>476</v>
      </c>
      <c r="CM42" s="135">
        <v>1.0</v>
      </c>
      <c r="CN42" s="68" t="s">
        <v>485</v>
      </c>
      <c r="CO42" s="791" t="s">
        <v>476</v>
      </c>
      <c r="CP42" s="135">
        <v>1.0</v>
      </c>
      <c r="CQ42" s="68" t="s">
        <v>485</v>
      </c>
      <c r="CR42" s="791" t="s">
        <v>476</v>
      </c>
      <c r="CS42" s="135">
        <v>1.0</v>
      </c>
      <c r="CT42" s="68" t="s">
        <v>485</v>
      </c>
      <c r="CU42" s="791" t="s">
        <v>476</v>
      </c>
      <c r="CV42" s="135">
        <v>1.0</v>
      </c>
      <c r="CW42" s="68" t="s">
        <v>485</v>
      </c>
      <c r="CX42" s="791" t="s">
        <v>476</v>
      </c>
      <c r="CY42" s="135">
        <v>1.0</v>
      </c>
      <c r="CZ42" s="68" t="s">
        <v>485</v>
      </c>
      <c r="DA42" s="791" t="s">
        <v>476</v>
      </c>
      <c r="DB42" s="135">
        <v>1.0</v>
      </c>
      <c r="DC42" s="68" t="s">
        <v>485</v>
      </c>
      <c r="DD42" s="791" t="s">
        <v>476</v>
      </c>
      <c r="DE42" s="135">
        <v>1.0</v>
      </c>
      <c r="DF42" s="68" t="s">
        <v>485</v>
      </c>
      <c r="DG42" s="791" t="s">
        <v>476</v>
      </c>
      <c r="DH42" s="135">
        <v>1.0</v>
      </c>
      <c r="DI42" s="68" t="s">
        <v>485</v>
      </c>
      <c r="DJ42" s="791" t="s">
        <v>476</v>
      </c>
      <c r="DK42" s="135">
        <v>1.0</v>
      </c>
      <c r="DL42" s="68" t="s">
        <v>485</v>
      </c>
      <c r="DM42" s="791" t="s">
        <v>476</v>
      </c>
      <c r="DN42" s="135">
        <v>1.0</v>
      </c>
      <c r="DO42" s="68" t="s">
        <v>485</v>
      </c>
      <c r="DP42" s="791" t="s">
        <v>476</v>
      </c>
      <c r="DQ42" s="135">
        <v>1.0</v>
      </c>
      <c r="DR42" s="68" t="s">
        <v>485</v>
      </c>
      <c r="DS42" s="791" t="s">
        <v>476</v>
      </c>
      <c r="DT42" s="135">
        <v>1.0</v>
      </c>
      <c r="DU42" s="68" t="s">
        <v>485</v>
      </c>
      <c r="DV42" s="791" t="s">
        <v>476</v>
      </c>
      <c r="DW42" s="135">
        <v>1.0</v>
      </c>
      <c r="DX42" s="68" t="s">
        <v>485</v>
      </c>
      <c r="DY42" s="791" t="s">
        <v>476</v>
      </c>
      <c r="DZ42" s="135">
        <v>1.0</v>
      </c>
      <c r="EA42" s="68" t="s">
        <v>485</v>
      </c>
      <c r="EB42" s="791" t="s">
        <v>476</v>
      </c>
      <c r="EC42" s="135">
        <v>1.0</v>
      </c>
      <c r="ED42" s="111"/>
      <c r="EE42" s="111"/>
      <c r="EF42" s="111"/>
    </row>
    <row r="43" ht="15.0" customHeight="1" outlineLevel="1">
      <c r="A43" s="60">
        <v>63.0</v>
      </c>
      <c r="B43" s="849" t="s">
        <v>225</v>
      </c>
      <c r="C43" s="849" t="s">
        <v>226</v>
      </c>
      <c r="D43" s="71" t="s">
        <v>85</v>
      </c>
      <c r="E43" s="146" t="s">
        <v>169</v>
      </c>
      <c r="F43" s="146" t="s">
        <v>169</v>
      </c>
      <c r="G43" s="146" t="s">
        <v>169</v>
      </c>
      <c r="H43" s="139"/>
      <c r="I43" s="74" t="str">
        <f>IFERROR(VLOOKUP(C41:C183,'R22 RELATÓRIO ACC'!B:F,5,FALSE),"NOT PUBLISHED")</f>
        <v>V13</v>
      </c>
      <c r="J43" s="74" t="str">
        <f>IFERROR(VLOOKUP(C41:C183,'R22 RELATÓRIO ACC'!B:P,15,FALSE),"NOT PUBLISHED")</f>
        <v>12/05/2026</v>
      </c>
      <c r="K43" s="141" t="str">
        <f>IFERROR(VLOOKUP(B41:B183,'RELATÓRIO ACC'!B:F,5,FALSE),"NOT PUBLISHED")</f>
        <v>V5</v>
      </c>
      <c r="L43" s="748" t="str">
        <f>IFERROR(VLOOKUP(B41:B183,'RELATÓRIO ACC'!B:P,15,FALSE),"NOT PUBLISHED")</f>
        <v>13/07/2026</v>
      </c>
      <c r="M43" s="141" t="s">
        <v>507</v>
      </c>
      <c r="N43" s="847">
        <v>46008.0</v>
      </c>
      <c r="O43" s="740" t="s">
        <v>482</v>
      </c>
      <c r="P43" s="751"/>
      <c r="Q43" s="746" t="s">
        <v>466</v>
      </c>
      <c r="R43" s="74" t="s">
        <v>462</v>
      </c>
      <c r="S43" s="746" t="s">
        <v>466</v>
      </c>
      <c r="T43" s="746" t="s">
        <v>466</v>
      </c>
      <c r="U43" s="74" t="s">
        <v>462</v>
      </c>
      <c r="V43" s="749" t="s">
        <v>466</v>
      </c>
      <c r="W43" s="746" t="s">
        <v>466</v>
      </c>
      <c r="X43" s="74" t="s">
        <v>462</v>
      </c>
      <c r="Y43" s="746" t="s">
        <v>466</v>
      </c>
      <c r="Z43" s="746" t="s">
        <v>466</v>
      </c>
      <c r="AA43" s="74" t="s">
        <v>462</v>
      </c>
      <c r="AB43" s="750" t="s">
        <v>466</v>
      </c>
      <c r="AC43" s="746" t="s">
        <v>466</v>
      </c>
      <c r="AD43" s="74" t="s">
        <v>462</v>
      </c>
      <c r="AE43" s="746" t="s">
        <v>466</v>
      </c>
      <c r="AF43" s="746" t="s">
        <v>466</v>
      </c>
      <c r="AG43" s="74" t="s">
        <v>462</v>
      </c>
      <c r="AH43" s="746" t="s">
        <v>466</v>
      </c>
      <c r="AI43" s="746" t="s">
        <v>466</v>
      </c>
      <c r="AJ43" s="74" t="s">
        <v>462</v>
      </c>
      <c r="AK43" s="746" t="s">
        <v>466</v>
      </c>
      <c r="AL43" s="746" t="s">
        <v>466</v>
      </c>
      <c r="AM43" s="74" t="s">
        <v>462</v>
      </c>
      <c r="AN43" s="68" t="s">
        <v>466</v>
      </c>
      <c r="AO43" s="755" t="s">
        <v>477</v>
      </c>
      <c r="AP43" s="759" t="s">
        <v>476</v>
      </c>
      <c r="AQ43" s="768">
        <v>0.33</v>
      </c>
      <c r="AR43" s="755" t="s">
        <v>477</v>
      </c>
      <c r="AS43" s="759" t="s">
        <v>476</v>
      </c>
      <c r="AT43" s="768">
        <v>0.72</v>
      </c>
      <c r="AU43" s="755" t="s">
        <v>478</v>
      </c>
      <c r="AV43" s="759" t="s">
        <v>476</v>
      </c>
      <c r="AW43" s="785" t="s">
        <v>478</v>
      </c>
      <c r="AX43" s="755" t="s">
        <v>478</v>
      </c>
      <c r="AY43" s="759" t="s">
        <v>476</v>
      </c>
      <c r="AZ43" s="785" t="s">
        <v>478</v>
      </c>
      <c r="BA43" s="755" t="s">
        <v>477</v>
      </c>
      <c r="BB43" s="759" t="s">
        <v>476</v>
      </c>
      <c r="BC43" s="135">
        <v>0.72</v>
      </c>
      <c r="BD43" s="755" t="s">
        <v>484</v>
      </c>
      <c r="BE43" s="759" t="s">
        <v>476</v>
      </c>
      <c r="BF43" s="135">
        <v>1.0</v>
      </c>
      <c r="BG43" s="746" t="s">
        <v>485</v>
      </c>
      <c r="BH43" s="759" t="s">
        <v>476</v>
      </c>
      <c r="BI43" s="135">
        <v>1.0</v>
      </c>
      <c r="BJ43" s="746" t="s">
        <v>485</v>
      </c>
      <c r="BK43" s="759" t="s">
        <v>476</v>
      </c>
      <c r="BL43" s="135">
        <v>1.0</v>
      </c>
      <c r="BM43" s="746" t="s">
        <v>485</v>
      </c>
      <c r="BN43" s="759" t="s">
        <v>476</v>
      </c>
      <c r="BO43" s="135">
        <v>1.0</v>
      </c>
      <c r="BP43" s="746" t="s">
        <v>485</v>
      </c>
      <c r="BQ43" s="759" t="s">
        <v>476</v>
      </c>
      <c r="BR43" s="135">
        <v>1.0</v>
      </c>
      <c r="BS43" s="746" t="s">
        <v>485</v>
      </c>
      <c r="BT43" s="759" t="s">
        <v>476</v>
      </c>
      <c r="BU43" s="135">
        <v>1.0</v>
      </c>
      <c r="BV43" s="746" t="s">
        <v>485</v>
      </c>
      <c r="BW43" s="759" t="s">
        <v>476</v>
      </c>
      <c r="BX43" s="135">
        <v>1.0</v>
      </c>
      <c r="BY43" s="746" t="s">
        <v>485</v>
      </c>
      <c r="BZ43" s="759" t="s">
        <v>476</v>
      </c>
      <c r="CA43" s="135">
        <v>1.0</v>
      </c>
      <c r="CB43" s="746" t="s">
        <v>485</v>
      </c>
      <c r="CC43" s="759" t="s">
        <v>476</v>
      </c>
      <c r="CD43" s="135">
        <v>1.0</v>
      </c>
      <c r="CE43" s="746" t="s">
        <v>485</v>
      </c>
      <c r="CF43" s="759" t="s">
        <v>476</v>
      </c>
      <c r="CG43" s="135">
        <v>1.0</v>
      </c>
      <c r="CH43" s="746" t="s">
        <v>485</v>
      </c>
      <c r="CI43" s="759" t="s">
        <v>476</v>
      </c>
      <c r="CJ43" s="135">
        <v>1.0</v>
      </c>
      <c r="CK43" s="746" t="s">
        <v>485</v>
      </c>
      <c r="CL43" s="759" t="s">
        <v>476</v>
      </c>
      <c r="CM43" s="135">
        <v>1.0</v>
      </c>
      <c r="CN43" s="746" t="s">
        <v>485</v>
      </c>
      <c r="CO43" s="759" t="s">
        <v>476</v>
      </c>
      <c r="CP43" s="135">
        <v>1.0</v>
      </c>
      <c r="CQ43" s="746" t="s">
        <v>485</v>
      </c>
      <c r="CR43" s="759" t="s">
        <v>476</v>
      </c>
      <c r="CS43" s="135">
        <v>1.0</v>
      </c>
      <c r="CT43" s="746" t="s">
        <v>485</v>
      </c>
      <c r="CU43" s="759" t="s">
        <v>476</v>
      </c>
      <c r="CV43" s="135">
        <v>1.0</v>
      </c>
      <c r="CW43" s="746" t="s">
        <v>485</v>
      </c>
      <c r="CX43" s="759" t="s">
        <v>476</v>
      </c>
      <c r="CY43" s="135">
        <v>1.0</v>
      </c>
      <c r="CZ43" s="746" t="s">
        <v>485</v>
      </c>
      <c r="DA43" s="759" t="s">
        <v>476</v>
      </c>
      <c r="DB43" s="135">
        <v>1.0</v>
      </c>
      <c r="DC43" s="746" t="s">
        <v>485</v>
      </c>
      <c r="DD43" s="759" t="s">
        <v>476</v>
      </c>
      <c r="DE43" s="135">
        <v>1.0</v>
      </c>
      <c r="DF43" s="746" t="s">
        <v>485</v>
      </c>
      <c r="DG43" s="759" t="s">
        <v>476</v>
      </c>
      <c r="DH43" s="135">
        <v>1.0</v>
      </c>
      <c r="DI43" s="746" t="s">
        <v>485</v>
      </c>
      <c r="DJ43" s="759" t="s">
        <v>476</v>
      </c>
      <c r="DK43" s="135">
        <v>1.0</v>
      </c>
      <c r="DL43" s="746" t="s">
        <v>485</v>
      </c>
      <c r="DM43" s="759" t="s">
        <v>476</v>
      </c>
      <c r="DN43" s="135">
        <v>1.0</v>
      </c>
      <c r="DO43" s="746" t="s">
        <v>485</v>
      </c>
      <c r="DP43" s="759" t="s">
        <v>476</v>
      </c>
      <c r="DQ43" s="135">
        <v>1.0</v>
      </c>
      <c r="DR43" s="746" t="s">
        <v>485</v>
      </c>
      <c r="DS43" s="759" t="s">
        <v>476</v>
      </c>
      <c r="DT43" s="135">
        <v>1.0</v>
      </c>
      <c r="DU43" s="746" t="s">
        <v>485</v>
      </c>
      <c r="DV43" s="759" t="s">
        <v>476</v>
      </c>
      <c r="DW43" s="135">
        <v>1.0</v>
      </c>
      <c r="DX43" s="746" t="s">
        <v>485</v>
      </c>
      <c r="DY43" s="759" t="s">
        <v>476</v>
      </c>
      <c r="DZ43" s="135">
        <v>1.0</v>
      </c>
      <c r="EA43" s="746" t="s">
        <v>485</v>
      </c>
      <c r="EB43" s="759" t="s">
        <v>476</v>
      </c>
      <c r="EC43" s="135">
        <v>1.0</v>
      </c>
      <c r="ED43" s="111"/>
      <c r="EE43" s="111"/>
      <c r="EF43" s="111"/>
    </row>
    <row r="44" ht="15.0" customHeight="1">
      <c r="A44" s="60">
        <v>66.0</v>
      </c>
      <c r="B44" s="769" t="s">
        <v>230</v>
      </c>
      <c r="C44" s="769" t="s">
        <v>231</v>
      </c>
      <c r="D44" s="770" t="s">
        <v>85</v>
      </c>
      <c r="E44" s="771" t="s">
        <v>232</v>
      </c>
      <c r="F44" s="771">
        <v>1116.0</v>
      </c>
      <c r="G44" s="771" t="s">
        <v>232</v>
      </c>
      <c r="H44" s="139">
        <v>1116.0</v>
      </c>
      <c r="I44" s="74" t="str">
        <f>IFERROR(VLOOKUP(C42:C184,'R22 RELATÓRIO ACC'!B:F,5,FALSE),"NOT PUBLISHED")</f>
        <v>V15</v>
      </c>
      <c r="J44" s="74" t="str">
        <f>IFERROR(VLOOKUP(C42:C184,'R22 RELATÓRIO ACC'!B:P,15,FALSE),"NOT PUBLISHED")</f>
        <v>15/04/2026</v>
      </c>
      <c r="K44" s="141" t="str">
        <f>IFERROR(VLOOKUP(B42:B184,'RELATÓRIO ACC'!B:F,5,FALSE),"NOT PUBLISHED")</f>
        <v>V2</v>
      </c>
      <c r="L44" s="748" t="str">
        <f>IFERROR(VLOOKUP(B42:B184,'RELATÓRIO ACC'!B:P,15,FALSE),"NOT PUBLISHED")</f>
        <v>02/06/2026</v>
      </c>
      <c r="M44" s="141" t="s">
        <v>508</v>
      </c>
      <c r="N44" s="843" t="s">
        <v>509</v>
      </c>
      <c r="O44" s="740" t="s">
        <v>482</v>
      </c>
      <c r="P44" s="751" t="s">
        <v>91</v>
      </c>
      <c r="Q44" s="746" t="s">
        <v>466</v>
      </c>
      <c r="R44" s="74" t="s">
        <v>462</v>
      </c>
      <c r="S44" s="746" t="s">
        <v>466</v>
      </c>
      <c r="T44" s="746" t="s">
        <v>466</v>
      </c>
      <c r="U44" s="74" t="s">
        <v>462</v>
      </c>
      <c r="V44" s="746" t="s">
        <v>466</v>
      </c>
      <c r="W44" s="746" t="s">
        <v>477</v>
      </c>
      <c r="X44" s="759" t="s">
        <v>476</v>
      </c>
      <c r="Y44" s="764">
        <v>0.52</v>
      </c>
      <c r="Z44" s="774" t="s">
        <v>477</v>
      </c>
      <c r="AA44" s="786" t="s">
        <v>476</v>
      </c>
      <c r="AB44" s="764">
        <v>0.97</v>
      </c>
      <c r="AC44" s="776" t="s">
        <v>484</v>
      </c>
      <c r="AD44" s="788" t="s">
        <v>476</v>
      </c>
      <c r="AE44" s="764">
        <v>1.0</v>
      </c>
      <c r="AF44" s="68" t="s">
        <v>485</v>
      </c>
      <c r="AG44" s="791" t="s">
        <v>476</v>
      </c>
      <c r="AH44" s="135">
        <v>1.0</v>
      </c>
      <c r="AI44" s="68" t="s">
        <v>485</v>
      </c>
      <c r="AJ44" s="791" t="s">
        <v>476</v>
      </c>
      <c r="AK44" s="764">
        <v>1.0</v>
      </c>
      <c r="AL44" s="68" t="s">
        <v>485</v>
      </c>
      <c r="AM44" s="791" t="s">
        <v>476</v>
      </c>
      <c r="AN44" s="764">
        <v>1.0</v>
      </c>
      <c r="AO44" s="68" t="s">
        <v>485</v>
      </c>
      <c r="AP44" s="791" t="s">
        <v>476</v>
      </c>
      <c r="AQ44" s="764">
        <v>1.0</v>
      </c>
      <c r="AR44" s="68" t="s">
        <v>485</v>
      </c>
      <c r="AS44" s="791" t="s">
        <v>476</v>
      </c>
      <c r="AT44" s="764">
        <v>1.0</v>
      </c>
      <c r="AU44" s="68" t="s">
        <v>485</v>
      </c>
      <c r="AV44" s="791" t="s">
        <v>476</v>
      </c>
      <c r="AW44" s="764">
        <v>1.0</v>
      </c>
      <c r="AX44" s="68" t="s">
        <v>485</v>
      </c>
      <c r="AY44" s="791" t="s">
        <v>476</v>
      </c>
      <c r="AZ44" s="764">
        <v>1.0</v>
      </c>
      <c r="BA44" s="68" t="s">
        <v>485</v>
      </c>
      <c r="BB44" s="791" t="s">
        <v>476</v>
      </c>
      <c r="BC44" s="764">
        <v>1.0</v>
      </c>
      <c r="BD44" s="68" t="s">
        <v>485</v>
      </c>
      <c r="BE44" s="791" t="s">
        <v>476</v>
      </c>
      <c r="BF44" s="764">
        <v>1.0</v>
      </c>
      <c r="BG44" s="68" t="s">
        <v>485</v>
      </c>
      <c r="BH44" s="791" t="s">
        <v>476</v>
      </c>
      <c r="BI44" s="135">
        <v>1.0</v>
      </c>
      <c r="BJ44" s="68" t="s">
        <v>485</v>
      </c>
      <c r="BK44" s="791" t="s">
        <v>476</v>
      </c>
      <c r="BL44" s="135">
        <v>1.0</v>
      </c>
      <c r="BM44" s="68" t="s">
        <v>485</v>
      </c>
      <c r="BN44" s="791" t="s">
        <v>476</v>
      </c>
      <c r="BO44" s="135">
        <v>1.0</v>
      </c>
      <c r="BP44" s="68" t="s">
        <v>485</v>
      </c>
      <c r="BQ44" s="791" t="s">
        <v>476</v>
      </c>
      <c r="BR44" s="135">
        <v>1.0</v>
      </c>
      <c r="BS44" s="68" t="s">
        <v>485</v>
      </c>
      <c r="BT44" s="791" t="s">
        <v>476</v>
      </c>
      <c r="BU44" s="135">
        <v>1.0</v>
      </c>
      <c r="BV44" s="68" t="s">
        <v>485</v>
      </c>
      <c r="BW44" s="791" t="s">
        <v>476</v>
      </c>
      <c r="BX44" s="135">
        <v>1.0</v>
      </c>
      <c r="BY44" s="68" t="s">
        <v>485</v>
      </c>
      <c r="BZ44" s="791" t="s">
        <v>476</v>
      </c>
      <c r="CA44" s="135">
        <v>1.0</v>
      </c>
      <c r="CB44" s="68" t="s">
        <v>485</v>
      </c>
      <c r="CC44" s="791" t="s">
        <v>476</v>
      </c>
      <c r="CD44" s="135">
        <v>1.0</v>
      </c>
      <c r="CE44" s="68" t="s">
        <v>485</v>
      </c>
      <c r="CF44" s="791" t="s">
        <v>476</v>
      </c>
      <c r="CG44" s="135">
        <v>1.0</v>
      </c>
      <c r="CH44" s="68" t="s">
        <v>485</v>
      </c>
      <c r="CI44" s="791" t="s">
        <v>476</v>
      </c>
      <c r="CJ44" s="135">
        <v>1.0</v>
      </c>
      <c r="CK44" s="68" t="s">
        <v>485</v>
      </c>
      <c r="CL44" s="791" t="s">
        <v>476</v>
      </c>
      <c r="CM44" s="135">
        <v>1.0</v>
      </c>
      <c r="CN44" s="68" t="s">
        <v>485</v>
      </c>
      <c r="CO44" s="791" t="s">
        <v>476</v>
      </c>
      <c r="CP44" s="135">
        <v>1.0</v>
      </c>
      <c r="CQ44" s="68" t="s">
        <v>485</v>
      </c>
      <c r="CR44" s="791" t="s">
        <v>476</v>
      </c>
      <c r="CS44" s="135">
        <v>1.0</v>
      </c>
      <c r="CT44" s="68" t="s">
        <v>485</v>
      </c>
      <c r="CU44" s="791" t="s">
        <v>476</v>
      </c>
      <c r="CV44" s="135">
        <v>1.0</v>
      </c>
      <c r="CW44" s="68" t="s">
        <v>485</v>
      </c>
      <c r="CX44" s="791" t="s">
        <v>476</v>
      </c>
      <c r="CY44" s="135">
        <v>1.0</v>
      </c>
      <c r="CZ44" s="68" t="s">
        <v>485</v>
      </c>
      <c r="DA44" s="791" t="s">
        <v>476</v>
      </c>
      <c r="DB44" s="135">
        <v>1.0</v>
      </c>
      <c r="DC44" s="68" t="s">
        <v>485</v>
      </c>
      <c r="DD44" s="791" t="s">
        <v>476</v>
      </c>
      <c r="DE44" s="135">
        <v>1.0</v>
      </c>
      <c r="DF44" s="68" t="s">
        <v>485</v>
      </c>
      <c r="DG44" s="791" t="s">
        <v>476</v>
      </c>
      <c r="DH44" s="135">
        <v>1.0</v>
      </c>
      <c r="DI44" s="68" t="s">
        <v>485</v>
      </c>
      <c r="DJ44" s="791" t="s">
        <v>476</v>
      </c>
      <c r="DK44" s="135">
        <v>1.0</v>
      </c>
      <c r="DL44" s="68" t="s">
        <v>485</v>
      </c>
      <c r="DM44" s="791" t="s">
        <v>476</v>
      </c>
      <c r="DN44" s="135">
        <v>1.0</v>
      </c>
      <c r="DO44" s="68" t="s">
        <v>485</v>
      </c>
      <c r="DP44" s="791" t="s">
        <v>476</v>
      </c>
      <c r="DQ44" s="135">
        <v>1.0</v>
      </c>
      <c r="DR44" s="68" t="s">
        <v>485</v>
      </c>
      <c r="DS44" s="791" t="s">
        <v>476</v>
      </c>
      <c r="DT44" s="135">
        <v>1.0</v>
      </c>
      <c r="DU44" s="68" t="s">
        <v>485</v>
      </c>
      <c r="DV44" s="791" t="s">
        <v>476</v>
      </c>
      <c r="DW44" s="135">
        <v>1.0</v>
      </c>
      <c r="DX44" s="68" t="s">
        <v>485</v>
      </c>
      <c r="DY44" s="791" t="s">
        <v>476</v>
      </c>
      <c r="DZ44" s="135">
        <v>1.0</v>
      </c>
      <c r="EA44" s="68" t="s">
        <v>485</v>
      </c>
      <c r="EB44" s="791" t="s">
        <v>476</v>
      </c>
      <c r="EC44" s="135">
        <v>1.0</v>
      </c>
      <c r="ED44" s="111"/>
      <c r="EE44" s="111"/>
      <c r="EF44" s="111"/>
    </row>
    <row r="45" ht="15.0" customHeight="1" outlineLevel="1">
      <c r="A45" s="60">
        <v>76.0</v>
      </c>
      <c r="B45" s="747" t="s">
        <v>250</v>
      </c>
      <c r="C45" s="747" t="s">
        <v>251</v>
      </c>
      <c r="D45" s="71" t="s">
        <v>85</v>
      </c>
      <c r="E45" s="146" t="s">
        <v>169</v>
      </c>
      <c r="F45" s="72">
        <v>1112.0</v>
      </c>
      <c r="G45" s="146" t="s">
        <v>170</v>
      </c>
      <c r="H45" s="139">
        <v>1129.0</v>
      </c>
      <c r="I45" s="74" t="str">
        <f>IFERROR(VLOOKUP(C43:C185,'R22 RELATÓRIO ACC'!B:F,5,FALSE),"NOT PUBLISHED")</f>
        <v>V30</v>
      </c>
      <c r="J45" s="74" t="str">
        <f>IFERROR(VLOOKUP(C43:C185,'R22 RELATÓRIO ACC'!B:P,15,FALSE),"NOT PUBLISHED")</f>
        <v>24/03/2026</v>
      </c>
      <c r="K45" s="141" t="str">
        <f>IFERROR(VLOOKUP(B43:B185,'RELATÓRIO ACC'!B:F,5,FALSE),"NOT PUBLISHED")</f>
        <v>V2</v>
      </c>
      <c r="L45" s="748" t="str">
        <f>IFERROR(VLOOKUP(B43:B185,'RELATÓRIO ACC'!B:P,15,FALSE),"NOT PUBLISHED")</f>
        <v>13/07/2026</v>
      </c>
      <c r="M45" s="746" t="s">
        <v>501</v>
      </c>
      <c r="N45" s="850" t="s">
        <v>503</v>
      </c>
      <c r="O45" s="740" t="s">
        <v>482</v>
      </c>
      <c r="P45" s="751" t="s">
        <v>102</v>
      </c>
      <c r="Q45" s="746" t="s">
        <v>477</v>
      </c>
      <c r="R45" s="766" t="s">
        <v>476</v>
      </c>
      <c r="S45" s="773">
        <v>0.51</v>
      </c>
      <c r="T45" s="746" t="s">
        <v>477</v>
      </c>
      <c r="U45" s="766" t="s">
        <v>476</v>
      </c>
      <c r="V45" s="764">
        <v>0.53</v>
      </c>
      <c r="W45" s="746" t="s">
        <v>484</v>
      </c>
      <c r="X45" s="766" t="s">
        <v>476</v>
      </c>
      <c r="Y45" s="764">
        <v>1.0</v>
      </c>
      <c r="Z45" s="746" t="s">
        <v>484</v>
      </c>
      <c r="AA45" s="759" t="s">
        <v>476</v>
      </c>
      <c r="AB45" s="768">
        <v>1.0</v>
      </c>
      <c r="AC45" s="746" t="s">
        <v>484</v>
      </c>
      <c r="AD45" s="759" t="s">
        <v>476</v>
      </c>
      <c r="AE45" s="768">
        <v>1.0</v>
      </c>
      <c r="AF45" s="746" t="s">
        <v>485</v>
      </c>
      <c r="AG45" s="759" t="s">
        <v>476</v>
      </c>
      <c r="AH45" s="135">
        <v>1.0</v>
      </c>
      <c r="AI45" s="746" t="s">
        <v>485</v>
      </c>
      <c r="AJ45" s="759" t="s">
        <v>476</v>
      </c>
      <c r="AK45" s="768">
        <v>1.0</v>
      </c>
      <c r="AL45" s="746" t="s">
        <v>485</v>
      </c>
      <c r="AM45" s="759" t="s">
        <v>476</v>
      </c>
      <c r="AN45" s="135">
        <v>1.0</v>
      </c>
      <c r="AO45" s="746" t="s">
        <v>485</v>
      </c>
      <c r="AP45" s="786" t="s">
        <v>476</v>
      </c>
      <c r="AQ45" s="768">
        <v>1.0</v>
      </c>
      <c r="AR45" s="746" t="s">
        <v>485</v>
      </c>
      <c r="AS45" s="786" t="s">
        <v>476</v>
      </c>
      <c r="AT45" s="768">
        <v>1.0</v>
      </c>
      <c r="AU45" s="746" t="s">
        <v>485</v>
      </c>
      <c r="AV45" s="786" t="s">
        <v>476</v>
      </c>
      <c r="AW45" s="768">
        <v>1.0</v>
      </c>
      <c r="AX45" s="746" t="s">
        <v>485</v>
      </c>
      <c r="AY45" s="786" t="s">
        <v>476</v>
      </c>
      <c r="AZ45" s="768">
        <v>1.0</v>
      </c>
      <c r="BA45" s="746" t="s">
        <v>485</v>
      </c>
      <c r="BB45" s="786" t="s">
        <v>476</v>
      </c>
      <c r="BC45" s="768">
        <v>1.0</v>
      </c>
      <c r="BD45" s="746" t="s">
        <v>485</v>
      </c>
      <c r="BE45" s="786" t="s">
        <v>476</v>
      </c>
      <c r="BF45" s="768">
        <v>1.0</v>
      </c>
      <c r="BG45" s="746" t="s">
        <v>485</v>
      </c>
      <c r="BH45" s="786" t="s">
        <v>476</v>
      </c>
      <c r="BI45" s="768">
        <v>1.0</v>
      </c>
      <c r="BJ45" s="746" t="s">
        <v>485</v>
      </c>
      <c r="BK45" s="786" t="s">
        <v>476</v>
      </c>
      <c r="BL45" s="768">
        <v>1.0</v>
      </c>
      <c r="BM45" s="746" t="s">
        <v>485</v>
      </c>
      <c r="BN45" s="786" t="s">
        <v>476</v>
      </c>
      <c r="BO45" s="768">
        <v>1.0</v>
      </c>
      <c r="BP45" s="746" t="s">
        <v>485</v>
      </c>
      <c r="BQ45" s="786" t="s">
        <v>476</v>
      </c>
      <c r="BR45" s="768">
        <v>1.0</v>
      </c>
      <c r="BS45" s="746" t="s">
        <v>485</v>
      </c>
      <c r="BT45" s="786" t="s">
        <v>476</v>
      </c>
      <c r="BU45" s="768">
        <v>1.0</v>
      </c>
      <c r="BV45" s="746" t="s">
        <v>485</v>
      </c>
      <c r="BW45" s="786" t="s">
        <v>476</v>
      </c>
      <c r="BX45" s="768">
        <v>1.0</v>
      </c>
      <c r="BY45" s="746" t="s">
        <v>485</v>
      </c>
      <c r="BZ45" s="786" t="s">
        <v>476</v>
      </c>
      <c r="CA45" s="768">
        <v>1.0</v>
      </c>
      <c r="CB45" s="746" t="s">
        <v>485</v>
      </c>
      <c r="CC45" s="786" t="s">
        <v>476</v>
      </c>
      <c r="CD45" s="768">
        <v>1.0</v>
      </c>
      <c r="CE45" s="746" t="s">
        <v>485</v>
      </c>
      <c r="CF45" s="786" t="s">
        <v>476</v>
      </c>
      <c r="CG45" s="768">
        <v>1.0</v>
      </c>
      <c r="CH45" s="746" t="s">
        <v>485</v>
      </c>
      <c r="CI45" s="786" t="s">
        <v>476</v>
      </c>
      <c r="CJ45" s="768">
        <v>1.0</v>
      </c>
      <c r="CK45" s="746" t="s">
        <v>485</v>
      </c>
      <c r="CL45" s="786" t="s">
        <v>476</v>
      </c>
      <c r="CM45" s="764">
        <v>1.0</v>
      </c>
      <c r="CN45" s="746" t="s">
        <v>485</v>
      </c>
      <c r="CO45" s="786" t="s">
        <v>476</v>
      </c>
      <c r="CP45" s="764">
        <v>1.0</v>
      </c>
      <c r="CQ45" s="746" t="s">
        <v>485</v>
      </c>
      <c r="CR45" s="786" t="s">
        <v>476</v>
      </c>
      <c r="CS45" s="764">
        <v>1.0</v>
      </c>
      <c r="CT45" s="746" t="s">
        <v>485</v>
      </c>
      <c r="CU45" s="786" t="s">
        <v>476</v>
      </c>
      <c r="CV45" s="764">
        <v>1.0</v>
      </c>
      <c r="CW45" s="746" t="s">
        <v>485</v>
      </c>
      <c r="CX45" s="786" t="s">
        <v>476</v>
      </c>
      <c r="CY45" s="764">
        <v>1.0</v>
      </c>
      <c r="CZ45" s="746" t="s">
        <v>485</v>
      </c>
      <c r="DA45" s="759" t="s">
        <v>476</v>
      </c>
      <c r="DB45" s="135">
        <v>1.0</v>
      </c>
      <c r="DC45" s="746" t="s">
        <v>485</v>
      </c>
      <c r="DD45" s="759" t="s">
        <v>476</v>
      </c>
      <c r="DE45" s="135">
        <v>1.0</v>
      </c>
      <c r="DF45" s="746" t="s">
        <v>485</v>
      </c>
      <c r="DG45" s="759" t="s">
        <v>476</v>
      </c>
      <c r="DH45" s="135">
        <v>1.0</v>
      </c>
      <c r="DI45" s="746" t="s">
        <v>485</v>
      </c>
      <c r="DJ45" s="759" t="s">
        <v>476</v>
      </c>
      <c r="DK45" s="135">
        <v>1.0</v>
      </c>
      <c r="DL45" s="746" t="s">
        <v>485</v>
      </c>
      <c r="DM45" s="759" t="s">
        <v>476</v>
      </c>
      <c r="DN45" s="764">
        <v>1.0</v>
      </c>
      <c r="DO45" s="746" t="s">
        <v>485</v>
      </c>
      <c r="DP45" s="759" t="s">
        <v>476</v>
      </c>
      <c r="DQ45" s="135">
        <v>1.0</v>
      </c>
      <c r="DR45" s="746" t="s">
        <v>485</v>
      </c>
      <c r="DS45" s="759" t="s">
        <v>476</v>
      </c>
      <c r="DT45" s="135">
        <v>1.0</v>
      </c>
      <c r="DU45" s="746" t="s">
        <v>485</v>
      </c>
      <c r="DV45" s="759" t="s">
        <v>476</v>
      </c>
      <c r="DW45" s="135">
        <v>1.0</v>
      </c>
      <c r="DX45" s="746" t="s">
        <v>485</v>
      </c>
      <c r="DY45" s="759" t="s">
        <v>476</v>
      </c>
      <c r="DZ45" s="135">
        <v>1.0</v>
      </c>
      <c r="EA45" s="746" t="s">
        <v>485</v>
      </c>
      <c r="EB45" s="759" t="s">
        <v>476</v>
      </c>
      <c r="EC45" s="135">
        <v>1.0</v>
      </c>
      <c r="ED45" s="111"/>
      <c r="EE45" s="111"/>
      <c r="EF45" s="111"/>
    </row>
    <row r="46" ht="15.0" customHeight="1">
      <c r="A46" s="60">
        <v>82.0</v>
      </c>
      <c r="B46" s="769" t="s">
        <v>262</v>
      </c>
      <c r="C46" s="769" t="s">
        <v>263</v>
      </c>
      <c r="D46" s="770" t="s">
        <v>85</v>
      </c>
      <c r="E46" s="771" t="s">
        <v>256</v>
      </c>
      <c r="F46" s="771">
        <v>1118.0</v>
      </c>
      <c r="G46" s="771" t="s">
        <v>256</v>
      </c>
      <c r="H46" s="139">
        <v>1118.0</v>
      </c>
      <c r="I46" s="74" t="str">
        <f>IFERROR(VLOOKUP(C44:C186,'R22 RELATÓRIO ACC'!B:F,5,FALSE),"NOT PUBLISHED")</f>
        <v>V59</v>
      </c>
      <c r="J46" s="74" t="str">
        <f>IFERROR(VLOOKUP(C44:C186,'R22 RELATÓRIO ACC'!B:P,15,FALSE),"NOT PUBLISHED")</f>
        <v>17/04/2026</v>
      </c>
      <c r="K46" s="141" t="str">
        <f>IFERROR(VLOOKUP(B44:B186,'RELATÓRIO ACC'!B:F,5,FALSE),"NOT PUBLISHED")</f>
        <v>V5</v>
      </c>
      <c r="L46" s="748" t="str">
        <f>IFERROR(VLOOKUP(B44:B186,'RELATÓRIO ACC'!B:P,15,FALSE),"NOT PUBLISHED")</f>
        <v>06/07/2026</v>
      </c>
      <c r="M46" s="141" t="s">
        <v>510</v>
      </c>
      <c r="N46" s="848" t="s">
        <v>503</v>
      </c>
      <c r="O46" s="851" t="s">
        <v>482</v>
      </c>
      <c r="P46" s="751" t="s">
        <v>102</v>
      </c>
      <c r="Q46" s="852" t="s">
        <v>477</v>
      </c>
      <c r="R46" s="853" t="s">
        <v>476</v>
      </c>
      <c r="S46" s="764">
        <v>0.45</v>
      </c>
      <c r="T46" s="852" t="s">
        <v>477</v>
      </c>
      <c r="U46" s="853" t="s">
        <v>476</v>
      </c>
      <c r="V46" s="764">
        <v>0.71</v>
      </c>
      <c r="W46" s="852" t="s">
        <v>484</v>
      </c>
      <c r="X46" s="853" t="s">
        <v>476</v>
      </c>
      <c r="Y46" s="764">
        <v>1.0</v>
      </c>
      <c r="Z46" s="774" t="s">
        <v>484</v>
      </c>
      <c r="AA46" s="786" t="s">
        <v>476</v>
      </c>
      <c r="AB46" s="764">
        <v>1.0</v>
      </c>
      <c r="AC46" s="776" t="s">
        <v>484</v>
      </c>
      <c r="AD46" s="788" t="s">
        <v>476</v>
      </c>
      <c r="AE46" s="764">
        <v>1.0</v>
      </c>
      <c r="AF46" s="68" t="s">
        <v>485</v>
      </c>
      <c r="AG46" s="791" t="s">
        <v>476</v>
      </c>
      <c r="AH46" s="764">
        <v>1.0</v>
      </c>
      <c r="AI46" s="68" t="s">
        <v>485</v>
      </c>
      <c r="AJ46" s="791" t="s">
        <v>476</v>
      </c>
      <c r="AK46" s="764">
        <v>1.0</v>
      </c>
      <c r="AL46" s="68" t="s">
        <v>485</v>
      </c>
      <c r="AM46" s="791" t="s">
        <v>476</v>
      </c>
      <c r="AN46" s="764">
        <v>1.0</v>
      </c>
      <c r="AO46" s="68" t="s">
        <v>485</v>
      </c>
      <c r="AP46" s="791" t="s">
        <v>476</v>
      </c>
      <c r="AQ46" s="764">
        <v>1.0</v>
      </c>
      <c r="AR46" s="68" t="s">
        <v>485</v>
      </c>
      <c r="AS46" s="791" t="s">
        <v>476</v>
      </c>
      <c r="AT46" s="764">
        <v>1.0</v>
      </c>
      <c r="AU46" s="68" t="s">
        <v>485</v>
      </c>
      <c r="AV46" s="791" t="s">
        <v>476</v>
      </c>
      <c r="AW46" s="764">
        <v>1.0</v>
      </c>
      <c r="AX46" s="68" t="s">
        <v>485</v>
      </c>
      <c r="AY46" s="791" t="s">
        <v>476</v>
      </c>
      <c r="AZ46" s="764">
        <v>1.0</v>
      </c>
      <c r="BA46" s="68" t="s">
        <v>485</v>
      </c>
      <c r="BB46" s="791" t="s">
        <v>476</v>
      </c>
      <c r="BC46" s="764">
        <v>1.0</v>
      </c>
      <c r="BD46" s="68" t="s">
        <v>485</v>
      </c>
      <c r="BE46" s="791" t="s">
        <v>476</v>
      </c>
      <c r="BF46" s="764">
        <v>1.0</v>
      </c>
      <c r="BG46" s="68" t="s">
        <v>485</v>
      </c>
      <c r="BH46" s="791" t="s">
        <v>476</v>
      </c>
      <c r="BI46" s="135">
        <v>1.0</v>
      </c>
      <c r="BJ46" s="68" t="s">
        <v>485</v>
      </c>
      <c r="BK46" s="791" t="s">
        <v>476</v>
      </c>
      <c r="BL46" s="135">
        <v>1.0</v>
      </c>
      <c r="BM46" s="68" t="s">
        <v>485</v>
      </c>
      <c r="BN46" s="791" t="s">
        <v>476</v>
      </c>
      <c r="BO46" s="135">
        <v>1.0</v>
      </c>
      <c r="BP46" s="68" t="s">
        <v>485</v>
      </c>
      <c r="BQ46" s="791" t="s">
        <v>476</v>
      </c>
      <c r="BR46" s="135">
        <v>1.0</v>
      </c>
      <c r="BS46" s="68" t="s">
        <v>485</v>
      </c>
      <c r="BT46" s="791" t="s">
        <v>476</v>
      </c>
      <c r="BU46" s="135">
        <v>1.0</v>
      </c>
      <c r="BV46" s="68" t="s">
        <v>485</v>
      </c>
      <c r="BW46" s="791" t="s">
        <v>476</v>
      </c>
      <c r="BX46" s="135">
        <v>1.0</v>
      </c>
      <c r="BY46" s="68" t="s">
        <v>485</v>
      </c>
      <c r="BZ46" s="791" t="s">
        <v>476</v>
      </c>
      <c r="CA46" s="135">
        <v>1.0</v>
      </c>
      <c r="CB46" s="68" t="s">
        <v>485</v>
      </c>
      <c r="CC46" s="791" t="s">
        <v>476</v>
      </c>
      <c r="CD46" s="135">
        <v>1.0</v>
      </c>
      <c r="CE46" s="68" t="s">
        <v>485</v>
      </c>
      <c r="CF46" s="791" t="s">
        <v>476</v>
      </c>
      <c r="CG46" s="135">
        <v>1.0</v>
      </c>
      <c r="CH46" s="68" t="s">
        <v>485</v>
      </c>
      <c r="CI46" s="791" t="s">
        <v>476</v>
      </c>
      <c r="CJ46" s="135">
        <v>1.0</v>
      </c>
      <c r="CK46" s="68" t="s">
        <v>485</v>
      </c>
      <c r="CL46" s="791" t="s">
        <v>476</v>
      </c>
      <c r="CM46" s="135">
        <v>1.0</v>
      </c>
      <c r="CN46" s="68" t="s">
        <v>485</v>
      </c>
      <c r="CO46" s="791" t="s">
        <v>476</v>
      </c>
      <c r="CP46" s="135">
        <v>1.0</v>
      </c>
      <c r="CQ46" s="68" t="s">
        <v>485</v>
      </c>
      <c r="CR46" s="791" t="s">
        <v>476</v>
      </c>
      <c r="CS46" s="135">
        <v>1.0</v>
      </c>
      <c r="CT46" s="68" t="s">
        <v>485</v>
      </c>
      <c r="CU46" s="791" t="s">
        <v>476</v>
      </c>
      <c r="CV46" s="135">
        <v>1.0</v>
      </c>
      <c r="CW46" s="68" t="s">
        <v>485</v>
      </c>
      <c r="CX46" s="791" t="s">
        <v>476</v>
      </c>
      <c r="CY46" s="135">
        <v>1.0</v>
      </c>
      <c r="CZ46" s="68" t="s">
        <v>485</v>
      </c>
      <c r="DA46" s="791" t="s">
        <v>476</v>
      </c>
      <c r="DB46" s="135">
        <v>1.0</v>
      </c>
      <c r="DC46" s="68" t="s">
        <v>485</v>
      </c>
      <c r="DD46" s="791" t="s">
        <v>476</v>
      </c>
      <c r="DE46" s="135">
        <v>1.0</v>
      </c>
      <c r="DF46" s="68" t="s">
        <v>485</v>
      </c>
      <c r="DG46" s="791" t="s">
        <v>476</v>
      </c>
      <c r="DH46" s="135">
        <v>1.0</v>
      </c>
      <c r="DI46" s="68" t="s">
        <v>485</v>
      </c>
      <c r="DJ46" s="791" t="s">
        <v>476</v>
      </c>
      <c r="DK46" s="135">
        <v>1.0</v>
      </c>
      <c r="DL46" s="68" t="s">
        <v>485</v>
      </c>
      <c r="DM46" s="791" t="s">
        <v>476</v>
      </c>
      <c r="DN46" s="135">
        <v>1.0</v>
      </c>
      <c r="DO46" s="68" t="s">
        <v>485</v>
      </c>
      <c r="DP46" s="791" t="s">
        <v>476</v>
      </c>
      <c r="DQ46" s="135">
        <v>1.0</v>
      </c>
      <c r="DR46" s="68" t="s">
        <v>485</v>
      </c>
      <c r="DS46" s="791" t="s">
        <v>476</v>
      </c>
      <c r="DT46" s="135">
        <v>1.0</v>
      </c>
      <c r="DU46" s="68" t="s">
        <v>485</v>
      </c>
      <c r="DV46" s="791" t="s">
        <v>476</v>
      </c>
      <c r="DW46" s="135">
        <v>1.0</v>
      </c>
      <c r="DX46" s="68" t="s">
        <v>485</v>
      </c>
      <c r="DY46" s="791" t="s">
        <v>476</v>
      </c>
      <c r="DZ46" s="135">
        <v>1.0</v>
      </c>
      <c r="EA46" s="68" t="s">
        <v>485</v>
      </c>
      <c r="EB46" s="791" t="s">
        <v>476</v>
      </c>
      <c r="EC46" s="135">
        <v>1.0</v>
      </c>
      <c r="ED46" s="111"/>
      <c r="EE46" s="111"/>
      <c r="EF46" s="111"/>
    </row>
    <row r="47" ht="15.0" customHeight="1" outlineLevel="1">
      <c r="A47" s="60">
        <v>93.0</v>
      </c>
      <c r="B47" s="747" t="s">
        <v>285</v>
      </c>
      <c r="C47" s="747" t="s">
        <v>286</v>
      </c>
      <c r="D47" s="71" t="s">
        <v>85</v>
      </c>
      <c r="E47" s="146" t="s">
        <v>287</v>
      </c>
      <c r="F47" s="72"/>
      <c r="G47" s="147" t="s">
        <v>288</v>
      </c>
      <c r="H47" s="150"/>
      <c r="I47" s="74" t="str">
        <f>IFERROR(VLOOKUP(C45:C187,'R22 RELATÓRIO ACC'!B:F,5,FALSE),"NOT PUBLISHED")</f>
        <v>V10</v>
      </c>
      <c r="J47" s="74" t="str">
        <f>IFERROR(VLOOKUP(C45:C187,'R22 RELATÓRIO ACC'!B:P,15,FALSE),"NOT PUBLISHED")</f>
        <v>22/04/2026</v>
      </c>
      <c r="K47" s="141" t="str">
        <f>IFERROR(VLOOKUP(B45:B187,'RELATÓRIO ACC'!B:F,5,FALSE),"NOT PUBLISHED")</f>
        <v>V1</v>
      </c>
      <c r="L47" s="748" t="str">
        <f>IFERROR(VLOOKUP(B45:B187,'RELATÓRIO ACC'!B:P,15,FALSE),"NOT PUBLISHED")</f>
        <v>15/05/2026</v>
      </c>
      <c r="M47" s="141" t="s">
        <v>507</v>
      </c>
      <c r="N47" s="843" t="s">
        <v>511</v>
      </c>
      <c r="O47" s="851" t="s">
        <v>482</v>
      </c>
      <c r="P47" s="751" t="s">
        <v>102</v>
      </c>
      <c r="Q47" s="746" t="s">
        <v>466</v>
      </c>
      <c r="R47" s="74" t="s">
        <v>462</v>
      </c>
      <c r="S47" s="746" t="s">
        <v>466</v>
      </c>
      <c r="T47" s="746" t="s">
        <v>466</v>
      </c>
      <c r="U47" s="74" t="s">
        <v>462</v>
      </c>
      <c r="V47" s="746" t="s">
        <v>466</v>
      </c>
      <c r="W47" s="746" t="s">
        <v>477</v>
      </c>
      <c r="X47" s="792" t="s">
        <v>476</v>
      </c>
      <c r="Y47" s="854">
        <v>0.31</v>
      </c>
      <c r="Z47" s="746" t="s">
        <v>477</v>
      </c>
      <c r="AA47" s="775" t="s">
        <v>476</v>
      </c>
      <c r="AB47" s="764">
        <v>0.62</v>
      </c>
      <c r="AC47" s="746" t="s">
        <v>477</v>
      </c>
      <c r="AD47" s="766" t="s">
        <v>476</v>
      </c>
      <c r="AE47" s="764">
        <v>0.65</v>
      </c>
      <c r="AF47" s="755" t="s">
        <v>478</v>
      </c>
      <c r="AG47" s="759" t="s">
        <v>476</v>
      </c>
      <c r="AH47" s="755" t="s">
        <v>478</v>
      </c>
      <c r="AI47" s="755" t="s">
        <v>478</v>
      </c>
      <c r="AJ47" s="759" t="s">
        <v>476</v>
      </c>
      <c r="AK47" s="755" t="s">
        <v>478</v>
      </c>
      <c r="AL47" s="755" t="s">
        <v>484</v>
      </c>
      <c r="AM47" s="759" t="s">
        <v>476</v>
      </c>
      <c r="AN47" s="764">
        <v>1.0</v>
      </c>
      <c r="AO47" s="746" t="s">
        <v>485</v>
      </c>
      <c r="AP47" s="759" t="s">
        <v>476</v>
      </c>
      <c r="AQ47" s="764">
        <v>1.0</v>
      </c>
      <c r="AR47" s="746" t="s">
        <v>485</v>
      </c>
      <c r="AS47" s="759" t="s">
        <v>476</v>
      </c>
      <c r="AT47" s="764">
        <v>1.0</v>
      </c>
      <c r="AU47" s="746" t="s">
        <v>485</v>
      </c>
      <c r="AV47" s="759" t="s">
        <v>476</v>
      </c>
      <c r="AW47" s="764">
        <v>1.0</v>
      </c>
      <c r="AX47" s="746" t="s">
        <v>485</v>
      </c>
      <c r="AY47" s="759" t="s">
        <v>476</v>
      </c>
      <c r="AZ47" s="764">
        <v>1.0</v>
      </c>
      <c r="BA47" s="746" t="s">
        <v>485</v>
      </c>
      <c r="BB47" s="791" t="s">
        <v>476</v>
      </c>
      <c r="BC47" s="135">
        <v>1.0</v>
      </c>
      <c r="BD47" s="746" t="s">
        <v>485</v>
      </c>
      <c r="BE47" s="759" t="s">
        <v>476</v>
      </c>
      <c r="BF47" s="764">
        <v>1.0</v>
      </c>
      <c r="BG47" s="746" t="s">
        <v>485</v>
      </c>
      <c r="BH47" s="759" t="s">
        <v>476</v>
      </c>
      <c r="BI47" s="764">
        <v>1.0</v>
      </c>
      <c r="BJ47" s="746" t="s">
        <v>485</v>
      </c>
      <c r="BK47" s="759" t="s">
        <v>476</v>
      </c>
      <c r="BL47" s="764">
        <v>1.0</v>
      </c>
      <c r="BM47" s="746" t="s">
        <v>485</v>
      </c>
      <c r="BN47" s="759" t="s">
        <v>476</v>
      </c>
      <c r="BO47" s="764">
        <v>1.0</v>
      </c>
      <c r="BP47" s="746" t="s">
        <v>485</v>
      </c>
      <c r="BQ47" s="759" t="s">
        <v>476</v>
      </c>
      <c r="BR47" s="764">
        <v>1.0</v>
      </c>
      <c r="BS47" s="746" t="s">
        <v>485</v>
      </c>
      <c r="BT47" s="759" t="s">
        <v>476</v>
      </c>
      <c r="BU47" s="764">
        <v>1.0</v>
      </c>
      <c r="BV47" s="746" t="s">
        <v>485</v>
      </c>
      <c r="BW47" s="759" t="s">
        <v>476</v>
      </c>
      <c r="BX47" s="764">
        <v>1.0</v>
      </c>
      <c r="BY47" s="746" t="s">
        <v>485</v>
      </c>
      <c r="BZ47" s="759" t="s">
        <v>476</v>
      </c>
      <c r="CA47" s="764">
        <v>1.0</v>
      </c>
      <c r="CB47" s="746" t="s">
        <v>485</v>
      </c>
      <c r="CC47" s="759" t="s">
        <v>476</v>
      </c>
      <c r="CD47" s="764">
        <v>1.0</v>
      </c>
      <c r="CE47" s="746" t="s">
        <v>485</v>
      </c>
      <c r="CF47" s="759" t="s">
        <v>476</v>
      </c>
      <c r="CG47" s="764">
        <v>1.0</v>
      </c>
      <c r="CH47" s="746" t="s">
        <v>485</v>
      </c>
      <c r="CI47" s="759" t="s">
        <v>476</v>
      </c>
      <c r="CJ47" s="764">
        <v>1.0</v>
      </c>
      <c r="CK47" s="746" t="s">
        <v>485</v>
      </c>
      <c r="CL47" s="759" t="s">
        <v>476</v>
      </c>
      <c r="CM47" s="764">
        <v>1.0</v>
      </c>
      <c r="CN47" s="746" t="s">
        <v>485</v>
      </c>
      <c r="CO47" s="759" t="s">
        <v>476</v>
      </c>
      <c r="CP47" s="764">
        <v>1.0</v>
      </c>
      <c r="CQ47" s="746" t="s">
        <v>485</v>
      </c>
      <c r="CR47" s="759" t="s">
        <v>476</v>
      </c>
      <c r="CS47" s="764">
        <v>1.0</v>
      </c>
      <c r="CT47" s="746" t="s">
        <v>485</v>
      </c>
      <c r="CU47" s="759" t="s">
        <v>476</v>
      </c>
      <c r="CV47" s="764">
        <v>1.0</v>
      </c>
      <c r="CW47" s="746" t="s">
        <v>485</v>
      </c>
      <c r="CX47" s="759" t="s">
        <v>476</v>
      </c>
      <c r="CY47" s="764">
        <v>1.0</v>
      </c>
      <c r="CZ47" s="746" t="s">
        <v>485</v>
      </c>
      <c r="DA47" s="759" t="s">
        <v>476</v>
      </c>
      <c r="DB47" s="764">
        <v>1.0</v>
      </c>
      <c r="DC47" s="746" t="s">
        <v>485</v>
      </c>
      <c r="DD47" s="759" t="s">
        <v>476</v>
      </c>
      <c r="DE47" s="764">
        <v>1.0</v>
      </c>
      <c r="DF47" s="746" t="s">
        <v>485</v>
      </c>
      <c r="DG47" s="759" t="s">
        <v>476</v>
      </c>
      <c r="DH47" s="764">
        <v>1.0</v>
      </c>
      <c r="DI47" s="746" t="s">
        <v>485</v>
      </c>
      <c r="DJ47" s="759" t="s">
        <v>476</v>
      </c>
      <c r="DK47" s="764">
        <v>1.0</v>
      </c>
      <c r="DL47" s="746" t="s">
        <v>485</v>
      </c>
      <c r="DM47" s="759" t="s">
        <v>476</v>
      </c>
      <c r="DN47" s="764">
        <v>1.0</v>
      </c>
      <c r="DO47" s="746" t="s">
        <v>485</v>
      </c>
      <c r="DP47" s="759" t="s">
        <v>476</v>
      </c>
      <c r="DQ47" s="764">
        <v>1.0</v>
      </c>
      <c r="DR47" s="746" t="s">
        <v>485</v>
      </c>
      <c r="DS47" s="759" t="s">
        <v>476</v>
      </c>
      <c r="DT47" s="764">
        <v>1.0</v>
      </c>
      <c r="DU47" s="746" t="s">
        <v>485</v>
      </c>
      <c r="DV47" s="759" t="s">
        <v>476</v>
      </c>
      <c r="DW47" s="764">
        <v>1.0</v>
      </c>
      <c r="DX47" s="746" t="s">
        <v>485</v>
      </c>
      <c r="DY47" s="759" t="s">
        <v>476</v>
      </c>
      <c r="DZ47" s="764">
        <v>1.0</v>
      </c>
      <c r="EA47" s="746" t="s">
        <v>485</v>
      </c>
      <c r="EB47" s="759" t="s">
        <v>476</v>
      </c>
      <c r="EC47" s="764">
        <v>1.0</v>
      </c>
      <c r="ED47" s="111"/>
      <c r="EE47" s="111"/>
      <c r="EF47" s="111"/>
    </row>
    <row r="48" ht="15.0" customHeight="1">
      <c r="A48" s="60">
        <v>95.0</v>
      </c>
      <c r="B48" s="769" t="s">
        <v>291</v>
      </c>
      <c r="C48" s="769" t="s">
        <v>292</v>
      </c>
      <c r="D48" s="770" t="s">
        <v>85</v>
      </c>
      <c r="E48" s="157" t="s">
        <v>293</v>
      </c>
      <c r="F48" s="771"/>
      <c r="G48" s="157" t="s">
        <v>288</v>
      </c>
      <c r="H48" s="150"/>
      <c r="I48" s="74" t="str">
        <f>IFERROR(VLOOKUP(C46:C188,'R22 RELATÓRIO ACC'!B:F,5,FALSE),"NOT PUBLISHED")</f>
        <v>V11</v>
      </c>
      <c r="J48" s="74" t="str">
        <f>IFERROR(VLOOKUP(C46:C188,'R22 RELATÓRIO ACC'!B:P,15,FALSE),"NOT PUBLISHED")</f>
        <v>28/04/2026</v>
      </c>
      <c r="K48" s="141" t="str">
        <f>IFERROR(VLOOKUP(B46:B188,'RELATÓRIO ACC'!B:F,5,FALSE),"NOT PUBLISHED")</f>
        <v>V1</v>
      </c>
      <c r="L48" s="748" t="str">
        <f>IFERROR(VLOOKUP(B46:B188,'RELATÓRIO ACC'!B:P,15,FALSE),"NOT PUBLISHED")</f>
        <v>15/05/2026</v>
      </c>
      <c r="M48" s="126" t="s">
        <v>479</v>
      </c>
      <c r="N48" s="772" t="s">
        <v>512</v>
      </c>
      <c r="O48" s="851" t="s">
        <v>482</v>
      </c>
      <c r="P48" s="751" t="s">
        <v>146</v>
      </c>
      <c r="Q48" s="746" t="s">
        <v>466</v>
      </c>
      <c r="R48" s="74" t="s">
        <v>462</v>
      </c>
      <c r="S48" s="746" t="s">
        <v>466</v>
      </c>
      <c r="T48" s="746" t="s">
        <v>466</v>
      </c>
      <c r="U48" s="74" t="s">
        <v>462</v>
      </c>
      <c r="V48" s="746" t="s">
        <v>466</v>
      </c>
      <c r="W48" s="746" t="s">
        <v>477</v>
      </c>
      <c r="X48" s="759" t="s">
        <v>476</v>
      </c>
      <c r="Y48" s="854">
        <v>0.27</v>
      </c>
      <c r="Z48" s="774" t="s">
        <v>477</v>
      </c>
      <c r="AA48" s="786" t="s">
        <v>476</v>
      </c>
      <c r="AB48" s="764">
        <v>0.73</v>
      </c>
      <c r="AC48" s="787" t="s">
        <v>478</v>
      </c>
      <c r="AD48" s="788" t="s">
        <v>476</v>
      </c>
      <c r="AE48" s="755" t="s">
        <v>478</v>
      </c>
      <c r="AF48" s="763" t="s">
        <v>478</v>
      </c>
      <c r="AG48" s="791" t="s">
        <v>476</v>
      </c>
      <c r="AH48" s="755" t="s">
        <v>478</v>
      </c>
      <c r="AI48" s="763" t="s">
        <v>478</v>
      </c>
      <c r="AJ48" s="791" t="s">
        <v>476</v>
      </c>
      <c r="AK48" s="755" t="s">
        <v>478</v>
      </c>
      <c r="AL48" s="763" t="s">
        <v>484</v>
      </c>
      <c r="AM48" s="779" t="s">
        <v>476</v>
      </c>
      <c r="AN48" s="764">
        <v>1.0</v>
      </c>
      <c r="AO48" s="68" t="s">
        <v>485</v>
      </c>
      <c r="AP48" s="779" t="s">
        <v>476</v>
      </c>
      <c r="AQ48" s="764">
        <v>1.0</v>
      </c>
      <c r="AR48" s="68" t="s">
        <v>485</v>
      </c>
      <c r="AS48" s="779" t="s">
        <v>476</v>
      </c>
      <c r="AT48" s="764">
        <v>1.0</v>
      </c>
      <c r="AU48" s="68" t="s">
        <v>485</v>
      </c>
      <c r="AV48" s="779" t="s">
        <v>476</v>
      </c>
      <c r="AW48" s="764">
        <v>1.0</v>
      </c>
      <c r="AX48" s="68" t="s">
        <v>485</v>
      </c>
      <c r="AY48" s="779" t="s">
        <v>476</v>
      </c>
      <c r="AZ48" s="764">
        <v>1.0</v>
      </c>
      <c r="BA48" s="68" t="s">
        <v>485</v>
      </c>
      <c r="BB48" s="779" t="s">
        <v>476</v>
      </c>
      <c r="BC48" s="764">
        <v>1.0</v>
      </c>
      <c r="BD48" s="68" t="s">
        <v>485</v>
      </c>
      <c r="BE48" s="779" t="s">
        <v>476</v>
      </c>
      <c r="BF48" s="764">
        <v>1.0</v>
      </c>
      <c r="BG48" s="68" t="s">
        <v>485</v>
      </c>
      <c r="BH48" s="779" t="s">
        <v>476</v>
      </c>
      <c r="BI48" s="135">
        <v>1.0</v>
      </c>
      <c r="BJ48" s="68" t="s">
        <v>485</v>
      </c>
      <c r="BK48" s="779" t="s">
        <v>476</v>
      </c>
      <c r="BL48" s="135">
        <v>1.0</v>
      </c>
      <c r="BM48" s="68" t="s">
        <v>485</v>
      </c>
      <c r="BN48" s="779" t="s">
        <v>476</v>
      </c>
      <c r="BO48" s="135">
        <v>1.0</v>
      </c>
      <c r="BP48" s="68" t="s">
        <v>485</v>
      </c>
      <c r="BQ48" s="779" t="s">
        <v>476</v>
      </c>
      <c r="BR48" s="135">
        <v>1.0</v>
      </c>
      <c r="BS48" s="68" t="s">
        <v>485</v>
      </c>
      <c r="BT48" s="779" t="s">
        <v>476</v>
      </c>
      <c r="BU48" s="135">
        <v>1.0</v>
      </c>
      <c r="BV48" s="68" t="s">
        <v>485</v>
      </c>
      <c r="BW48" s="779" t="s">
        <v>476</v>
      </c>
      <c r="BX48" s="135">
        <v>1.0</v>
      </c>
      <c r="BY48" s="68" t="s">
        <v>485</v>
      </c>
      <c r="BZ48" s="779" t="s">
        <v>476</v>
      </c>
      <c r="CA48" s="135">
        <v>1.0</v>
      </c>
      <c r="CB48" s="68" t="s">
        <v>485</v>
      </c>
      <c r="CC48" s="779" t="s">
        <v>476</v>
      </c>
      <c r="CD48" s="135">
        <v>1.0</v>
      </c>
      <c r="CE48" s="68" t="s">
        <v>485</v>
      </c>
      <c r="CF48" s="779" t="s">
        <v>476</v>
      </c>
      <c r="CG48" s="135">
        <v>1.0</v>
      </c>
      <c r="CH48" s="68" t="s">
        <v>485</v>
      </c>
      <c r="CI48" s="779" t="s">
        <v>476</v>
      </c>
      <c r="CJ48" s="135">
        <v>1.0</v>
      </c>
      <c r="CK48" s="68" t="s">
        <v>485</v>
      </c>
      <c r="CL48" s="779" t="s">
        <v>476</v>
      </c>
      <c r="CM48" s="135">
        <v>1.0</v>
      </c>
      <c r="CN48" s="68" t="s">
        <v>485</v>
      </c>
      <c r="CO48" s="779" t="s">
        <v>476</v>
      </c>
      <c r="CP48" s="135">
        <v>1.0</v>
      </c>
      <c r="CQ48" s="68" t="s">
        <v>485</v>
      </c>
      <c r="CR48" s="779" t="s">
        <v>476</v>
      </c>
      <c r="CS48" s="135">
        <v>1.0</v>
      </c>
      <c r="CT48" s="68" t="s">
        <v>485</v>
      </c>
      <c r="CU48" s="779" t="s">
        <v>476</v>
      </c>
      <c r="CV48" s="135">
        <v>1.0</v>
      </c>
      <c r="CW48" s="68" t="s">
        <v>485</v>
      </c>
      <c r="CX48" s="779" t="s">
        <v>476</v>
      </c>
      <c r="CY48" s="135">
        <v>1.0</v>
      </c>
      <c r="CZ48" s="68" t="s">
        <v>485</v>
      </c>
      <c r="DA48" s="779" t="s">
        <v>476</v>
      </c>
      <c r="DB48" s="135">
        <v>1.0</v>
      </c>
      <c r="DC48" s="68" t="s">
        <v>485</v>
      </c>
      <c r="DD48" s="779" t="s">
        <v>476</v>
      </c>
      <c r="DE48" s="135">
        <v>1.0</v>
      </c>
      <c r="DF48" s="68" t="s">
        <v>485</v>
      </c>
      <c r="DG48" s="779" t="s">
        <v>476</v>
      </c>
      <c r="DH48" s="135">
        <v>1.0</v>
      </c>
      <c r="DI48" s="68" t="s">
        <v>485</v>
      </c>
      <c r="DJ48" s="779" t="s">
        <v>476</v>
      </c>
      <c r="DK48" s="135">
        <v>1.0</v>
      </c>
      <c r="DL48" s="68" t="s">
        <v>485</v>
      </c>
      <c r="DM48" s="779" t="s">
        <v>476</v>
      </c>
      <c r="DN48" s="135">
        <v>1.0</v>
      </c>
      <c r="DO48" s="68" t="s">
        <v>485</v>
      </c>
      <c r="DP48" s="779" t="s">
        <v>476</v>
      </c>
      <c r="DQ48" s="135">
        <v>1.0</v>
      </c>
      <c r="DR48" s="68" t="s">
        <v>485</v>
      </c>
      <c r="DS48" s="779" t="s">
        <v>476</v>
      </c>
      <c r="DT48" s="135">
        <v>1.0</v>
      </c>
      <c r="DU48" s="68" t="s">
        <v>485</v>
      </c>
      <c r="DV48" s="779" t="s">
        <v>476</v>
      </c>
      <c r="DW48" s="135">
        <v>1.0</v>
      </c>
      <c r="DX48" s="68" t="s">
        <v>485</v>
      </c>
      <c r="DY48" s="779" t="s">
        <v>476</v>
      </c>
      <c r="DZ48" s="135">
        <v>1.0</v>
      </c>
      <c r="EA48" s="68" t="s">
        <v>485</v>
      </c>
      <c r="EB48" s="779" t="s">
        <v>476</v>
      </c>
      <c r="EC48" s="135">
        <v>1.0</v>
      </c>
      <c r="ED48" s="111"/>
      <c r="EE48" s="111"/>
      <c r="EF48" s="111"/>
    </row>
    <row r="49" ht="15.0" customHeight="1" outlineLevel="1">
      <c r="A49" s="60">
        <v>105.0</v>
      </c>
      <c r="B49" s="747" t="s">
        <v>316</v>
      </c>
      <c r="C49" s="747" t="s">
        <v>316</v>
      </c>
      <c r="D49" s="71" t="s">
        <v>3</v>
      </c>
      <c r="E49" s="146" t="s">
        <v>317</v>
      </c>
      <c r="F49" s="72">
        <v>1125.0</v>
      </c>
      <c r="G49" s="139" t="s">
        <v>317</v>
      </c>
      <c r="H49" s="139">
        <v>1125.0</v>
      </c>
      <c r="I49" s="74" t="str">
        <f>IFERROR(VLOOKUP(C47:C189,'R22 RELATÓRIO ACC'!B:F,5,FALSE),"NOT PUBLISHED")</f>
        <v>V8</v>
      </c>
      <c r="J49" s="74" t="str">
        <f>IFERROR(VLOOKUP(C47:C189,'R22 RELATÓRIO ACC'!B:P,15,FALSE),"NOT PUBLISHED")</f>
        <v>07/11/2025</v>
      </c>
      <c r="K49" s="141" t="str">
        <f>IFERROR(VLOOKUP(B47:B189,'RELATÓRIO ACC'!B:F,5,FALSE),"NOT PUBLISHED")</f>
        <v>V1</v>
      </c>
      <c r="L49" s="748" t="str">
        <f>IFERROR(VLOOKUP(B47:B189,'RELATÓRIO ACC'!B:P,15,FALSE),"NOT PUBLISHED")</f>
        <v>21/05/2026</v>
      </c>
      <c r="M49" s="126" t="s">
        <v>507</v>
      </c>
      <c r="N49" s="855">
        <v>45856.0</v>
      </c>
      <c r="O49" s="856" t="s">
        <v>482</v>
      </c>
      <c r="P49" s="751" t="s">
        <v>129</v>
      </c>
      <c r="Q49" s="746" t="s">
        <v>477</v>
      </c>
      <c r="R49" s="759" t="s">
        <v>476</v>
      </c>
      <c r="S49" s="773">
        <v>0.76</v>
      </c>
      <c r="T49" s="746" t="s">
        <v>478</v>
      </c>
      <c r="U49" s="466" t="s">
        <v>483</v>
      </c>
      <c r="V49" s="755" t="s">
        <v>478</v>
      </c>
      <c r="W49" s="746" t="s">
        <v>477</v>
      </c>
      <c r="X49" s="766" t="s">
        <v>476</v>
      </c>
      <c r="Y49" s="773">
        <v>0.98</v>
      </c>
      <c r="Z49" s="746" t="s">
        <v>484</v>
      </c>
      <c r="AA49" s="766" t="s">
        <v>476</v>
      </c>
      <c r="AB49" s="768">
        <v>1.0</v>
      </c>
      <c r="AC49" s="746" t="s">
        <v>484</v>
      </c>
      <c r="AD49" s="766" t="s">
        <v>476</v>
      </c>
      <c r="AE49" s="764">
        <v>1.0</v>
      </c>
      <c r="AF49" s="746" t="s">
        <v>485</v>
      </c>
      <c r="AG49" s="766" t="s">
        <v>476</v>
      </c>
      <c r="AH49" s="764">
        <v>1.0</v>
      </c>
      <c r="AI49" s="746" t="s">
        <v>485</v>
      </c>
      <c r="AJ49" s="766" t="s">
        <v>476</v>
      </c>
      <c r="AK49" s="764">
        <v>1.0</v>
      </c>
      <c r="AL49" s="746" t="s">
        <v>485</v>
      </c>
      <c r="AM49" s="766" t="s">
        <v>476</v>
      </c>
      <c r="AN49" s="764">
        <v>1.0</v>
      </c>
      <c r="AO49" s="68" t="s">
        <v>485</v>
      </c>
      <c r="AP49" s="779" t="s">
        <v>476</v>
      </c>
      <c r="AQ49" s="135">
        <v>1.0</v>
      </c>
      <c r="AR49" s="68" t="s">
        <v>485</v>
      </c>
      <c r="AS49" s="779" t="s">
        <v>476</v>
      </c>
      <c r="AT49" s="135">
        <v>1.0</v>
      </c>
      <c r="AU49" s="68" t="s">
        <v>485</v>
      </c>
      <c r="AV49" s="779" t="s">
        <v>476</v>
      </c>
      <c r="AW49" s="135">
        <v>1.0</v>
      </c>
      <c r="AX49" s="68" t="s">
        <v>485</v>
      </c>
      <c r="AY49" s="779" t="s">
        <v>476</v>
      </c>
      <c r="AZ49" s="135">
        <v>1.0</v>
      </c>
      <c r="BA49" s="746" t="s">
        <v>485</v>
      </c>
      <c r="BB49" s="779" t="s">
        <v>476</v>
      </c>
      <c r="BC49" s="135">
        <v>1.0</v>
      </c>
      <c r="BD49" s="746" t="s">
        <v>485</v>
      </c>
      <c r="BE49" s="779" t="s">
        <v>476</v>
      </c>
      <c r="BF49" s="764">
        <v>1.0</v>
      </c>
      <c r="BG49" s="746" t="s">
        <v>485</v>
      </c>
      <c r="BH49" s="779" t="s">
        <v>476</v>
      </c>
      <c r="BI49" s="764">
        <v>1.0</v>
      </c>
      <c r="BJ49" s="746" t="s">
        <v>485</v>
      </c>
      <c r="BK49" s="779" t="s">
        <v>476</v>
      </c>
      <c r="BL49" s="764">
        <v>1.0</v>
      </c>
      <c r="BM49" s="746" t="s">
        <v>485</v>
      </c>
      <c r="BN49" s="779" t="s">
        <v>476</v>
      </c>
      <c r="BO49" s="764">
        <v>1.0</v>
      </c>
      <c r="BP49" s="746" t="s">
        <v>485</v>
      </c>
      <c r="BQ49" s="779" t="s">
        <v>476</v>
      </c>
      <c r="BR49" s="764">
        <v>1.0</v>
      </c>
      <c r="BS49" s="746" t="s">
        <v>485</v>
      </c>
      <c r="BT49" s="779" t="s">
        <v>476</v>
      </c>
      <c r="BU49" s="764">
        <v>1.0</v>
      </c>
      <c r="BV49" s="746" t="s">
        <v>485</v>
      </c>
      <c r="BW49" s="779" t="s">
        <v>476</v>
      </c>
      <c r="BX49" s="764">
        <v>1.0</v>
      </c>
      <c r="BY49" s="746" t="s">
        <v>485</v>
      </c>
      <c r="BZ49" s="779" t="s">
        <v>476</v>
      </c>
      <c r="CA49" s="764">
        <v>1.0</v>
      </c>
      <c r="CB49" s="746" t="s">
        <v>485</v>
      </c>
      <c r="CC49" s="779" t="s">
        <v>476</v>
      </c>
      <c r="CD49" s="764">
        <v>1.0</v>
      </c>
      <c r="CE49" s="746" t="s">
        <v>485</v>
      </c>
      <c r="CF49" s="779" t="s">
        <v>476</v>
      </c>
      <c r="CG49" s="764">
        <v>1.0</v>
      </c>
      <c r="CH49" s="746" t="s">
        <v>485</v>
      </c>
      <c r="CI49" s="779" t="s">
        <v>476</v>
      </c>
      <c r="CJ49" s="764">
        <v>1.0</v>
      </c>
      <c r="CK49" s="746" t="s">
        <v>485</v>
      </c>
      <c r="CL49" s="779" t="s">
        <v>476</v>
      </c>
      <c r="CM49" s="135">
        <v>1.0</v>
      </c>
      <c r="CN49" s="746" t="s">
        <v>485</v>
      </c>
      <c r="CO49" s="779" t="s">
        <v>476</v>
      </c>
      <c r="CP49" s="135">
        <v>1.0</v>
      </c>
      <c r="CQ49" s="746" t="s">
        <v>485</v>
      </c>
      <c r="CR49" s="779" t="s">
        <v>476</v>
      </c>
      <c r="CS49" s="135">
        <v>1.0</v>
      </c>
      <c r="CT49" s="746" t="s">
        <v>485</v>
      </c>
      <c r="CU49" s="779" t="s">
        <v>476</v>
      </c>
      <c r="CV49" s="135">
        <v>1.0</v>
      </c>
      <c r="CW49" s="746" t="s">
        <v>485</v>
      </c>
      <c r="CX49" s="779" t="s">
        <v>476</v>
      </c>
      <c r="CY49" s="135">
        <v>1.0</v>
      </c>
      <c r="CZ49" s="746" t="s">
        <v>485</v>
      </c>
      <c r="DA49" s="779" t="s">
        <v>476</v>
      </c>
      <c r="DB49" s="135">
        <v>1.0</v>
      </c>
      <c r="DC49" s="746" t="s">
        <v>485</v>
      </c>
      <c r="DD49" s="779" t="s">
        <v>476</v>
      </c>
      <c r="DE49" s="135">
        <v>1.0</v>
      </c>
      <c r="DF49" s="746" t="s">
        <v>485</v>
      </c>
      <c r="DG49" s="779" t="s">
        <v>476</v>
      </c>
      <c r="DH49" s="135">
        <v>1.0</v>
      </c>
      <c r="DI49" s="746" t="s">
        <v>485</v>
      </c>
      <c r="DJ49" s="779" t="s">
        <v>476</v>
      </c>
      <c r="DK49" s="135">
        <v>1.0</v>
      </c>
      <c r="DL49" s="746" t="s">
        <v>485</v>
      </c>
      <c r="DM49" s="779" t="s">
        <v>476</v>
      </c>
      <c r="DN49" s="135">
        <v>1.0</v>
      </c>
      <c r="DO49" s="746" t="s">
        <v>485</v>
      </c>
      <c r="DP49" s="779" t="s">
        <v>476</v>
      </c>
      <c r="DQ49" s="135">
        <v>1.0</v>
      </c>
      <c r="DR49" s="746" t="s">
        <v>485</v>
      </c>
      <c r="DS49" s="779" t="s">
        <v>476</v>
      </c>
      <c r="DT49" s="135">
        <v>1.0</v>
      </c>
      <c r="DU49" s="746" t="s">
        <v>485</v>
      </c>
      <c r="DV49" s="779" t="s">
        <v>476</v>
      </c>
      <c r="DW49" s="135">
        <v>1.0</v>
      </c>
      <c r="DX49" s="746" t="s">
        <v>485</v>
      </c>
      <c r="DY49" s="779" t="s">
        <v>476</v>
      </c>
      <c r="DZ49" s="135">
        <v>1.0</v>
      </c>
      <c r="EA49" s="746" t="s">
        <v>485</v>
      </c>
      <c r="EB49" s="779" t="s">
        <v>476</v>
      </c>
      <c r="EC49" s="135">
        <v>1.0</v>
      </c>
      <c r="ED49" s="111"/>
      <c r="EE49" s="111"/>
      <c r="EF49" s="111"/>
    </row>
    <row r="50" ht="15.0" customHeight="1">
      <c r="A50" s="60">
        <v>20.0</v>
      </c>
      <c r="B50" s="769" t="s">
        <v>122</v>
      </c>
      <c r="C50" s="769" t="s">
        <v>123</v>
      </c>
      <c r="D50" s="770" t="s">
        <v>85</v>
      </c>
      <c r="E50" s="771" t="s">
        <v>124</v>
      </c>
      <c r="F50" s="771">
        <v>1108.0</v>
      </c>
      <c r="G50" s="157" t="s">
        <v>101</v>
      </c>
      <c r="H50" s="139">
        <v>1108.0</v>
      </c>
      <c r="I50" s="74" t="str">
        <f>IFERROR(VLOOKUP(C48:C190,'R22 RELATÓRIO ACC'!B:F,5,FALSE),"NOT PUBLISHED")</f>
        <v>V4</v>
      </c>
      <c r="J50" s="74" t="str">
        <f>IFERROR(VLOOKUP(C48:C190,'R22 RELATÓRIO ACC'!B:P,15,FALSE),"NOT PUBLISHED")</f>
        <v>10/04/2026</v>
      </c>
      <c r="K50" s="141" t="str">
        <f>IFERROR(VLOOKUP(B48:B190,'RELATÓRIO ACC'!B:F,5,FALSE),"NOT PUBLISHED")</f>
        <v>V2</v>
      </c>
      <c r="L50" s="748" t="str">
        <f>IFERROR(VLOOKUP(B48:B190,'RELATÓRIO ACC'!B:P,15,FALSE),"NOT PUBLISHED")</f>
        <v>04/06/2026</v>
      </c>
      <c r="M50" s="126" t="s">
        <v>480</v>
      </c>
      <c r="N50" s="857">
        <v>46119.0</v>
      </c>
      <c r="O50" s="851" t="s">
        <v>482</v>
      </c>
      <c r="P50" s="751"/>
      <c r="Q50" s="746" t="s">
        <v>466</v>
      </c>
      <c r="R50" s="74" t="s">
        <v>462</v>
      </c>
      <c r="S50" s="749" t="s">
        <v>466</v>
      </c>
      <c r="T50" s="746" t="s">
        <v>466</v>
      </c>
      <c r="U50" s="74" t="s">
        <v>462</v>
      </c>
      <c r="V50" s="749" t="s">
        <v>466</v>
      </c>
      <c r="W50" s="746" t="s">
        <v>466</v>
      </c>
      <c r="X50" s="74" t="s">
        <v>462</v>
      </c>
      <c r="Y50" s="749" t="s">
        <v>466</v>
      </c>
      <c r="Z50" s="774" t="s">
        <v>466</v>
      </c>
      <c r="AA50" s="76" t="s">
        <v>462</v>
      </c>
      <c r="AB50" s="750" t="s">
        <v>466</v>
      </c>
      <c r="AC50" s="776" t="s">
        <v>466</v>
      </c>
      <c r="AD50" s="858" t="s">
        <v>462</v>
      </c>
      <c r="AE50" s="859" t="s">
        <v>466</v>
      </c>
      <c r="AF50" s="68" t="s">
        <v>466</v>
      </c>
      <c r="AG50" s="68" t="s">
        <v>462</v>
      </c>
      <c r="AH50" s="68" t="s">
        <v>466</v>
      </c>
      <c r="AI50" s="68" t="s">
        <v>466</v>
      </c>
      <c r="AJ50" s="68" t="s">
        <v>462</v>
      </c>
      <c r="AK50" s="68" t="s">
        <v>466</v>
      </c>
      <c r="AL50" s="68" t="s">
        <v>466</v>
      </c>
      <c r="AM50" s="68" t="s">
        <v>462</v>
      </c>
      <c r="AN50" s="68" t="s">
        <v>466</v>
      </c>
      <c r="AO50" s="68" t="s">
        <v>466</v>
      </c>
      <c r="AP50" s="68" t="s">
        <v>462</v>
      </c>
      <c r="AQ50" s="68" t="s">
        <v>466</v>
      </c>
      <c r="AR50" s="68" t="s">
        <v>466</v>
      </c>
      <c r="AS50" s="68" t="s">
        <v>462</v>
      </c>
      <c r="AT50" s="68" t="s">
        <v>466</v>
      </c>
      <c r="AU50" s="68" t="s">
        <v>466</v>
      </c>
      <c r="AV50" s="68" t="s">
        <v>462</v>
      </c>
      <c r="AW50" s="68" t="s">
        <v>466</v>
      </c>
      <c r="AX50" s="68" t="s">
        <v>466</v>
      </c>
      <c r="AY50" s="68" t="s">
        <v>462</v>
      </c>
      <c r="AZ50" s="68" t="s">
        <v>466</v>
      </c>
      <c r="BA50" s="68" t="s">
        <v>466</v>
      </c>
      <c r="BB50" s="68" t="s">
        <v>462</v>
      </c>
      <c r="BC50" s="68" t="s">
        <v>466</v>
      </c>
      <c r="BD50" s="68" t="s">
        <v>466</v>
      </c>
      <c r="BE50" s="68" t="s">
        <v>462</v>
      </c>
      <c r="BF50" s="68" t="s">
        <v>466</v>
      </c>
      <c r="BG50" s="68" t="s">
        <v>466</v>
      </c>
      <c r="BH50" s="68" t="s">
        <v>462</v>
      </c>
      <c r="BI50" s="68" t="s">
        <v>466</v>
      </c>
      <c r="BJ50" s="68" t="s">
        <v>466</v>
      </c>
      <c r="BK50" s="68" t="s">
        <v>462</v>
      </c>
      <c r="BL50" s="68" t="s">
        <v>466</v>
      </c>
      <c r="BM50" s="68" t="s">
        <v>466</v>
      </c>
      <c r="BN50" s="68" t="s">
        <v>462</v>
      </c>
      <c r="BO50" s="68" t="s">
        <v>466</v>
      </c>
      <c r="BP50" s="68" t="s">
        <v>466</v>
      </c>
      <c r="BQ50" s="68" t="s">
        <v>462</v>
      </c>
      <c r="BR50" s="68" t="s">
        <v>466</v>
      </c>
      <c r="BS50" s="68" t="s">
        <v>466</v>
      </c>
      <c r="BT50" s="68" t="s">
        <v>462</v>
      </c>
      <c r="BU50" s="68" t="s">
        <v>466</v>
      </c>
      <c r="BV50" s="68" t="s">
        <v>466</v>
      </c>
      <c r="BW50" s="68" t="s">
        <v>462</v>
      </c>
      <c r="BX50" s="68" t="s">
        <v>466</v>
      </c>
      <c r="BY50" s="68" t="s">
        <v>474</v>
      </c>
      <c r="BZ50" s="68" t="s">
        <v>462</v>
      </c>
      <c r="CA50" s="68" t="s">
        <v>474</v>
      </c>
      <c r="CB50" s="68" t="s">
        <v>474</v>
      </c>
      <c r="CC50" s="68" t="s">
        <v>462</v>
      </c>
      <c r="CD50" s="135">
        <v>0.0</v>
      </c>
      <c r="CE50" s="68" t="s">
        <v>474</v>
      </c>
      <c r="CF50" s="68" t="s">
        <v>462</v>
      </c>
      <c r="CG50" s="68" t="s">
        <v>474</v>
      </c>
      <c r="CH50" s="68" t="s">
        <v>477</v>
      </c>
      <c r="CI50" s="68" t="s">
        <v>462</v>
      </c>
      <c r="CJ50" s="135">
        <v>0.53</v>
      </c>
      <c r="CK50" s="68" t="s">
        <v>484</v>
      </c>
      <c r="CL50" s="779" t="s">
        <v>476</v>
      </c>
      <c r="CM50" s="135">
        <v>1.0</v>
      </c>
      <c r="CN50" s="68" t="s">
        <v>485</v>
      </c>
      <c r="CO50" s="779" t="s">
        <v>476</v>
      </c>
      <c r="CP50" s="135">
        <v>1.0</v>
      </c>
      <c r="CQ50" s="68" t="s">
        <v>485</v>
      </c>
      <c r="CR50" s="779" t="s">
        <v>476</v>
      </c>
      <c r="CS50" s="135">
        <v>1.0</v>
      </c>
      <c r="CT50" s="68" t="s">
        <v>485</v>
      </c>
      <c r="CU50" s="779" t="s">
        <v>476</v>
      </c>
      <c r="CV50" s="135">
        <v>1.0</v>
      </c>
      <c r="CW50" s="68" t="s">
        <v>485</v>
      </c>
      <c r="CX50" s="779" t="s">
        <v>476</v>
      </c>
      <c r="CY50" s="135">
        <v>1.0</v>
      </c>
      <c r="CZ50" s="68" t="s">
        <v>485</v>
      </c>
      <c r="DA50" s="779" t="s">
        <v>476</v>
      </c>
      <c r="DB50" s="135">
        <v>1.0</v>
      </c>
      <c r="DC50" s="68" t="s">
        <v>485</v>
      </c>
      <c r="DD50" s="779" t="s">
        <v>476</v>
      </c>
      <c r="DE50" s="135">
        <v>1.0</v>
      </c>
      <c r="DF50" s="68" t="s">
        <v>485</v>
      </c>
      <c r="DG50" s="779" t="s">
        <v>476</v>
      </c>
      <c r="DH50" s="135">
        <v>1.0</v>
      </c>
      <c r="DI50" s="68" t="s">
        <v>485</v>
      </c>
      <c r="DJ50" s="779" t="s">
        <v>476</v>
      </c>
      <c r="DK50" s="135">
        <v>1.0</v>
      </c>
      <c r="DL50" s="68" t="s">
        <v>485</v>
      </c>
      <c r="DM50" s="779" t="s">
        <v>476</v>
      </c>
      <c r="DN50" s="135">
        <v>1.0</v>
      </c>
      <c r="DO50" s="68" t="s">
        <v>485</v>
      </c>
      <c r="DP50" s="779" t="s">
        <v>476</v>
      </c>
      <c r="DQ50" s="135">
        <v>1.0</v>
      </c>
      <c r="DR50" s="68" t="s">
        <v>485</v>
      </c>
      <c r="DS50" s="779" t="s">
        <v>476</v>
      </c>
      <c r="DT50" s="135">
        <v>1.0</v>
      </c>
      <c r="DU50" s="68" t="s">
        <v>485</v>
      </c>
      <c r="DV50" s="779" t="s">
        <v>476</v>
      </c>
      <c r="DW50" s="135">
        <v>1.0</v>
      </c>
      <c r="DX50" s="68" t="s">
        <v>485</v>
      </c>
      <c r="DY50" s="779" t="s">
        <v>476</v>
      </c>
      <c r="DZ50" s="135">
        <v>1.0</v>
      </c>
      <c r="EA50" s="68" t="s">
        <v>485</v>
      </c>
      <c r="EB50" s="779" t="s">
        <v>476</v>
      </c>
      <c r="EC50" s="135">
        <v>1.0</v>
      </c>
      <c r="ED50" s="68"/>
      <c r="EE50" s="68"/>
      <c r="EF50" s="68"/>
    </row>
    <row r="51" ht="15.0" customHeight="1" outlineLevel="1">
      <c r="A51" s="60">
        <v>69.0</v>
      </c>
      <c r="B51" s="849" t="s">
        <v>236</v>
      </c>
      <c r="C51" s="849" t="s">
        <v>237</v>
      </c>
      <c r="D51" s="71" t="s">
        <v>85</v>
      </c>
      <c r="E51" s="146" t="s">
        <v>169</v>
      </c>
      <c r="F51" s="72">
        <v>1112.0</v>
      </c>
      <c r="G51" s="139" t="s">
        <v>169</v>
      </c>
      <c r="H51" s="139">
        <v>1112.0</v>
      </c>
      <c r="I51" s="74" t="str">
        <f>IFERROR(VLOOKUP(C49:C191,'R22 RELATÓRIO ACC'!B:F,5,FALSE),"NOT PUBLISHED")</f>
        <v>V24</v>
      </c>
      <c r="J51" s="74" t="str">
        <f>IFERROR(VLOOKUP(C49:C191,'R22 RELATÓRIO ACC'!B:P,15,FALSE),"NOT PUBLISHED")</f>
        <v>15/05/2026</v>
      </c>
      <c r="K51" s="141" t="str">
        <f>IFERROR(VLOOKUP(B49:B191,'RELATÓRIO ACC'!B:F,5,FALSE),"NOT PUBLISHED")</f>
        <v>V2</v>
      </c>
      <c r="L51" s="748" t="str">
        <f>IFERROR(VLOOKUP(B49:B191,'RELATÓRIO ACC'!B:P,15,FALSE),"NOT PUBLISHED")</f>
        <v>06/07/2026</v>
      </c>
      <c r="M51" s="141" t="s">
        <v>481</v>
      </c>
      <c r="N51" s="756" t="s">
        <v>513</v>
      </c>
      <c r="O51" s="851" t="s">
        <v>482</v>
      </c>
      <c r="P51" s="757" t="s">
        <v>473</v>
      </c>
      <c r="Q51" s="746" t="s">
        <v>477</v>
      </c>
      <c r="R51" s="766" t="s">
        <v>476</v>
      </c>
      <c r="S51" s="773">
        <v>0.75</v>
      </c>
      <c r="T51" s="746" t="s">
        <v>466</v>
      </c>
      <c r="U51" s="466" t="s">
        <v>483</v>
      </c>
      <c r="V51" s="767" t="s">
        <v>478</v>
      </c>
      <c r="W51" s="746" t="s">
        <v>477</v>
      </c>
      <c r="X51" s="766" t="s">
        <v>476</v>
      </c>
      <c r="Y51" s="773">
        <v>0.56</v>
      </c>
      <c r="Z51" s="746" t="s">
        <v>477</v>
      </c>
      <c r="AA51" s="766" t="s">
        <v>476</v>
      </c>
      <c r="AB51" s="768">
        <v>0.63</v>
      </c>
      <c r="AC51" s="755" t="s">
        <v>478</v>
      </c>
      <c r="AD51" s="759" t="s">
        <v>476</v>
      </c>
      <c r="AE51" s="785" t="s">
        <v>478</v>
      </c>
      <c r="AF51" s="755" t="s">
        <v>478</v>
      </c>
      <c r="AG51" s="759" t="s">
        <v>476</v>
      </c>
      <c r="AH51" s="785" t="s">
        <v>478</v>
      </c>
      <c r="AI51" s="755" t="s">
        <v>478</v>
      </c>
      <c r="AJ51" s="759" t="s">
        <v>476</v>
      </c>
      <c r="AK51" s="785" t="s">
        <v>478</v>
      </c>
      <c r="AL51" s="755" t="s">
        <v>478</v>
      </c>
      <c r="AM51" s="759" t="s">
        <v>476</v>
      </c>
      <c r="AN51" s="785" t="s">
        <v>478</v>
      </c>
      <c r="AO51" s="763" t="s">
        <v>478</v>
      </c>
      <c r="AP51" s="791" t="s">
        <v>476</v>
      </c>
      <c r="AQ51" s="763" t="s">
        <v>478</v>
      </c>
      <c r="AR51" s="763" t="s">
        <v>478</v>
      </c>
      <c r="AS51" s="791" t="s">
        <v>476</v>
      </c>
      <c r="AT51" s="763" t="s">
        <v>478</v>
      </c>
      <c r="AU51" s="763" t="s">
        <v>474</v>
      </c>
      <c r="AV51" s="791" t="s">
        <v>476</v>
      </c>
      <c r="AW51" s="763" t="s">
        <v>474</v>
      </c>
      <c r="AX51" s="860" t="s">
        <v>475</v>
      </c>
      <c r="AY51" s="791" t="s">
        <v>476</v>
      </c>
      <c r="AZ51" s="860" t="s">
        <v>475</v>
      </c>
      <c r="BA51" s="763" t="s">
        <v>474</v>
      </c>
      <c r="BB51" s="791" t="s">
        <v>476</v>
      </c>
      <c r="BC51" s="763" t="s">
        <v>474</v>
      </c>
      <c r="BD51" s="860" t="s">
        <v>475</v>
      </c>
      <c r="BE51" s="791" t="s">
        <v>476</v>
      </c>
      <c r="BF51" s="860" t="s">
        <v>475</v>
      </c>
      <c r="BG51" s="763" t="s">
        <v>477</v>
      </c>
      <c r="BH51" s="791" t="s">
        <v>476</v>
      </c>
      <c r="BI51" s="135">
        <v>0.75</v>
      </c>
      <c r="BJ51" s="763" t="s">
        <v>478</v>
      </c>
      <c r="BK51" s="791" t="s">
        <v>476</v>
      </c>
      <c r="BL51" s="763" t="s">
        <v>478</v>
      </c>
      <c r="BM51" s="763" t="s">
        <v>475</v>
      </c>
      <c r="BN51" s="791" t="s">
        <v>476</v>
      </c>
      <c r="BO51" s="763" t="s">
        <v>475</v>
      </c>
      <c r="BP51" s="763" t="s">
        <v>474</v>
      </c>
      <c r="BQ51" s="791" t="s">
        <v>476</v>
      </c>
      <c r="BR51" s="763" t="s">
        <v>474</v>
      </c>
      <c r="BS51" s="763" t="s">
        <v>474</v>
      </c>
      <c r="BT51" s="791" t="s">
        <v>476</v>
      </c>
      <c r="BU51" s="763" t="s">
        <v>474</v>
      </c>
      <c r="BV51" s="763" t="s">
        <v>477</v>
      </c>
      <c r="BW51" s="791" t="s">
        <v>476</v>
      </c>
      <c r="BX51" s="135">
        <v>0.84</v>
      </c>
      <c r="BY51" s="763" t="s">
        <v>478</v>
      </c>
      <c r="BZ51" s="791" t="s">
        <v>476</v>
      </c>
      <c r="CA51" s="763" t="s">
        <v>478</v>
      </c>
      <c r="CB51" s="763" t="s">
        <v>478</v>
      </c>
      <c r="CC51" s="791" t="s">
        <v>476</v>
      </c>
      <c r="CD51" s="763" t="s">
        <v>478</v>
      </c>
      <c r="CE51" s="763" t="s">
        <v>477</v>
      </c>
      <c r="CF51" s="791" t="s">
        <v>476</v>
      </c>
      <c r="CG51" s="135">
        <v>0.91</v>
      </c>
      <c r="CH51" s="763" t="s">
        <v>477</v>
      </c>
      <c r="CI51" s="791" t="s">
        <v>476</v>
      </c>
      <c r="CJ51" s="135">
        <v>0.98</v>
      </c>
      <c r="CK51" s="763" t="s">
        <v>474</v>
      </c>
      <c r="CL51" s="791" t="s">
        <v>476</v>
      </c>
      <c r="CM51" s="763" t="s">
        <v>474</v>
      </c>
      <c r="CN51" s="763" t="s">
        <v>484</v>
      </c>
      <c r="CO51" s="791" t="s">
        <v>476</v>
      </c>
      <c r="CP51" s="135">
        <v>1.0</v>
      </c>
      <c r="CQ51" s="68" t="s">
        <v>485</v>
      </c>
      <c r="CR51" s="791" t="s">
        <v>476</v>
      </c>
      <c r="CS51" s="135">
        <v>1.0</v>
      </c>
      <c r="CT51" s="68" t="s">
        <v>485</v>
      </c>
      <c r="CU51" s="791" t="s">
        <v>476</v>
      </c>
      <c r="CV51" s="135">
        <v>1.0</v>
      </c>
      <c r="CW51" s="68" t="s">
        <v>485</v>
      </c>
      <c r="CX51" s="791" t="s">
        <v>476</v>
      </c>
      <c r="CY51" s="135">
        <v>1.0</v>
      </c>
      <c r="CZ51" s="68" t="s">
        <v>485</v>
      </c>
      <c r="DA51" s="791" t="s">
        <v>476</v>
      </c>
      <c r="DB51" s="135">
        <v>1.0</v>
      </c>
      <c r="DC51" s="68" t="s">
        <v>485</v>
      </c>
      <c r="DD51" s="791" t="s">
        <v>476</v>
      </c>
      <c r="DE51" s="135">
        <v>1.0</v>
      </c>
      <c r="DF51" s="68" t="s">
        <v>485</v>
      </c>
      <c r="DG51" s="791" t="s">
        <v>476</v>
      </c>
      <c r="DH51" s="135">
        <v>1.0</v>
      </c>
      <c r="DI51" s="68" t="s">
        <v>485</v>
      </c>
      <c r="DJ51" s="791" t="s">
        <v>476</v>
      </c>
      <c r="DK51" s="135">
        <v>1.0</v>
      </c>
      <c r="DL51" s="68" t="s">
        <v>485</v>
      </c>
      <c r="DM51" s="791" t="s">
        <v>476</v>
      </c>
      <c r="DN51" s="135">
        <v>1.0</v>
      </c>
      <c r="DO51" s="68" t="s">
        <v>485</v>
      </c>
      <c r="DP51" s="791" t="s">
        <v>476</v>
      </c>
      <c r="DQ51" s="135">
        <v>1.0</v>
      </c>
      <c r="DR51" s="68" t="s">
        <v>485</v>
      </c>
      <c r="DS51" s="791" t="s">
        <v>476</v>
      </c>
      <c r="DT51" s="135">
        <v>1.0</v>
      </c>
      <c r="DU51" s="68" t="s">
        <v>485</v>
      </c>
      <c r="DV51" s="791" t="s">
        <v>476</v>
      </c>
      <c r="DW51" s="135">
        <v>1.0</v>
      </c>
      <c r="DX51" s="68" t="s">
        <v>485</v>
      </c>
      <c r="DY51" s="791" t="s">
        <v>476</v>
      </c>
      <c r="DZ51" s="135">
        <v>1.0</v>
      </c>
      <c r="EA51" s="68" t="s">
        <v>485</v>
      </c>
      <c r="EB51" s="791" t="s">
        <v>476</v>
      </c>
      <c r="EC51" s="135">
        <v>1.0</v>
      </c>
      <c r="ED51" s="111"/>
      <c r="EE51" s="111"/>
      <c r="EF51" s="111"/>
    </row>
    <row r="52" ht="15.0" customHeight="1" outlineLevel="1">
      <c r="A52" s="60">
        <v>72.0</v>
      </c>
      <c r="B52" s="849" t="s">
        <v>241</v>
      </c>
      <c r="C52" s="849" t="s">
        <v>242</v>
      </c>
      <c r="D52" s="71" t="s">
        <v>85</v>
      </c>
      <c r="E52" s="146" t="s">
        <v>169</v>
      </c>
      <c r="F52" s="72">
        <v>1112.0</v>
      </c>
      <c r="G52" s="139" t="s">
        <v>169</v>
      </c>
      <c r="H52" s="139">
        <v>1112.0</v>
      </c>
      <c r="I52" s="74" t="str">
        <f>IFERROR(VLOOKUP(C50:C192,'R22 RELATÓRIO ACC'!B:F,5,FALSE),"NOT PUBLISHED")</f>
        <v>V17</v>
      </c>
      <c r="J52" s="74" t="str">
        <f>IFERROR(VLOOKUP(C50:C192,'R22 RELATÓRIO ACC'!B:P,15,FALSE),"NOT PUBLISHED")</f>
        <v>14/05/2026</v>
      </c>
      <c r="K52" s="141" t="str">
        <f>IFERROR(VLOOKUP(B50:B192,'RELATÓRIO ACC'!B:F,5,FALSE),"NOT PUBLISHED")</f>
        <v>V4</v>
      </c>
      <c r="L52" s="748" t="str">
        <f>IFERROR(VLOOKUP(B50:B192,'RELATÓRIO ACC'!B:P,15,FALSE),"NOT PUBLISHED")</f>
        <v>25/06/2026</v>
      </c>
      <c r="M52" s="141" t="s">
        <v>470</v>
      </c>
      <c r="N52" s="782">
        <v>46161.0</v>
      </c>
      <c r="O52" s="740" t="s">
        <v>472</v>
      </c>
      <c r="P52" s="757" t="s">
        <v>473</v>
      </c>
      <c r="Q52" s="746" t="s">
        <v>477</v>
      </c>
      <c r="R52" s="766" t="s">
        <v>476</v>
      </c>
      <c r="S52" s="773">
        <v>0.45</v>
      </c>
      <c r="T52" s="746" t="s">
        <v>466</v>
      </c>
      <c r="U52" s="466" t="s">
        <v>483</v>
      </c>
      <c r="V52" s="767" t="s">
        <v>478</v>
      </c>
      <c r="W52" s="746" t="s">
        <v>477</v>
      </c>
      <c r="X52" s="861" t="s">
        <v>476</v>
      </c>
      <c r="Y52" s="773">
        <v>0.56</v>
      </c>
      <c r="Z52" s="746" t="s">
        <v>477</v>
      </c>
      <c r="AA52" s="759" t="s">
        <v>476</v>
      </c>
      <c r="AB52" s="768">
        <v>0.63</v>
      </c>
      <c r="AC52" s="755" t="s">
        <v>478</v>
      </c>
      <c r="AD52" s="759" t="s">
        <v>476</v>
      </c>
      <c r="AE52" s="761" t="s">
        <v>478</v>
      </c>
      <c r="AF52" s="755" t="s">
        <v>478</v>
      </c>
      <c r="AG52" s="759" t="s">
        <v>476</v>
      </c>
      <c r="AH52" s="761" t="s">
        <v>478</v>
      </c>
      <c r="AI52" s="755" t="s">
        <v>478</v>
      </c>
      <c r="AJ52" s="759" t="s">
        <v>476</v>
      </c>
      <c r="AK52" s="761" t="s">
        <v>478</v>
      </c>
      <c r="AL52" s="755" t="s">
        <v>478</v>
      </c>
      <c r="AM52" s="759" t="s">
        <v>476</v>
      </c>
      <c r="AN52" s="761" t="s">
        <v>478</v>
      </c>
      <c r="AO52" s="763" t="s">
        <v>478</v>
      </c>
      <c r="AP52" s="791" t="s">
        <v>476</v>
      </c>
      <c r="AQ52" s="763" t="s">
        <v>478</v>
      </c>
      <c r="AR52" s="763" t="s">
        <v>478</v>
      </c>
      <c r="AS52" s="791" t="s">
        <v>476</v>
      </c>
      <c r="AT52" s="763" t="s">
        <v>478</v>
      </c>
      <c r="AU52" s="763" t="s">
        <v>474</v>
      </c>
      <c r="AV52" s="791" t="s">
        <v>476</v>
      </c>
      <c r="AW52" s="763" t="s">
        <v>474</v>
      </c>
      <c r="AX52" s="860" t="s">
        <v>475</v>
      </c>
      <c r="AY52" s="791" t="s">
        <v>476</v>
      </c>
      <c r="AZ52" s="860" t="s">
        <v>475</v>
      </c>
      <c r="BA52" s="763" t="s">
        <v>474</v>
      </c>
      <c r="BB52" s="791" t="s">
        <v>476</v>
      </c>
      <c r="BC52" s="763" t="s">
        <v>474</v>
      </c>
      <c r="BD52" s="860" t="s">
        <v>475</v>
      </c>
      <c r="BE52" s="791" t="s">
        <v>476</v>
      </c>
      <c r="BF52" s="860" t="s">
        <v>475</v>
      </c>
      <c r="BG52" s="763" t="s">
        <v>477</v>
      </c>
      <c r="BH52" s="791" t="s">
        <v>476</v>
      </c>
      <c r="BI52" s="135">
        <v>0.76</v>
      </c>
      <c r="BJ52" s="763" t="s">
        <v>478</v>
      </c>
      <c r="BK52" s="791" t="s">
        <v>476</v>
      </c>
      <c r="BL52" s="763" t="s">
        <v>478</v>
      </c>
      <c r="BM52" s="763" t="s">
        <v>475</v>
      </c>
      <c r="BN52" s="791" t="s">
        <v>476</v>
      </c>
      <c r="BO52" s="763" t="s">
        <v>475</v>
      </c>
      <c r="BP52" s="763" t="s">
        <v>474</v>
      </c>
      <c r="BQ52" s="791" t="s">
        <v>476</v>
      </c>
      <c r="BR52" s="763" t="s">
        <v>474</v>
      </c>
      <c r="BS52" s="763" t="s">
        <v>474</v>
      </c>
      <c r="BT52" s="791" t="s">
        <v>476</v>
      </c>
      <c r="BU52" s="763" t="s">
        <v>474</v>
      </c>
      <c r="BV52" s="763" t="s">
        <v>474</v>
      </c>
      <c r="BW52" s="791" t="s">
        <v>476</v>
      </c>
      <c r="BX52" s="763" t="s">
        <v>474</v>
      </c>
      <c r="BY52" s="763" t="s">
        <v>474</v>
      </c>
      <c r="BZ52" s="791" t="s">
        <v>476</v>
      </c>
      <c r="CA52" s="763" t="s">
        <v>474</v>
      </c>
      <c r="CB52" s="763" t="s">
        <v>477</v>
      </c>
      <c r="CC52" s="791" t="s">
        <v>476</v>
      </c>
      <c r="CD52" s="135">
        <v>0.79</v>
      </c>
      <c r="CE52" s="763" t="s">
        <v>474</v>
      </c>
      <c r="CF52" s="791" t="s">
        <v>476</v>
      </c>
      <c r="CG52" s="763" t="s">
        <v>474</v>
      </c>
      <c r="CH52" s="763" t="s">
        <v>477</v>
      </c>
      <c r="CI52" s="791" t="s">
        <v>476</v>
      </c>
      <c r="CJ52" s="135">
        <v>0.96</v>
      </c>
      <c r="CK52" s="763" t="s">
        <v>478</v>
      </c>
      <c r="CL52" s="791" t="s">
        <v>476</v>
      </c>
      <c r="CM52" s="763" t="s">
        <v>478</v>
      </c>
      <c r="CN52" s="763" t="s">
        <v>474</v>
      </c>
      <c r="CO52" s="791"/>
      <c r="CP52" s="763" t="s">
        <v>474</v>
      </c>
      <c r="CQ52" s="763" t="s">
        <v>474</v>
      </c>
      <c r="CR52" s="791"/>
      <c r="CS52" s="763" t="s">
        <v>474</v>
      </c>
      <c r="CT52" s="763" t="s">
        <v>474</v>
      </c>
      <c r="CU52" s="791"/>
      <c r="CV52" s="763" t="s">
        <v>474</v>
      </c>
      <c r="CW52" s="763" t="s">
        <v>474</v>
      </c>
      <c r="CX52" s="791"/>
      <c r="CY52" s="763" t="s">
        <v>474</v>
      </c>
      <c r="CZ52" s="763" t="s">
        <v>478</v>
      </c>
      <c r="DA52" s="791"/>
      <c r="DB52" s="763" t="s">
        <v>478</v>
      </c>
      <c r="DC52" s="763" t="s">
        <v>474</v>
      </c>
      <c r="DD52" s="791"/>
      <c r="DE52" s="763" t="s">
        <v>474</v>
      </c>
      <c r="DF52" s="763" t="s">
        <v>484</v>
      </c>
      <c r="DG52" s="791" t="s">
        <v>470</v>
      </c>
      <c r="DH52" s="135">
        <v>1.0</v>
      </c>
      <c r="DI52" s="68" t="s">
        <v>485</v>
      </c>
      <c r="DJ52" s="791" t="s">
        <v>470</v>
      </c>
      <c r="DK52" s="135">
        <v>1.0</v>
      </c>
      <c r="DL52" s="68" t="s">
        <v>485</v>
      </c>
      <c r="DM52" s="791" t="s">
        <v>470</v>
      </c>
      <c r="DN52" s="135">
        <v>1.0</v>
      </c>
      <c r="DO52" s="68" t="s">
        <v>485</v>
      </c>
      <c r="DP52" s="791" t="s">
        <v>470</v>
      </c>
      <c r="DQ52" s="135">
        <v>1.0</v>
      </c>
      <c r="DR52" s="68" t="s">
        <v>485</v>
      </c>
      <c r="DS52" s="791" t="s">
        <v>470</v>
      </c>
      <c r="DT52" s="135">
        <v>1.0</v>
      </c>
      <c r="DU52" s="68" t="s">
        <v>485</v>
      </c>
      <c r="DV52" s="791" t="s">
        <v>470</v>
      </c>
      <c r="DW52" s="135">
        <v>1.0</v>
      </c>
      <c r="DX52" s="68" t="s">
        <v>485</v>
      </c>
      <c r="DY52" s="791" t="s">
        <v>470</v>
      </c>
      <c r="DZ52" s="135">
        <v>1.0</v>
      </c>
      <c r="EA52" s="68" t="s">
        <v>485</v>
      </c>
      <c r="EB52" s="791" t="s">
        <v>470</v>
      </c>
      <c r="EC52" s="135">
        <v>1.0</v>
      </c>
      <c r="ED52" s="111"/>
      <c r="EE52" s="111"/>
      <c r="EF52" s="111"/>
    </row>
    <row r="53" ht="15.0" hidden="1" customHeight="1">
      <c r="A53" s="60">
        <v>65.0</v>
      </c>
      <c r="B53" s="862" t="s">
        <v>229</v>
      </c>
      <c r="C53" s="291"/>
      <c r="D53" s="292"/>
      <c r="E53" s="292"/>
      <c r="F53" s="292"/>
      <c r="G53" s="292"/>
      <c r="H53" s="293"/>
      <c r="I53" s="292"/>
      <c r="J53" s="292"/>
      <c r="K53" s="863"/>
      <c r="L53" s="864"/>
      <c r="M53" s="292"/>
      <c r="N53" s="292"/>
      <c r="O53" s="292"/>
      <c r="P53" s="865"/>
      <c r="Q53" s="866"/>
      <c r="R53" s="867"/>
      <c r="S53" s="868"/>
      <c r="T53" s="866"/>
      <c r="U53" s="867"/>
      <c r="V53" s="868"/>
      <c r="W53" s="866"/>
      <c r="X53" s="867"/>
      <c r="Y53" s="868"/>
      <c r="Z53" s="869"/>
      <c r="AA53" s="870"/>
      <c r="AB53" s="871"/>
      <c r="AC53" s="872"/>
      <c r="AD53" s="873"/>
      <c r="AE53" s="874"/>
      <c r="AF53" s="875"/>
      <c r="AG53" s="875"/>
      <c r="AH53" s="875"/>
      <c r="AI53" s="875"/>
      <c r="AJ53" s="875"/>
      <c r="AK53" s="875"/>
      <c r="AL53" s="875"/>
      <c r="AM53" s="875"/>
      <c r="AN53" s="875"/>
      <c r="AO53" s="875"/>
      <c r="AP53" s="875"/>
      <c r="AQ53" s="875"/>
      <c r="AR53" s="875"/>
      <c r="AS53" s="875"/>
      <c r="AT53" s="875"/>
      <c r="AU53" s="875"/>
      <c r="AV53" s="875"/>
      <c r="AW53" s="875"/>
      <c r="AX53" s="875"/>
      <c r="AY53" s="875"/>
      <c r="AZ53" s="875"/>
      <c r="BA53" s="875"/>
      <c r="BB53" s="875"/>
      <c r="BC53" s="875"/>
      <c r="BD53" s="875"/>
      <c r="BE53" s="875"/>
      <c r="BF53" s="875"/>
      <c r="BG53" s="875"/>
      <c r="BH53" s="875"/>
      <c r="BI53" s="875"/>
      <c r="BJ53" s="875"/>
      <c r="BK53" s="875"/>
      <c r="BL53" s="875"/>
      <c r="BM53" s="875"/>
      <c r="BN53" s="875"/>
      <c r="BO53" s="875"/>
      <c r="BP53" s="875"/>
      <c r="BQ53" s="875"/>
      <c r="BR53" s="875"/>
      <c r="BS53" s="875"/>
      <c r="BT53" s="875"/>
      <c r="BU53" s="875"/>
      <c r="BV53" s="875"/>
      <c r="BW53" s="875"/>
      <c r="BX53" s="875"/>
      <c r="BY53" s="875"/>
      <c r="BZ53" s="875"/>
      <c r="CA53" s="875"/>
      <c r="CB53" s="875"/>
      <c r="CC53" s="875"/>
      <c r="CD53" s="875"/>
      <c r="CE53" s="875"/>
      <c r="CF53" s="875"/>
      <c r="CG53" s="875"/>
      <c r="CH53" s="875"/>
      <c r="CI53" s="875"/>
      <c r="CJ53" s="875"/>
      <c r="CK53" s="875"/>
      <c r="CL53" s="875"/>
      <c r="CM53" s="875"/>
      <c r="CN53" s="875"/>
      <c r="CO53" s="875"/>
      <c r="CP53" s="875"/>
      <c r="CQ53" s="875"/>
      <c r="CR53" s="875"/>
      <c r="CS53" s="875"/>
      <c r="CT53" s="875"/>
      <c r="CU53" s="875"/>
      <c r="CV53" s="875"/>
      <c r="CW53" s="875"/>
      <c r="CX53" s="875"/>
      <c r="CY53" s="875"/>
      <c r="CZ53" s="875"/>
      <c r="DA53" s="875"/>
      <c r="DB53" s="875"/>
      <c r="DC53" s="875"/>
      <c r="DD53" s="875"/>
      <c r="DE53" s="875"/>
      <c r="DF53" s="875"/>
      <c r="DG53" s="875"/>
      <c r="DH53" s="875"/>
      <c r="DI53" s="875"/>
      <c r="DJ53" s="875"/>
      <c r="DK53" s="875"/>
      <c r="DL53" s="875"/>
      <c r="DM53" s="875"/>
      <c r="DN53" s="875"/>
      <c r="DO53" s="875"/>
      <c r="DP53" s="875"/>
      <c r="DQ53" s="875"/>
      <c r="DR53" s="875"/>
      <c r="DS53" s="875"/>
      <c r="DT53" s="875"/>
      <c r="DU53" s="875"/>
      <c r="DV53" s="875"/>
      <c r="DW53" s="875"/>
      <c r="DX53" s="875"/>
      <c r="DY53" s="875"/>
      <c r="DZ53" s="875"/>
      <c r="EA53" s="875"/>
      <c r="EB53" s="875"/>
      <c r="EC53" s="875"/>
      <c r="ED53" s="186"/>
      <c r="EE53" s="186"/>
      <c r="EF53" s="186"/>
    </row>
    <row r="54" ht="15.0" hidden="1" customHeight="1" outlineLevel="1">
      <c r="A54" s="60">
        <v>36.0</v>
      </c>
      <c r="B54" s="809" t="s">
        <v>173</v>
      </c>
      <c r="C54" s="810"/>
      <c r="D54" s="191"/>
      <c r="E54" s="811"/>
      <c r="F54" s="191"/>
      <c r="G54" s="190"/>
      <c r="H54" s="190"/>
      <c r="I54" s="189"/>
      <c r="J54" s="189"/>
      <c r="K54" s="813"/>
      <c r="L54" s="812"/>
      <c r="M54" s="811"/>
      <c r="N54" s="190"/>
      <c r="O54" s="189"/>
      <c r="P54" s="243"/>
      <c r="Q54" s="813"/>
      <c r="R54" s="876"/>
      <c r="S54" s="877"/>
      <c r="T54" s="813"/>
      <c r="U54" s="876"/>
      <c r="V54" s="877"/>
      <c r="W54" s="813"/>
      <c r="X54" s="876"/>
      <c r="Y54" s="877"/>
      <c r="Z54" s="878"/>
      <c r="AA54" s="876"/>
      <c r="AB54" s="879"/>
      <c r="AC54" s="878"/>
      <c r="AD54" s="876"/>
      <c r="AE54" s="879"/>
      <c r="AF54" s="878"/>
      <c r="AG54" s="876"/>
      <c r="AH54" s="879"/>
      <c r="AI54" s="878"/>
      <c r="AJ54" s="876"/>
      <c r="AK54" s="879"/>
      <c r="AL54" s="878"/>
      <c r="AM54" s="876"/>
      <c r="AN54" s="879"/>
      <c r="AO54" s="880"/>
      <c r="AP54" s="880"/>
      <c r="AQ54" s="880"/>
      <c r="AR54" s="880"/>
      <c r="AS54" s="880"/>
      <c r="AT54" s="880"/>
      <c r="AU54" s="880"/>
      <c r="AV54" s="880"/>
      <c r="AW54" s="880"/>
      <c r="AX54" s="880"/>
      <c r="AY54" s="880"/>
      <c r="AZ54" s="880"/>
      <c r="BA54" s="880"/>
      <c r="BB54" s="880"/>
      <c r="BC54" s="880"/>
      <c r="BD54" s="880"/>
      <c r="BE54" s="880"/>
      <c r="BF54" s="880"/>
      <c r="BG54" s="880"/>
      <c r="BH54" s="880"/>
      <c r="BI54" s="880"/>
      <c r="BJ54" s="880"/>
      <c r="BK54" s="880"/>
      <c r="BL54" s="880"/>
      <c r="BM54" s="880"/>
      <c r="BN54" s="880"/>
      <c r="BO54" s="880"/>
      <c r="BP54" s="880"/>
      <c r="BQ54" s="880"/>
      <c r="BR54" s="880"/>
      <c r="BS54" s="880"/>
      <c r="BT54" s="880"/>
      <c r="BU54" s="880"/>
      <c r="BV54" s="880"/>
      <c r="BW54" s="880"/>
      <c r="BX54" s="880"/>
      <c r="BY54" s="880"/>
      <c r="BZ54" s="880"/>
      <c r="CA54" s="880"/>
      <c r="CB54" s="880"/>
      <c r="CC54" s="880"/>
      <c r="CD54" s="880"/>
      <c r="CE54" s="880"/>
      <c r="CF54" s="880"/>
      <c r="CG54" s="880"/>
      <c r="CH54" s="880"/>
      <c r="CI54" s="880"/>
      <c r="CJ54" s="880"/>
      <c r="CK54" s="880"/>
      <c r="CL54" s="880"/>
      <c r="CM54" s="880"/>
      <c r="CN54" s="880"/>
      <c r="CO54" s="880"/>
      <c r="CP54" s="880"/>
      <c r="CQ54" s="880"/>
      <c r="CR54" s="880"/>
      <c r="CS54" s="880"/>
      <c r="CT54" s="880"/>
      <c r="CU54" s="880"/>
      <c r="CV54" s="880"/>
      <c r="CW54" s="880"/>
      <c r="CX54" s="880"/>
      <c r="CY54" s="880"/>
      <c r="CZ54" s="880"/>
      <c r="DA54" s="880"/>
      <c r="DB54" s="880"/>
      <c r="DC54" s="880"/>
      <c r="DD54" s="880"/>
      <c r="DE54" s="880"/>
      <c r="DF54" s="880"/>
      <c r="DG54" s="880"/>
      <c r="DH54" s="880"/>
      <c r="DI54" s="880"/>
      <c r="DJ54" s="880"/>
      <c r="DK54" s="880"/>
      <c r="DL54" s="880"/>
      <c r="DM54" s="880"/>
      <c r="DN54" s="880"/>
      <c r="DO54" s="880"/>
      <c r="DP54" s="880"/>
      <c r="DQ54" s="880"/>
      <c r="DR54" s="880"/>
      <c r="DS54" s="880"/>
      <c r="DT54" s="880"/>
      <c r="DU54" s="880"/>
      <c r="DV54" s="880"/>
      <c r="DW54" s="880"/>
      <c r="DX54" s="880"/>
      <c r="DY54" s="880"/>
      <c r="DZ54" s="880"/>
      <c r="EA54" s="880"/>
      <c r="EB54" s="880"/>
      <c r="EC54" s="880"/>
      <c r="ED54" s="215"/>
      <c r="EE54" s="215"/>
      <c r="EF54" s="215"/>
    </row>
    <row r="55" ht="15.0" hidden="1" customHeight="1">
      <c r="A55" s="60">
        <v>59.0</v>
      </c>
      <c r="B55" s="881" t="s">
        <v>219</v>
      </c>
      <c r="C55" s="263"/>
      <c r="D55" s="264"/>
      <c r="E55" s="264"/>
      <c r="F55" s="264"/>
      <c r="G55" s="264"/>
      <c r="H55" s="265"/>
      <c r="I55" s="264"/>
      <c r="J55" s="264"/>
      <c r="K55" s="882"/>
      <c r="L55" s="883"/>
      <c r="M55" s="264"/>
      <c r="N55" s="264"/>
      <c r="O55" s="264"/>
      <c r="P55" s="884"/>
      <c r="Q55" s="885"/>
      <c r="R55" s="886"/>
      <c r="S55" s="887"/>
      <c r="T55" s="885"/>
      <c r="U55" s="886"/>
      <c r="V55" s="887"/>
      <c r="W55" s="885"/>
      <c r="X55" s="886"/>
      <c r="Y55" s="887"/>
      <c r="Z55" s="888"/>
      <c r="AA55" s="889"/>
      <c r="AB55" s="890"/>
      <c r="AC55" s="891"/>
      <c r="AD55" s="892"/>
      <c r="AE55" s="893"/>
      <c r="AF55" s="891"/>
      <c r="AG55" s="892"/>
      <c r="AH55" s="893"/>
      <c r="AI55" s="891"/>
      <c r="AJ55" s="892"/>
      <c r="AK55" s="893"/>
      <c r="AL55" s="891"/>
      <c r="AM55" s="892"/>
      <c r="AN55" s="893"/>
      <c r="AO55" s="894"/>
      <c r="AP55" s="894"/>
      <c r="AQ55" s="894"/>
      <c r="AR55" s="894"/>
      <c r="AS55" s="894"/>
      <c r="AT55" s="894"/>
      <c r="AU55" s="894"/>
      <c r="AV55" s="894"/>
      <c r="AW55" s="894"/>
      <c r="AX55" s="894"/>
      <c r="AY55" s="894"/>
      <c r="AZ55" s="894"/>
      <c r="BA55" s="894"/>
      <c r="BB55" s="894"/>
      <c r="BC55" s="894"/>
      <c r="BD55" s="894"/>
      <c r="BE55" s="894"/>
      <c r="BF55" s="894"/>
      <c r="BG55" s="894"/>
      <c r="BH55" s="894"/>
      <c r="BI55" s="894"/>
      <c r="BJ55" s="894"/>
      <c r="BK55" s="894"/>
      <c r="BL55" s="894"/>
      <c r="BM55" s="894"/>
      <c r="BN55" s="894"/>
      <c r="BO55" s="894"/>
      <c r="BP55" s="894"/>
      <c r="BQ55" s="894"/>
      <c r="BR55" s="894"/>
      <c r="BS55" s="894"/>
      <c r="BT55" s="894"/>
      <c r="BU55" s="894"/>
      <c r="BV55" s="894"/>
      <c r="BW55" s="894"/>
      <c r="BX55" s="894"/>
      <c r="BY55" s="894"/>
      <c r="BZ55" s="894"/>
      <c r="CA55" s="894"/>
      <c r="CB55" s="894"/>
      <c r="CC55" s="894"/>
      <c r="CD55" s="894"/>
      <c r="CE55" s="894"/>
      <c r="CF55" s="894"/>
      <c r="CG55" s="894"/>
      <c r="CH55" s="894"/>
      <c r="CI55" s="894"/>
      <c r="CJ55" s="894"/>
      <c r="CK55" s="894"/>
      <c r="CL55" s="894"/>
      <c r="CM55" s="894"/>
      <c r="CN55" s="894"/>
      <c r="CO55" s="894"/>
      <c r="CP55" s="894"/>
      <c r="CQ55" s="894"/>
      <c r="CR55" s="894"/>
      <c r="CS55" s="894"/>
      <c r="CT55" s="894"/>
      <c r="CU55" s="894"/>
      <c r="CV55" s="894"/>
      <c r="CW55" s="894"/>
      <c r="CX55" s="894"/>
      <c r="CY55" s="894"/>
      <c r="CZ55" s="894"/>
      <c r="DA55" s="894"/>
      <c r="DB55" s="894"/>
      <c r="DC55" s="894"/>
      <c r="DD55" s="894"/>
      <c r="DE55" s="894"/>
      <c r="DF55" s="894"/>
      <c r="DG55" s="894"/>
      <c r="DH55" s="894"/>
      <c r="DI55" s="894"/>
      <c r="DJ55" s="894"/>
      <c r="DK55" s="894"/>
      <c r="DL55" s="894"/>
      <c r="DM55" s="894"/>
      <c r="DN55" s="894"/>
      <c r="DO55" s="894"/>
      <c r="DP55" s="894"/>
      <c r="DQ55" s="894"/>
      <c r="DR55" s="894"/>
      <c r="DS55" s="894"/>
      <c r="DT55" s="894"/>
      <c r="DU55" s="894"/>
      <c r="DV55" s="894"/>
      <c r="DW55" s="894"/>
      <c r="DX55" s="894"/>
      <c r="DY55" s="894"/>
      <c r="DZ55" s="894"/>
      <c r="EA55" s="894"/>
      <c r="EB55" s="894"/>
      <c r="EC55" s="894"/>
      <c r="ED55" s="186"/>
      <c r="EE55" s="186"/>
      <c r="EF55" s="186"/>
    </row>
    <row r="56" ht="15.0" hidden="1" customHeight="1">
      <c r="A56" s="60">
        <v>38.0</v>
      </c>
      <c r="B56" s="895" t="s">
        <v>177</v>
      </c>
      <c r="C56" s="188"/>
      <c r="D56" s="189"/>
      <c r="E56" s="189"/>
      <c r="F56" s="189"/>
      <c r="G56" s="189"/>
      <c r="H56" s="190"/>
      <c r="I56" s="189"/>
      <c r="J56" s="189"/>
      <c r="K56" s="260"/>
      <c r="L56" s="248"/>
      <c r="M56" s="189"/>
      <c r="N56" s="189"/>
      <c r="O56" s="189"/>
      <c r="P56" s="243"/>
      <c r="Q56" s="813"/>
      <c r="R56" s="876"/>
      <c r="S56" s="877"/>
      <c r="T56" s="813"/>
      <c r="U56" s="876"/>
      <c r="V56" s="877"/>
      <c r="W56" s="878"/>
      <c r="X56" s="876"/>
      <c r="Y56" s="877"/>
      <c r="Z56" s="896"/>
      <c r="AA56" s="897"/>
      <c r="AB56" s="879"/>
      <c r="AC56" s="878"/>
      <c r="AD56" s="876"/>
      <c r="AE56" s="898"/>
      <c r="AF56" s="878"/>
      <c r="AG56" s="876"/>
      <c r="AH56" s="898"/>
      <c r="AI56" s="878"/>
      <c r="AJ56" s="876"/>
      <c r="AK56" s="898"/>
      <c r="AL56" s="878"/>
      <c r="AM56" s="876"/>
      <c r="AN56" s="898"/>
      <c r="AO56" s="880"/>
      <c r="AP56" s="880"/>
      <c r="AQ56" s="880"/>
      <c r="AR56" s="880"/>
      <c r="AS56" s="880"/>
      <c r="AT56" s="880"/>
      <c r="AU56" s="880"/>
      <c r="AV56" s="880"/>
      <c r="AW56" s="880"/>
      <c r="AX56" s="880"/>
      <c r="AY56" s="880"/>
      <c r="AZ56" s="880"/>
      <c r="BA56" s="880"/>
      <c r="BB56" s="880"/>
      <c r="BC56" s="880"/>
      <c r="BD56" s="880"/>
      <c r="BE56" s="880"/>
      <c r="BF56" s="880"/>
      <c r="BG56" s="880"/>
      <c r="BH56" s="880"/>
      <c r="BI56" s="880"/>
      <c r="BJ56" s="880"/>
      <c r="BK56" s="880"/>
      <c r="BL56" s="880"/>
      <c r="BM56" s="880"/>
      <c r="BN56" s="880"/>
      <c r="BO56" s="880"/>
      <c r="BP56" s="880"/>
      <c r="BQ56" s="880"/>
      <c r="BR56" s="880"/>
      <c r="BS56" s="880"/>
      <c r="BT56" s="880"/>
      <c r="BU56" s="880"/>
      <c r="BV56" s="880"/>
      <c r="BW56" s="880"/>
      <c r="BX56" s="880"/>
      <c r="BY56" s="880"/>
      <c r="BZ56" s="880"/>
      <c r="CA56" s="880"/>
      <c r="CB56" s="880"/>
      <c r="CC56" s="880"/>
      <c r="CD56" s="880"/>
      <c r="CE56" s="880"/>
      <c r="CF56" s="880"/>
      <c r="CG56" s="880"/>
      <c r="CH56" s="880"/>
      <c r="CI56" s="880"/>
      <c r="CJ56" s="880"/>
      <c r="CK56" s="880"/>
      <c r="CL56" s="880"/>
      <c r="CM56" s="880"/>
      <c r="CN56" s="880"/>
      <c r="CO56" s="880"/>
      <c r="CP56" s="880"/>
      <c r="CQ56" s="880"/>
      <c r="CR56" s="880"/>
      <c r="CS56" s="880"/>
      <c r="CT56" s="880"/>
      <c r="CU56" s="880"/>
      <c r="CV56" s="880"/>
      <c r="CW56" s="880"/>
      <c r="CX56" s="880"/>
      <c r="CY56" s="880"/>
      <c r="CZ56" s="880"/>
      <c r="DA56" s="880"/>
      <c r="DB56" s="880"/>
      <c r="DC56" s="880"/>
      <c r="DD56" s="880"/>
      <c r="DE56" s="880"/>
      <c r="DF56" s="880"/>
      <c r="DG56" s="880"/>
      <c r="DH56" s="880"/>
      <c r="DI56" s="880"/>
      <c r="DJ56" s="880"/>
      <c r="DK56" s="880"/>
      <c r="DL56" s="880"/>
      <c r="DM56" s="880"/>
      <c r="DN56" s="880"/>
      <c r="DO56" s="880"/>
      <c r="DP56" s="880"/>
      <c r="DQ56" s="880"/>
      <c r="DR56" s="880"/>
      <c r="DS56" s="880"/>
      <c r="DT56" s="880"/>
      <c r="DU56" s="880"/>
      <c r="DV56" s="880"/>
      <c r="DW56" s="880"/>
      <c r="DX56" s="880"/>
      <c r="DY56" s="880"/>
      <c r="DZ56" s="880"/>
      <c r="EA56" s="880"/>
      <c r="EB56" s="880"/>
      <c r="EC56" s="880"/>
      <c r="ED56" s="186"/>
      <c r="EE56" s="186"/>
      <c r="EF56" s="186"/>
    </row>
    <row r="57" ht="15.0" hidden="1" customHeight="1">
      <c r="A57" s="60">
        <v>67.0</v>
      </c>
      <c r="B57" s="899" t="s">
        <v>233</v>
      </c>
      <c r="C57" s="319"/>
      <c r="D57" s="320"/>
      <c r="E57" s="320"/>
      <c r="F57" s="320"/>
      <c r="G57" s="320"/>
      <c r="H57" s="321"/>
      <c r="I57" s="320"/>
      <c r="J57" s="320"/>
      <c r="K57" s="343"/>
      <c r="L57" s="331"/>
      <c r="M57" s="320"/>
      <c r="N57" s="320"/>
      <c r="O57" s="320"/>
      <c r="P57" s="326"/>
      <c r="Q57" s="900"/>
      <c r="R57" s="901"/>
      <c r="S57" s="321"/>
      <c r="T57" s="900"/>
      <c r="U57" s="322"/>
      <c r="V57" s="321"/>
      <c r="W57" s="900"/>
      <c r="X57" s="322"/>
      <c r="Y57" s="321"/>
      <c r="Z57" s="902"/>
      <c r="AA57" s="323"/>
      <c r="AB57" s="903"/>
      <c r="AC57" s="904"/>
      <c r="AD57" s="905"/>
      <c r="AE57" s="906"/>
      <c r="AF57" s="907"/>
      <c r="AG57" s="907"/>
      <c r="AH57" s="907"/>
      <c r="AI57" s="907"/>
      <c r="AJ57" s="907"/>
      <c r="AK57" s="907"/>
      <c r="AL57" s="907"/>
      <c r="AM57" s="907"/>
      <c r="AN57" s="907"/>
      <c r="AO57" s="907"/>
      <c r="AP57" s="907"/>
      <c r="AQ57" s="907"/>
      <c r="AR57" s="907"/>
      <c r="AS57" s="907"/>
      <c r="AT57" s="907"/>
      <c r="AU57" s="907"/>
      <c r="AV57" s="907"/>
      <c r="AW57" s="907"/>
      <c r="AX57" s="907"/>
      <c r="AY57" s="907"/>
      <c r="AZ57" s="907"/>
      <c r="BA57" s="907"/>
      <c r="BB57" s="907"/>
      <c r="BC57" s="907"/>
      <c r="BD57" s="907"/>
      <c r="BE57" s="907"/>
      <c r="BF57" s="907"/>
      <c r="BG57" s="907"/>
      <c r="BH57" s="907"/>
      <c r="BI57" s="907"/>
      <c r="BJ57" s="907"/>
      <c r="BK57" s="907"/>
      <c r="BL57" s="907"/>
      <c r="BM57" s="907"/>
      <c r="BN57" s="907"/>
      <c r="BO57" s="907"/>
      <c r="BP57" s="907"/>
      <c r="BQ57" s="907"/>
      <c r="BR57" s="907"/>
      <c r="BS57" s="907"/>
      <c r="BT57" s="907"/>
      <c r="BU57" s="907"/>
      <c r="BV57" s="907"/>
      <c r="BW57" s="907"/>
      <c r="BX57" s="907"/>
      <c r="BY57" s="907"/>
      <c r="BZ57" s="907"/>
      <c r="CA57" s="907"/>
      <c r="CB57" s="907"/>
      <c r="CC57" s="907"/>
      <c r="CD57" s="907"/>
      <c r="CE57" s="907"/>
      <c r="CF57" s="907"/>
      <c r="CG57" s="907"/>
      <c r="CH57" s="907"/>
      <c r="CI57" s="907"/>
      <c r="CJ57" s="907"/>
      <c r="CK57" s="907"/>
      <c r="CL57" s="907"/>
      <c r="CM57" s="907"/>
      <c r="CN57" s="907"/>
      <c r="CO57" s="907"/>
      <c r="CP57" s="907"/>
      <c r="CQ57" s="907"/>
      <c r="CR57" s="907"/>
      <c r="CS57" s="907"/>
      <c r="CT57" s="907"/>
      <c r="CU57" s="907"/>
      <c r="CV57" s="907"/>
      <c r="CW57" s="907"/>
      <c r="CX57" s="907"/>
      <c r="CY57" s="907"/>
      <c r="CZ57" s="907"/>
      <c r="DA57" s="907"/>
      <c r="DB57" s="907"/>
      <c r="DC57" s="907"/>
      <c r="DD57" s="907"/>
      <c r="DE57" s="907"/>
      <c r="DF57" s="907"/>
      <c r="DG57" s="907"/>
      <c r="DH57" s="907"/>
      <c r="DI57" s="907"/>
      <c r="DJ57" s="907"/>
      <c r="DK57" s="907"/>
      <c r="DL57" s="907"/>
      <c r="DM57" s="907"/>
      <c r="DN57" s="907"/>
      <c r="DO57" s="907"/>
      <c r="DP57" s="907"/>
      <c r="DQ57" s="907"/>
      <c r="DR57" s="907"/>
      <c r="DS57" s="907"/>
      <c r="DT57" s="907"/>
      <c r="DU57" s="907"/>
      <c r="DV57" s="907"/>
      <c r="DW57" s="907"/>
      <c r="DX57" s="907"/>
      <c r="DY57" s="907"/>
      <c r="DZ57" s="907"/>
      <c r="EA57" s="907"/>
      <c r="EB57" s="907"/>
      <c r="EC57" s="907"/>
      <c r="ED57" s="68"/>
      <c r="EE57" s="68"/>
      <c r="EF57" s="68"/>
    </row>
    <row r="58" ht="15.0" hidden="1" customHeight="1" outlineLevel="1">
      <c r="A58" s="60">
        <v>70.0</v>
      </c>
      <c r="B58" s="908" t="s">
        <v>238</v>
      </c>
      <c r="C58" s="909"/>
      <c r="D58" s="349"/>
      <c r="E58" s="910"/>
      <c r="F58" s="347"/>
      <c r="G58" s="348"/>
      <c r="H58" s="348"/>
      <c r="I58" s="347"/>
      <c r="J58" s="347"/>
      <c r="K58" s="911"/>
      <c r="L58" s="912"/>
      <c r="M58" s="910"/>
      <c r="N58" s="348"/>
      <c r="O58" s="347"/>
      <c r="P58" s="913"/>
      <c r="Q58" s="911"/>
      <c r="R58" s="914"/>
      <c r="S58" s="915"/>
      <c r="T58" s="911"/>
      <c r="U58" s="914"/>
      <c r="V58" s="916"/>
      <c r="W58" s="917"/>
      <c r="X58" s="914"/>
      <c r="Y58" s="916"/>
      <c r="Z58" s="918"/>
      <c r="AA58" s="914"/>
      <c r="AB58" s="919"/>
      <c r="AC58" s="920"/>
      <c r="AD58" s="914"/>
      <c r="AE58" s="921"/>
      <c r="AF58" s="918"/>
      <c r="AG58" s="914"/>
      <c r="AH58" s="918"/>
      <c r="AI58" s="918"/>
      <c r="AJ58" s="914"/>
      <c r="AK58" s="918"/>
      <c r="AL58" s="918"/>
      <c r="AM58" s="914"/>
      <c r="AN58" s="918"/>
      <c r="AO58" s="922"/>
      <c r="AP58" s="922"/>
      <c r="AQ58" s="922"/>
      <c r="AR58" s="922"/>
      <c r="AS58" s="922"/>
      <c r="AT58" s="922"/>
      <c r="AU58" s="922"/>
      <c r="AV58" s="922"/>
      <c r="AW58" s="922"/>
      <c r="AX58" s="922"/>
      <c r="AY58" s="922"/>
      <c r="AZ58" s="922"/>
      <c r="BA58" s="922"/>
      <c r="BB58" s="922"/>
      <c r="BC58" s="922"/>
      <c r="BD58" s="922"/>
      <c r="BE58" s="922"/>
      <c r="BF58" s="922"/>
      <c r="BG58" s="922"/>
      <c r="BH58" s="922"/>
      <c r="BI58" s="922"/>
      <c r="BJ58" s="922"/>
      <c r="BK58" s="922"/>
      <c r="BL58" s="922"/>
      <c r="BM58" s="922"/>
      <c r="BN58" s="922"/>
      <c r="BO58" s="922"/>
      <c r="BP58" s="922"/>
      <c r="BQ58" s="922"/>
      <c r="BR58" s="922"/>
      <c r="BS58" s="922"/>
      <c r="BT58" s="922"/>
      <c r="BU58" s="922"/>
      <c r="BV58" s="922"/>
      <c r="BW58" s="922"/>
      <c r="BX58" s="922"/>
      <c r="BY58" s="922"/>
      <c r="BZ58" s="922"/>
      <c r="CA58" s="922"/>
      <c r="CB58" s="922"/>
      <c r="CC58" s="922"/>
      <c r="CD58" s="922"/>
      <c r="CE58" s="922"/>
      <c r="CF58" s="922"/>
      <c r="CG58" s="922"/>
      <c r="CH58" s="922"/>
      <c r="CI58" s="922"/>
      <c r="CJ58" s="922"/>
      <c r="CK58" s="922"/>
      <c r="CL58" s="922"/>
      <c r="CM58" s="922"/>
      <c r="CN58" s="922"/>
      <c r="CO58" s="922"/>
      <c r="CP58" s="922"/>
      <c r="CQ58" s="922"/>
      <c r="CR58" s="922"/>
      <c r="CS58" s="922"/>
      <c r="CT58" s="922"/>
      <c r="CU58" s="922"/>
      <c r="CV58" s="922"/>
      <c r="CW58" s="922"/>
      <c r="CX58" s="922"/>
      <c r="CY58" s="922"/>
      <c r="CZ58" s="922"/>
      <c r="DA58" s="922"/>
      <c r="DB58" s="922"/>
      <c r="DC58" s="922"/>
      <c r="DD58" s="922"/>
      <c r="DE58" s="922"/>
      <c r="DF58" s="922"/>
      <c r="DG58" s="922"/>
      <c r="DH58" s="922"/>
      <c r="DI58" s="922"/>
      <c r="DJ58" s="922"/>
      <c r="DK58" s="922"/>
      <c r="DL58" s="922"/>
      <c r="DM58" s="922"/>
      <c r="DN58" s="922"/>
      <c r="DO58" s="922"/>
      <c r="DP58" s="922"/>
      <c r="DQ58" s="922"/>
      <c r="DR58" s="922"/>
      <c r="DS58" s="922"/>
      <c r="DT58" s="922"/>
      <c r="DU58" s="922"/>
      <c r="DV58" s="922"/>
      <c r="DW58" s="922"/>
      <c r="DX58" s="922"/>
      <c r="DY58" s="922"/>
      <c r="DZ58" s="922"/>
      <c r="EA58" s="922"/>
      <c r="EB58" s="922"/>
      <c r="EC58" s="922"/>
      <c r="ED58" s="186"/>
      <c r="EE58" s="186"/>
      <c r="EF58" s="186"/>
    </row>
    <row r="59" ht="15.0" hidden="1" customHeight="1" outlineLevel="1">
      <c r="A59" s="60">
        <v>84.0</v>
      </c>
      <c r="B59" s="923" t="s">
        <v>266</v>
      </c>
      <c r="C59" s="924"/>
      <c r="D59" s="433"/>
      <c r="E59" s="925"/>
      <c r="F59" s="433"/>
      <c r="G59" s="432"/>
      <c r="H59" s="432"/>
      <c r="I59" s="431"/>
      <c r="J59" s="431"/>
      <c r="K59" s="926"/>
      <c r="L59" s="927"/>
      <c r="M59" s="925"/>
      <c r="N59" s="432"/>
      <c r="O59" s="431"/>
      <c r="P59" s="928"/>
      <c r="Q59" s="926"/>
      <c r="R59" s="929"/>
      <c r="S59" s="930"/>
      <c r="T59" s="926"/>
      <c r="U59" s="929"/>
      <c r="V59" s="931"/>
      <c r="W59" s="932"/>
      <c r="X59" s="929"/>
      <c r="Y59" s="931"/>
      <c r="Z59" s="933"/>
      <c r="AA59" s="929"/>
      <c r="AB59" s="934"/>
      <c r="AC59" s="933"/>
      <c r="AD59" s="929"/>
      <c r="AE59" s="933"/>
      <c r="AF59" s="933"/>
      <c r="AG59" s="929"/>
      <c r="AH59" s="933"/>
      <c r="AI59" s="933"/>
      <c r="AJ59" s="929"/>
      <c r="AK59" s="933"/>
      <c r="AL59" s="933"/>
      <c r="AM59" s="929"/>
      <c r="AN59" s="933"/>
      <c r="AO59" s="935"/>
      <c r="AP59" s="935"/>
      <c r="AQ59" s="935"/>
      <c r="AR59" s="935"/>
      <c r="AS59" s="935"/>
      <c r="AT59" s="935"/>
      <c r="AU59" s="935"/>
      <c r="AV59" s="935"/>
      <c r="AW59" s="935"/>
      <c r="AX59" s="935"/>
      <c r="AY59" s="935"/>
      <c r="AZ59" s="935"/>
      <c r="BA59" s="935"/>
      <c r="BB59" s="935"/>
      <c r="BC59" s="935"/>
      <c r="BD59" s="935"/>
      <c r="BE59" s="935"/>
      <c r="BF59" s="935"/>
      <c r="BG59" s="935"/>
      <c r="BH59" s="935"/>
      <c r="BI59" s="935"/>
      <c r="BJ59" s="935"/>
      <c r="BK59" s="935"/>
      <c r="BL59" s="935"/>
      <c r="BM59" s="935"/>
      <c r="BN59" s="935"/>
      <c r="BO59" s="935"/>
      <c r="BP59" s="935"/>
      <c r="BQ59" s="935"/>
      <c r="BR59" s="935"/>
      <c r="BS59" s="935"/>
      <c r="BT59" s="935"/>
      <c r="BU59" s="935"/>
      <c r="BV59" s="935"/>
      <c r="BW59" s="935"/>
      <c r="BX59" s="935"/>
      <c r="BY59" s="935"/>
      <c r="BZ59" s="935"/>
      <c r="CA59" s="935"/>
      <c r="CB59" s="935"/>
      <c r="CC59" s="935"/>
      <c r="CD59" s="935"/>
      <c r="CE59" s="935"/>
      <c r="CF59" s="935"/>
      <c r="CG59" s="935"/>
      <c r="CH59" s="935"/>
      <c r="CI59" s="935"/>
      <c r="CJ59" s="935"/>
      <c r="CK59" s="935"/>
      <c r="CL59" s="935"/>
      <c r="CM59" s="935"/>
      <c r="CN59" s="935"/>
      <c r="CO59" s="935"/>
      <c r="CP59" s="935"/>
      <c r="CQ59" s="935"/>
      <c r="CR59" s="935"/>
      <c r="CS59" s="935"/>
      <c r="CT59" s="935"/>
      <c r="CU59" s="935"/>
      <c r="CV59" s="935"/>
      <c r="CW59" s="935"/>
      <c r="CX59" s="935"/>
      <c r="CY59" s="935"/>
      <c r="CZ59" s="935"/>
      <c r="DA59" s="935"/>
      <c r="DB59" s="935"/>
      <c r="DC59" s="935"/>
      <c r="DD59" s="935"/>
      <c r="DE59" s="935"/>
      <c r="DF59" s="935"/>
      <c r="DG59" s="935"/>
      <c r="DH59" s="935"/>
      <c r="DI59" s="935"/>
      <c r="DJ59" s="935"/>
      <c r="DK59" s="935"/>
      <c r="DL59" s="935"/>
      <c r="DM59" s="935"/>
      <c r="DN59" s="935"/>
      <c r="DO59" s="935"/>
      <c r="DP59" s="935"/>
      <c r="DQ59" s="935"/>
      <c r="DR59" s="935"/>
      <c r="DS59" s="935"/>
      <c r="DT59" s="935"/>
      <c r="DU59" s="935"/>
      <c r="DV59" s="935"/>
      <c r="DW59" s="935"/>
      <c r="DX59" s="935"/>
      <c r="DY59" s="935"/>
      <c r="DZ59" s="935"/>
      <c r="EA59" s="935"/>
      <c r="EB59" s="935"/>
      <c r="EC59" s="935"/>
      <c r="ED59" s="215"/>
      <c r="EE59" s="215"/>
      <c r="EF59" s="215"/>
    </row>
    <row r="60" ht="15.0" hidden="1" customHeight="1" outlineLevel="1">
      <c r="A60" s="60">
        <v>81.0</v>
      </c>
      <c r="B60" s="936" t="s">
        <v>261</v>
      </c>
      <c r="C60" s="937"/>
      <c r="D60" s="405"/>
      <c r="E60" s="938"/>
      <c r="F60" s="405"/>
      <c r="G60" s="404"/>
      <c r="H60" s="404"/>
      <c r="I60" s="403"/>
      <c r="J60" s="403"/>
      <c r="K60" s="939"/>
      <c r="L60" s="940"/>
      <c r="M60" s="938"/>
      <c r="N60" s="404"/>
      <c r="O60" s="403"/>
      <c r="P60" s="941"/>
      <c r="Q60" s="939"/>
      <c r="R60" s="942"/>
      <c r="S60" s="943"/>
      <c r="T60" s="939"/>
      <c r="U60" s="944"/>
      <c r="V60" s="943"/>
      <c r="W60" s="939"/>
      <c r="X60" s="944"/>
      <c r="Y60" s="943"/>
      <c r="Z60" s="945"/>
      <c r="AA60" s="944"/>
      <c r="AB60" s="946"/>
      <c r="AC60" s="945"/>
      <c r="AD60" s="944"/>
      <c r="AE60" s="946"/>
      <c r="AF60" s="945"/>
      <c r="AG60" s="944"/>
      <c r="AH60" s="946"/>
      <c r="AI60" s="945"/>
      <c r="AJ60" s="944"/>
      <c r="AK60" s="946"/>
      <c r="AL60" s="945"/>
      <c r="AM60" s="944"/>
      <c r="AN60" s="946"/>
      <c r="AO60" s="947"/>
      <c r="AP60" s="947"/>
      <c r="AQ60" s="947"/>
      <c r="AR60" s="947"/>
      <c r="AS60" s="947"/>
      <c r="AT60" s="947"/>
      <c r="AU60" s="947"/>
      <c r="AV60" s="947"/>
      <c r="AW60" s="947"/>
      <c r="AX60" s="947"/>
      <c r="AY60" s="947"/>
      <c r="AZ60" s="947"/>
      <c r="BA60" s="947"/>
      <c r="BB60" s="947"/>
      <c r="BC60" s="947"/>
      <c r="BD60" s="947"/>
      <c r="BE60" s="947"/>
      <c r="BF60" s="947"/>
      <c r="BG60" s="947"/>
      <c r="BH60" s="947"/>
      <c r="BI60" s="947"/>
      <c r="BJ60" s="947"/>
      <c r="BK60" s="947"/>
      <c r="BL60" s="947"/>
      <c r="BM60" s="947"/>
      <c r="BN60" s="947"/>
      <c r="BO60" s="947"/>
      <c r="BP60" s="947"/>
      <c r="BQ60" s="947"/>
      <c r="BR60" s="947"/>
      <c r="BS60" s="947"/>
      <c r="BT60" s="947"/>
      <c r="BU60" s="947"/>
      <c r="BV60" s="947"/>
      <c r="BW60" s="947"/>
      <c r="BX60" s="947"/>
      <c r="BY60" s="947"/>
      <c r="BZ60" s="947"/>
      <c r="CA60" s="947"/>
      <c r="CB60" s="947"/>
      <c r="CC60" s="947"/>
      <c r="CD60" s="947"/>
      <c r="CE60" s="947"/>
      <c r="CF60" s="947"/>
      <c r="CG60" s="947"/>
      <c r="CH60" s="947"/>
      <c r="CI60" s="947"/>
      <c r="CJ60" s="947"/>
      <c r="CK60" s="947"/>
      <c r="CL60" s="947"/>
      <c r="CM60" s="947"/>
      <c r="CN60" s="947"/>
      <c r="CO60" s="947"/>
      <c r="CP60" s="947"/>
      <c r="CQ60" s="947"/>
      <c r="CR60" s="947"/>
      <c r="CS60" s="947"/>
      <c r="CT60" s="947"/>
      <c r="CU60" s="947"/>
      <c r="CV60" s="947"/>
      <c r="CW60" s="947"/>
      <c r="CX60" s="947"/>
      <c r="CY60" s="947"/>
      <c r="CZ60" s="947"/>
      <c r="DA60" s="947"/>
      <c r="DB60" s="947"/>
      <c r="DC60" s="947"/>
      <c r="DD60" s="947"/>
      <c r="DE60" s="947"/>
      <c r="DF60" s="947"/>
      <c r="DG60" s="947"/>
      <c r="DH60" s="947"/>
      <c r="DI60" s="947"/>
      <c r="DJ60" s="947"/>
      <c r="DK60" s="947"/>
      <c r="DL60" s="947"/>
      <c r="DM60" s="947"/>
      <c r="DN60" s="947"/>
      <c r="DO60" s="947"/>
      <c r="DP60" s="947"/>
      <c r="DQ60" s="947"/>
      <c r="DR60" s="947"/>
      <c r="DS60" s="947"/>
      <c r="DT60" s="947"/>
      <c r="DU60" s="947"/>
      <c r="DV60" s="947"/>
      <c r="DW60" s="947"/>
      <c r="DX60" s="947"/>
      <c r="DY60" s="947"/>
      <c r="DZ60" s="947"/>
      <c r="EA60" s="947"/>
      <c r="EB60" s="947"/>
      <c r="EC60" s="947"/>
      <c r="ED60" s="215"/>
      <c r="EE60" s="215"/>
      <c r="EF60" s="215"/>
    </row>
    <row r="61" ht="15.0" hidden="1" customHeight="1" outlineLevel="1">
      <c r="A61" s="60">
        <v>74.0</v>
      </c>
      <c r="B61" s="948" t="s">
        <v>247</v>
      </c>
      <c r="C61" s="949"/>
      <c r="D61" s="377"/>
      <c r="E61" s="950"/>
      <c r="F61" s="377"/>
      <c r="G61" s="376"/>
      <c r="H61" s="376"/>
      <c r="I61" s="375"/>
      <c r="J61" s="375"/>
      <c r="K61" s="951"/>
      <c r="L61" s="952"/>
      <c r="M61" s="950"/>
      <c r="N61" s="376"/>
      <c r="O61" s="375"/>
      <c r="P61" s="953"/>
      <c r="Q61" s="951"/>
      <c r="R61" s="954"/>
      <c r="S61" s="955"/>
      <c r="T61" s="951"/>
      <c r="U61" s="954"/>
      <c r="V61" s="955"/>
      <c r="W61" s="951"/>
      <c r="X61" s="954"/>
      <c r="Y61" s="955"/>
      <c r="Z61" s="956"/>
      <c r="AA61" s="954"/>
      <c r="AB61" s="957"/>
      <c r="AC61" s="956"/>
      <c r="AD61" s="954"/>
      <c r="AE61" s="957"/>
      <c r="AF61" s="956"/>
      <c r="AG61" s="954"/>
      <c r="AH61" s="957"/>
      <c r="AI61" s="956"/>
      <c r="AJ61" s="954"/>
      <c r="AK61" s="957"/>
      <c r="AL61" s="956"/>
      <c r="AM61" s="954"/>
      <c r="AN61" s="957"/>
      <c r="AO61" s="958"/>
      <c r="AP61" s="958"/>
      <c r="AQ61" s="958"/>
      <c r="AR61" s="958"/>
      <c r="AS61" s="958"/>
      <c r="AT61" s="958"/>
      <c r="AU61" s="958"/>
      <c r="AV61" s="958"/>
      <c r="AW61" s="958"/>
      <c r="AX61" s="958"/>
      <c r="AY61" s="958"/>
      <c r="AZ61" s="958"/>
      <c r="BA61" s="958"/>
      <c r="BB61" s="958"/>
      <c r="BC61" s="958"/>
      <c r="BD61" s="958"/>
      <c r="BE61" s="958"/>
      <c r="BF61" s="958"/>
      <c r="BG61" s="958"/>
      <c r="BH61" s="958"/>
      <c r="BI61" s="958"/>
      <c r="BJ61" s="958"/>
      <c r="BK61" s="958"/>
      <c r="BL61" s="958"/>
      <c r="BM61" s="958"/>
      <c r="BN61" s="958"/>
      <c r="BO61" s="958"/>
      <c r="BP61" s="958"/>
      <c r="BQ61" s="958"/>
      <c r="BR61" s="958"/>
      <c r="BS61" s="958"/>
      <c r="BT61" s="958"/>
      <c r="BU61" s="958"/>
      <c r="BV61" s="958"/>
      <c r="BW61" s="958"/>
      <c r="BX61" s="958"/>
      <c r="BY61" s="958"/>
      <c r="BZ61" s="958"/>
      <c r="CA61" s="958"/>
      <c r="CB61" s="958"/>
      <c r="CC61" s="958"/>
      <c r="CD61" s="958"/>
      <c r="CE61" s="958"/>
      <c r="CF61" s="958"/>
      <c r="CG61" s="958"/>
      <c r="CH61" s="958"/>
      <c r="CI61" s="958"/>
      <c r="CJ61" s="958"/>
      <c r="CK61" s="958"/>
      <c r="CL61" s="958"/>
      <c r="CM61" s="958"/>
      <c r="CN61" s="958"/>
      <c r="CO61" s="958"/>
      <c r="CP61" s="958"/>
      <c r="CQ61" s="958"/>
      <c r="CR61" s="958"/>
      <c r="CS61" s="958"/>
      <c r="CT61" s="958"/>
      <c r="CU61" s="958"/>
      <c r="CV61" s="958"/>
      <c r="CW61" s="958"/>
      <c r="CX61" s="958"/>
      <c r="CY61" s="958"/>
      <c r="CZ61" s="958"/>
      <c r="DA61" s="958"/>
      <c r="DB61" s="958"/>
      <c r="DC61" s="958"/>
      <c r="DD61" s="958"/>
      <c r="DE61" s="958"/>
      <c r="DF61" s="958"/>
      <c r="DG61" s="958"/>
      <c r="DH61" s="958"/>
      <c r="DI61" s="958"/>
      <c r="DJ61" s="958"/>
      <c r="DK61" s="958"/>
      <c r="DL61" s="958"/>
      <c r="DM61" s="958"/>
      <c r="DN61" s="958"/>
      <c r="DO61" s="958"/>
      <c r="DP61" s="958"/>
      <c r="DQ61" s="958"/>
      <c r="DR61" s="958"/>
      <c r="DS61" s="958"/>
      <c r="DT61" s="958"/>
      <c r="DU61" s="958"/>
      <c r="DV61" s="958"/>
      <c r="DW61" s="958"/>
      <c r="DX61" s="958"/>
      <c r="DY61" s="958"/>
      <c r="DZ61" s="958"/>
      <c r="EA61" s="958"/>
      <c r="EB61" s="958"/>
      <c r="EC61" s="958"/>
      <c r="ED61" s="186"/>
      <c r="EE61" s="186"/>
      <c r="EF61" s="186"/>
    </row>
    <row r="62" ht="15.0" hidden="1" customHeight="1" outlineLevel="1">
      <c r="A62" s="60">
        <v>41.0</v>
      </c>
      <c r="B62" s="809" t="s">
        <v>183</v>
      </c>
      <c r="C62" s="810"/>
      <c r="D62" s="191"/>
      <c r="E62" s="811"/>
      <c r="F62" s="191"/>
      <c r="G62" s="190"/>
      <c r="H62" s="190"/>
      <c r="I62" s="189"/>
      <c r="J62" s="189"/>
      <c r="K62" s="813"/>
      <c r="L62" s="812"/>
      <c r="M62" s="811"/>
      <c r="N62" s="190"/>
      <c r="O62" s="189"/>
      <c r="P62" s="243"/>
      <c r="Q62" s="813"/>
      <c r="R62" s="876"/>
      <c r="S62" s="877"/>
      <c r="T62" s="813"/>
      <c r="U62" s="876"/>
      <c r="V62" s="877"/>
      <c r="W62" s="813"/>
      <c r="X62" s="876"/>
      <c r="Y62" s="877"/>
      <c r="Z62" s="878"/>
      <c r="AA62" s="876"/>
      <c r="AB62" s="959"/>
      <c r="AC62" s="878"/>
      <c r="AD62" s="876"/>
      <c r="AE62" s="959"/>
      <c r="AF62" s="878"/>
      <c r="AG62" s="876"/>
      <c r="AH62" s="959"/>
      <c r="AI62" s="878"/>
      <c r="AJ62" s="876"/>
      <c r="AK62" s="959"/>
      <c r="AL62" s="878"/>
      <c r="AM62" s="876"/>
      <c r="AN62" s="959"/>
      <c r="AO62" s="880"/>
      <c r="AP62" s="880"/>
      <c r="AQ62" s="880"/>
      <c r="AR62" s="880"/>
      <c r="AS62" s="880"/>
      <c r="AT62" s="880"/>
      <c r="AU62" s="880"/>
      <c r="AV62" s="880"/>
      <c r="AW62" s="880"/>
      <c r="AX62" s="880"/>
      <c r="AY62" s="880"/>
      <c r="AZ62" s="880"/>
      <c r="BA62" s="880"/>
      <c r="BB62" s="880"/>
      <c r="BC62" s="880"/>
      <c r="BD62" s="880"/>
      <c r="BE62" s="880"/>
      <c r="BF62" s="880"/>
      <c r="BG62" s="880"/>
      <c r="BH62" s="880"/>
      <c r="BI62" s="880"/>
      <c r="BJ62" s="880"/>
      <c r="BK62" s="880"/>
      <c r="BL62" s="880"/>
      <c r="BM62" s="880"/>
      <c r="BN62" s="880"/>
      <c r="BO62" s="880"/>
      <c r="BP62" s="880"/>
      <c r="BQ62" s="880"/>
      <c r="BR62" s="880"/>
      <c r="BS62" s="880"/>
      <c r="BT62" s="880"/>
      <c r="BU62" s="880"/>
      <c r="BV62" s="880"/>
      <c r="BW62" s="880"/>
      <c r="BX62" s="880"/>
      <c r="BY62" s="880"/>
      <c r="BZ62" s="880"/>
      <c r="CA62" s="880"/>
      <c r="CB62" s="880"/>
      <c r="CC62" s="880"/>
      <c r="CD62" s="880"/>
      <c r="CE62" s="880"/>
      <c r="CF62" s="880"/>
      <c r="CG62" s="880"/>
      <c r="CH62" s="880"/>
      <c r="CI62" s="880"/>
      <c r="CJ62" s="880"/>
      <c r="CK62" s="880"/>
      <c r="CL62" s="880"/>
      <c r="CM62" s="880"/>
      <c r="CN62" s="880"/>
      <c r="CO62" s="880"/>
      <c r="CP62" s="880"/>
      <c r="CQ62" s="880"/>
      <c r="CR62" s="880"/>
      <c r="CS62" s="880"/>
      <c r="CT62" s="880"/>
      <c r="CU62" s="880"/>
      <c r="CV62" s="880"/>
      <c r="CW62" s="880"/>
      <c r="CX62" s="880"/>
      <c r="CY62" s="880"/>
      <c r="CZ62" s="880"/>
      <c r="DA62" s="880"/>
      <c r="DB62" s="880"/>
      <c r="DC62" s="880"/>
      <c r="DD62" s="880"/>
      <c r="DE62" s="880"/>
      <c r="DF62" s="880"/>
      <c r="DG62" s="880"/>
      <c r="DH62" s="880"/>
      <c r="DI62" s="880"/>
      <c r="DJ62" s="880"/>
      <c r="DK62" s="880"/>
      <c r="DL62" s="880"/>
      <c r="DM62" s="880"/>
      <c r="DN62" s="880"/>
      <c r="DO62" s="880"/>
      <c r="DP62" s="880"/>
      <c r="DQ62" s="880"/>
      <c r="DR62" s="880"/>
      <c r="DS62" s="880"/>
      <c r="DT62" s="880"/>
      <c r="DU62" s="880"/>
      <c r="DV62" s="880"/>
      <c r="DW62" s="880"/>
      <c r="DX62" s="880"/>
      <c r="DY62" s="880"/>
      <c r="DZ62" s="880"/>
      <c r="EA62" s="880"/>
      <c r="EB62" s="880"/>
      <c r="EC62" s="880"/>
      <c r="ED62" s="215"/>
      <c r="EE62" s="215"/>
      <c r="EF62" s="215"/>
    </row>
    <row r="63" ht="15.0" hidden="1" customHeight="1" outlineLevel="1">
      <c r="A63" s="60">
        <v>56.0</v>
      </c>
      <c r="B63" s="809" t="s">
        <v>211</v>
      </c>
      <c r="C63" s="810"/>
      <c r="D63" s="191"/>
      <c r="E63" s="811"/>
      <c r="F63" s="191"/>
      <c r="G63" s="190"/>
      <c r="H63" s="190"/>
      <c r="I63" s="189"/>
      <c r="J63" s="189"/>
      <c r="K63" s="813"/>
      <c r="L63" s="812"/>
      <c r="M63" s="811"/>
      <c r="N63" s="190"/>
      <c r="O63" s="189"/>
      <c r="P63" s="243"/>
      <c r="Q63" s="813"/>
      <c r="R63" s="876"/>
      <c r="S63" s="877"/>
      <c r="T63" s="813"/>
      <c r="U63" s="876"/>
      <c r="V63" s="878"/>
      <c r="W63" s="813"/>
      <c r="X63" s="876"/>
      <c r="Y63" s="877"/>
      <c r="Z63" s="878"/>
      <c r="AA63" s="876"/>
      <c r="AB63" s="879"/>
      <c r="AC63" s="878"/>
      <c r="AD63" s="876"/>
      <c r="AE63" s="879"/>
      <c r="AF63" s="878"/>
      <c r="AG63" s="876"/>
      <c r="AH63" s="879"/>
      <c r="AI63" s="878"/>
      <c r="AJ63" s="876"/>
      <c r="AK63" s="879"/>
      <c r="AL63" s="878"/>
      <c r="AM63" s="876"/>
      <c r="AN63" s="879"/>
      <c r="AO63" s="880"/>
      <c r="AP63" s="880"/>
      <c r="AQ63" s="880"/>
      <c r="AR63" s="880"/>
      <c r="AS63" s="880"/>
      <c r="AT63" s="880"/>
      <c r="AU63" s="880"/>
      <c r="AV63" s="880"/>
      <c r="AW63" s="880"/>
      <c r="AX63" s="880"/>
      <c r="AY63" s="880"/>
      <c r="AZ63" s="880"/>
      <c r="BA63" s="880"/>
      <c r="BB63" s="880"/>
      <c r="BC63" s="880"/>
      <c r="BD63" s="880"/>
      <c r="BE63" s="880"/>
      <c r="BF63" s="880"/>
      <c r="BG63" s="880"/>
      <c r="BH63" s="880"/>
      <c r="BI63" s="880"/>
      <c r="BJ63" s="880"/>
      <c r="BK63" s="880"/>
      <c r="BL63" s="880"/>
      <c r="BM63" s="880"/>
      <c r="BN63" s="880"/>
      <c r="BO63" s="880"/>
      <c r="BP63" s="880"/>
      <c r="BQ63" s="880"/>
      <c r="BR63" s="880"/>
      <c r="BS63" s="880"/>
      <c r="BT63" s="880"/>
      <c r="BU63" s="880"/>
      <c r="BV63" s="880"/>
      <c r="BW63" s="880"/>
      <c r="BX63" s="880"/>
      <c r="BY63" s="880"/>
      <c r="BZ63" s="880"/>
      <c r="CA63" s="880"/>
      <c r="CB63" s="880"/>
      <c r="CC63" s="880"/>
      <c r="CD63" s="880"/>
      <c r="CE63" s="880"/>
      <c r="CF63" s="880"/>
      <c r="CG63" s="880"/>
      <c r="CH63" s="880"/>
      <c r="CI63" s="880"/>
      <c r="CJ63" s="880"/>
      <c r="CK63" s="880"/>
      <c r="CL63" s="880"/>
      <c r="CM63" s="880"/>
      <c r="CN63" s="880"/>
      <c r="CO63" s="880"/>
      <c r="CP63" s="880"/>
      <c r="CQ63" s="880"/>
      <c r="CR63" s="880"/>
      <c r="CS63" s="880"/>
      <c r="CT63" s="880"/>
      <c r="CU63" s="880"/>
      <c r="CV63" s="880"/>
      <c r="CW63" s="880"/>
      <c r="CX63" s="880"/>
      <c r="CY63" s="880"/>
      <c r="CZ63" s="880"/>
      <c r="DA63" s="880"/>
      <c r="DB63" s="880"/>
      <c r="DC63" s="880"/>
      <c r="DD63" s="880"/>
      <c r="DE63" s="880"/>
      <c r="DF63" s="880"/>
      <c r="DG63" s="880"/>
      <c r="DH63" s="880"/>
      <c r="DI63" s="880"/>
      <c r="DJ63" s="880"/>
      <c r="DK63" s="880"/>
      <c r="DL63" s="880"/>
      <c r="DM63" s="880"/>
      <c r="DN63" s="880"/>
      <c r="DO63" s="880"/>
      <c r="DP63" s="880"/>
      <c r="DQ63" s="880"/>
      <c r="DR63" s="880"/>
      <c r="DS63" s="880"/>
      <c r="DT63" s="880"/>
      <c r="DU63" s="880"/>
      <c r="DV63" s="880"/>
      <c r="DW63" s="880"/>
      <c r="DX63" s="880"/>
      <c r="DY63" s="880"/>
      <c r="DZ63" s="880"/>
      <c r="EA63" s="880"/>
      <c r="EB63" s="880"/>
      <c r="EC63" s="880"/>
      <c r="ED63" s="215"/>
      <c r="EE63" s="215"/>
      <c r="EF63" s="215"/>
    </row>
    <row r="64" ht="15.0" hidden="1" customHeight="1" outlineLevel="1">
      <c r="A64" s="60">
        <v>53.0</v>
      </c>
      <c r="B64" s="960" t="s">
        <v>206</v>
      </c>
      <c r="C64" s="961"/>
      <c r="D64" s="162"/>
      <c r="E64" s="962"/>
      <c r="F64" s="162"/>
      <c r="G64" s="161"/>
      <c r="H64" s="161"/>
      <c r="I64" s="160"/>
      <c r="J64" s="160"/>
      <c r="K64" s="962"/>
      <c r="L64" s="963"/>
      <c r="M64" s="964"/>
      <c r="N64" s="161"/>
      <c r="O64" s="160"/>
      <c r="P64" s="965"/>
      <c r="Q64" s="962"/>
      <c r="R64" s="966"/>
      <c r="S64" s="967"/>
      <c r="T64" s="962"/>
      <c r="U64" s="966"/>
      <c r="V64" s="967"/>
      <c r="W64" s="962"/>
      <c r="X64" s="966"/>
      <c r="Y64" s="967"/>
      <c r="Z64" s="968"/>
      <c r="AA64" s="966"/>
      <c r="AB64" s="171"/>
      <c r="AC64" s="968"/>
      <c r="AD64" s="966"/>
      <c r="AE64" s="969"/>
      <c r="AF64" s="968"/>
      <c r="AG64" s="966"/>
      <c r="AH64" s="969"/>
      <c r="AI64" s="968"/>
      <c r="AJ64" s="966"/>
      <c r="AK64" s="969"/>
      <c r="AL64" s="968"/>
      <c r="AM64" s="966"/>
      <c r="AN64" s="969"/>
      <c r="AO64" s="970"/>
      <c r="AP64" s="970"/>
      <c r="AQ64" s="970"/>
      <c r="AR64" s="970"/>
      <c r="AS64" s="970"/>
      <c r="AT64" s="970"/>
      <c r="AU64" s="970"/>
      <c r="AV64" s="970"/>
      <c r="AW64" s="970"/>
      <c r="AX64" s="970"/>
      <c r="AY64" s="970"/>
      <c r="AZ64" s="970"/>
      <c r="BA64" s="970"/>
      <c r="BB64" s="970"/>
      <c r="BC64" s="970"/>
      <c r="BD64" s="970"/>
      <c r="BE64" s="970"/>
      <c r="BF64" s="970"/>
      <c r="BG64" s="970"/>
      <c r="BH64" s="970"/>
      <c r="BI64" s="970"/>
      <c r="BJ64" s="970"/>
      <c r="BK64" s="970"/>
      <c r="BL64" s="970"/>
      <c r="BM64" s="970"/>
      <c r="BN64" s="970"/>
      <c r="BO64" s="970"/>
      <c r="BP64" s="970"/>
      <c r="BQ64" s="970"/>
      <c r="BR64" s="970"/>
      <c r="BS64" s="970"/>
      <c r="BT64" s="970"/>
      <c r="BU64" s="970"/>
      <c r="BV64" s="970"/>
      <c r="BW64" s="970"/>
      <c r="BX64" s="970"/>
      <c r="BY64" s="970"/>
      <c r="BZ64" s="970"/>
      <c r="CA64" s="970"/>
      <c r="CB64" s="970"/>
      <c r="CC64" s="970"/>
      <c r="CD64" s="970"/>
      <c r="CE64" s="970"/>
      <c r="CF64" s="970"/>
      <c r="CG64" s="970"/>
      <c r="CH64" s="970"/>
      <c r="CI64" s="970"/>
      <c r="CJ64" s="970"/>
      <c r="CK64" s="970"/>
      <c r="CL64" s="970"/>
      <c r="CM64" s="970"/>
      <c r="CN64" s="970"/>
      <c r="CO64" s="970"/>
      <c r="CP64" s="970"/>
      <c r="CQ64" s="970"/>
      <c r="CR64" s="970"/>
      <c r="CS64" s="970"/>
      <c r="CT64" s="970"/>
      <c r="CU64" s="970"/>
      <c r="CV64" s="970"/>
      <c r="CW64" s="970"/>
      <c r="CX64" s="970"/>
      <c r="CY64" s="970"/>
      <c r="CZ64" s="970"/>
      <c r="DA64" s="970"/>
      <c r="DB64" s="970"/>
      <c r="DC64" s="970"/>
      <c r="DD64" s="970"/>
      <c r="DE64" s="970"/>
      <c r="DF64" s="970"/>
      <c r="DG64" s="970"/>
      <c r="DH64" s="970"/>
      <c r="DI64" s="970"/>
      <c r="DJ64" s="970"/>
      <c r="DK64" s="970"/>
      <c r="DL64" s="970"/>
      <c r="DM64" s="970"/>
      <c r="DN64" s="970"/>
      <c r="DO64" s="970"/>
      <c r="DP64" s="970"/>
      <c r="DQ64" s="970"/>
      <c r="DR64" s="970"/>
      <c r="DS64" s="970"/>
      <c r="DT64" s="970"/>
      <c r="DU64" s="970"/>
      <c r="DV64" s="970"/>
      <c r="DW64" s="970"/>
      <c r="DX64" s="970"/>
      <c r="DY64" s="970"/>
      <c r="DZ64" s="970"/>
      <c r="EA64" s="970"/>
      <c r="EB64" s="970"/>
      <c r="EC64" s="970"/>
      <c r="ED64" s="215"/>
      <c r="EE64" s="215"/>
      <c r="EF64" s="215"/>
    </row>
    <row r="65" ht="15.0" hidden="1" customHeight="1" outlineLevel="1">
      <c r="A65" s="60">
        <v>62.0</v>
      </c>
      <c r="B65" s="971" t="s">
        <v>224</v>
      </c>
      <c r="C65" s="972"/>
      <c r="D65" s="294"/>
      <c r="E65" s="866"/>
      <c r="F65" s="294"/>
      <c r="G65" s="294"/>
      <c r="H65" s="973"/>
      <c r="I65" s="974"/>
      <c r="J65" s="974"/>
      <c r="K65" s="866"/>
      <c r="L65" s="975"/>
      <c r="M65" s="866"/>
      <c r="N65" s="293"/>
      <c r="O65" s="974"/>
      <c r="P65" s="976"/>
      <c r="Q65" s="866"/>
      <c r="R65" s="867"/>
      <c r="S65" s="868"/>
      <c r="T65" s="866"/>
      <c r="U65" s="867"/>
      <c r="V65" s="868"/>
      <c r="W65" s="866"/>
      <c r="X65" s="867"/>
      <c r="Y65" s="868"/>
      <c r="Z65" s="977"/>
      <c r="AA65" s="867"/>
      <c r="AB65" s="303"/>
      <c r="AC65" s="977"/>
      <c r="AD65" s="867"/>
      <c r="AE65" s="978"/>
      <c r="AF65" s="977"/>
      <c r="AG65" s="867"/>
      <c r="AH65" s="978"/>
      <c r="AI65" s="977"/>
      <c r="AJ65" s="867"/>
      <c r="AK65" s="978"/>
      <c r="AL65" s="977"/>
      <c r="AM65" s="867"/>
      <c r="AN65" s="978"/>
      <c r="AO65" s="875"/>
      <c r="AP65" s="875"/>
      <c r="AQ65" s="875"/>
      <c r="AR65" s="875"/>
      <c r="AS65" s="875"/>
      <c r="AT65" s="875"/>
      <c r="AU65" s="875"/>
      <c r="AV65" s="875"/>
      <c r="AW65" s="875"/>
      <c r="AX65" s="875"/>
      <c r="AY65" s="875"/>
      <c r="AZ65" s="875"/>
      <c r="BA65" s="875"/>
      <c r="BB65" s="875"/>
      <c r="BC65" s="875"/>
      <c r="BD65" s="875"/>
      <c r="BE65" s="875"/>
      <c r="BF65" s="875"/>
      <c r="BG65" s="875"/>
      <c r="BH65" s="875"/>
      <c r="BI65" s="875"/>
      <c r="BJ65" s="875"/>
      <c r="BK65" s="875"/>
      <c r="BL65" s="875"/>
      <c r="BM65" s="875"/>
      <c r="BN65" s="875"/>
      <c r="BO65" s="875"/>
      <c r="BP65" s="875"/>
      <c r="BQ65" s="875"/>
      <c r="BR65" s="875"/>
      <c r="BS65" s="875"/>
      <c r="BT65" s="875"/>
      <c r="BU65" s="875"/>
      <c r="BV65" s="875"/>
      <c r="BW65" s="875"/>
      <c r="BX65" s="875"/>
      <c r="BY65" s="875"/>
      <c r="BZ65" s="875"/>
      <c r="CA65" s="875"/>
      <c r="CB65" s="875"/>
      <c r="CC65" s="875"/>
      <c r="CD65" s="875"/>
      <c r="CE65" s="875"/>
      <c r="CF65" s="875"/>
      <c r="CG65" s="875"/>
      <c r="CH65" s="875"/>
      <c r="CI65" s="875"/>
      <c r="CJ65" s="875"/>
      <c r="CK65" s="875"/>
      <c r="CL65" s="875"/>
      <c r="CM65" s="875"/>
      <c r="CN65" s="875"/>
      <c r="CO65" s="875"/>
      <c r="CP65" s="875"/>
      <c r="CQ65" s="875"/>
      <c r="CR65" s="875"/>
      <c r="CS65" s="875"/>
      <c r="CT65" s="875"/>
      <c r="CU65" s="875"/>
      <c r="CV65" s="875"/>
      <c r="CW65" s="875"/>
      <c r="CX65" s="875"/>
      <c r="CY65" s="875"/>
      <c r="CZ65" s="875"/>
      <c r="DA65" s="875"/>
      <c r="DB65" s="875"/>
      <c r="DC65" s="875"/>
      <c r="DD65" s="875"/>
      <c r="DE65" s="875"/>
      <c r="DF65" s="875"/>
      <c r="DG65" s="875"/>
      <c r="DH65" s="875"/>
      <c r="DI65" s="875"/>
      <c r="DJ65" s="875"/>
      <c r="DK65" s="875"/>
      <c r="DL65" s="875"/>
      <c r="DM65" s="875"/>
      <c r="DN65" s="875"/>
      <c r="DO65" s="875"/>
      <c r="DP65" s="875"/>
      <c r="DQ65" s="875"/>
      <c r="DR65" s="875"/>
      <c r="DS65" s="875"/>
      <c r="DT65" s="875"/>
      <c r="DU65" s="875"/>
      <c r="DV65" s="875"/>
      <c r="DW65" s="875"/>
      <c r="DX65" s="875"/>
      <c r="DY65" s="875"/>
      <c r="DZ65" s="875"/>
      <c r="EA65" s="875"/>
      <c r="EB65" s="875"/>
      <c r="EC65" s="875"/>
      <c r="ED65" s="186"/>
      <c r="EE65" s="186"/>
      <c r="EF65" s="186"/>
    </row>
    <row r="66" ht="15.0" hidden="1" customHeight="1" outlineLevel="1">
      <c r="A66" s="60">
        <v>92.0</v>
      </c>
      <c r="B66" s="979" t="s">
        <v>284</v>
      </c>
      <c r="C66" s="980"/>
      <c r="D66" s="496"/>
      <c r="E66" s="981"/>
      <c r="F66" s="496"/>
      <c r="G66" s="496"/>
      <c r="H66" s="495"/>
      <c r="I66" s="494"/>
      <c r="J66" s="494"/>
      <c r="K66" s="981"/>
      <c r="L66" s="982"/>
      <c r="M66" s="981"/>
      <c r="N66" s="495"/>
      <c r="O66" s="494"/>
      <c r="P66" s="983"/>
      <c r="Q66" s="981"/>
      <c r="R66" s="984"/>
      <c r="S66" s="985"/>
      <c r="T66" s="981"/>
      <c r="U66" s="984"/>
      <c r="V66" s="985"/>
      <c r="W66" s="981"/>
      <c r="X66" s="984"/>
      <c r="Y66" s="985"/>
      <c r="Z66" s="986"/>
      <c r="AA66" s="984"/>
      <c r="AB66" s="987"/>
      <c r="AC66" s="986"/>
      <c r="AD66" s="984"/>
      <c r="AE66" s="988"/>
      <c r="AF66" s="986"/>
      <c r="AG66" s="984"/>
      <c r="AH66" s="988"/>
      <c r="AI66" s="986"/>
      <c r="AJ66" s="984"/>
      <c r="AK66" s="988"/>
      <c r="AL66" s="986"/>
      <c r="AM66" s="984"/>
      <c r="AN66" s="988"/>
      <c r="AO66" s="989"/>
      <c r="AP66" s="989"/>
      <c r="AQ66" s="989"/>
      <c r="AR66" s="989"/>
      <c r="AS66" s="989"/>
      <c r="AT66" s="989"/>
      <c r="AU66" s="989"/>
      <c r="AV66" s="989"/>
      <c r="AW66" s="989"/>
      <c r="AX66" s="989"/>
      <c r="AY66" s="989"/>
      <c r="AZ66" s="989"/>
      <c r="BA66" s="989"/>
      <c r="BB66" s="989"/>
      <c r="BC66" s="989"/>
      <c r="BD66" s="989"/>
      <c r="BE66" s="989"/>
      <c r="BF66" s="989"/>
      <c r="BG66" s="989"/>
      <c r="BH66" s="989"/>
      <c r="BI66" s="989"/>
      <c r="BJ66" s="989"/>
      <c r="BK66" s="989"/>
      <c r="BL66" s="989"/>
      <c r="BM66" s="989"/>
      <c r="BN66" s="989"/>
      <c r="BO66" s="989"/>
      <c r="BP66" s="989"/>
      <c r="BQ66" s="989"/>
      <c r="BR66" s="989"/>
      <c r="BS66" s="989"/>
      <c r="BT66" s="989"/>
      <c r="BU66" s="989"/>
      <c r="BV66" s="989"/>
      <c r="BW66" s="989"/>
      <c r="BX66" s="989"/>
      <c r="BY66" s="989"/>
      <c r="BZ66" s="989"/>
      <c r="CA66" s="989"/>
      <c r="CB66" s="989"/>
      <c r="CC66" s="989"/>
      <c r="CD66" s="989"/>
      <c r="CE66" s="989"/>
      <c r="CF66" s="989"/>
      <c r="CG66" s="989"/>
      <c r="CH66" s="989"/>
      <c r="CI66" s="989"/>
      <c r="CJ66" s="989"/>
      <c r="CK66" s="989"/>
      <c r="CL66" s="989"/>
      <c r="CM66" s="989"/>
      <c r="CN66" s="989"/>
      <c r="CO66" s="989"/>
      <c r="CP66" s="989"/>
      <c r="CQ66" s="989"/>
      <c r="CR66" s="989"/>
      <c r="CS66" s="989"/>
      <c r="CT66" s="989"/>
      <c r="CU66" s="989"/>
      <c r="CV66" s="989"/>
      <c r="CW66" s="989"/>
      <c r="CX66" s="989"/>
      <c r="CY66" s="989"/>
      <c r="CZ66" s="989"/>
      <c r="DA66" s="989"/>
      <c r="DB66" s="989"/>
      <c r="DC66" s="989"/>
      <c r="DD66" s="989"/>
      <c r="DE66" s="989"/>
      <c r="DF66" s="989"/>
      <c r="DG66" s="989"/>
      <c r="DH66" s="989"/>
      <c r="DI66" s="989"/>
      <c r="DJ66" s="989"/>
      <c r="DK66" s="989"/>
      <c r="DL66" s="989"/>
      <c r="DM66" s="989"/>
      <c r="DN66" s="989"/>
      <c r="DO66" s="989"/>
      <c r="DP66" s="989"/>
      <c r="DQ66" s="989"/>
      <c r="DR66" s="989"/>
      <c r="DS66" s="989"/>
      <c r="DT66" s="989"/>
      <c r="DU66" s="989"/>
      <c r="DV66" s="989"/>
      <c r="DW66" s="989"/>
      <c r="DX66" s="989"/>
      <c r="DY66" s="989"/>
      <c r="DZ66" s="989"/>
      <c r="EA66" s="989"/>
      <c r="EB66" s="989"/>
      <c r="EC66" s="989"/>
      <c r="ED66" s="186"/>
      <c r="EE66" s="186"/>
      <c r="EF66" s="186"/>
    </row>
    <row r="67" ht="15.0" hidden="1" customHeight="1" outlineLevel="1">
      <c r="A67" s="60">
        <v>33.0</v>
      </c>
      <c r="B67" s="960" t="s">
        <v>166</v>
      </c>
      <c r="C67" s="961"/>
      <c r="D67" s="162"/>
      <c r="E67" s="962"/>
      <c r="F67" s="162"/>
      <c r="G67" s="162"/>
      <c r="H67" s="161"/>
      <c r="I67" s="160"/>
      <c r="J67" s="160"/>
      <c r="K67" s="962"/>
      <c r="L67" s="963"/>
      <c r="M67" s="962"/>
      <c r="N67" s="161"/>
      <c r="O67" s="160"/>
      <c r="P67" s="990"/>
      <c r="Q67" s="962"/>
      <c r="R67" s="966"/>
      <c r="S67" s="967"/>
      <c r="T67" s="962"/>
      <c r="U67" s="966"/>
      <c r="V67" s="967"/>
      <c r="W67" s="968"/>
      <c r="X67" s="966"/>
      <c r="Y67" s="967"/>
      <c r="Z67" s="968"/>
      <c r="AA67" s="966"/>
      <c r="AB67" s="171"/>
      <c r="AC67" s="968"/>
      <c r="AD67" s="966"/>
      <c r="AE67" s="969"/>
      <c r="AF67" s="968"/>
      <c r="AG67" s="966"/>
      <c r="AH67" s="969"/>
      <c r="AI67" s="968"/>
      <c r="AJ67" s="966"/>
      <c r="AK67" s="969"/>
      <c r="AL67" s="968"/>
      <c r="AM67" s="966"/>
      <c r="AN67" s="969"/>
      <c r="AO67" s="970"/>
      <c r="AP67" s="970"/>
      <c r="AQ67" s="970"/>
      <c r="AR67" s="970"/>
      <c r="AS67" s="970"/>
      <c r="AT67" s="970"/>
      <c r="AU67" s="970"/>
      <c r="AV67" s="970"/>
      <c r="AW67" s="970"/>
      <c r="AX67" s="970"/>
      <c r="AY67" s="970"/>
      <c r="AZ67" s="970"/>
      <c r="BA67" s="970"/>
      <c r="BB67" s="970"/>
      <c r="BC67" s="970"/>
      <c r="BD67" s="970"/>
      <c r="BE67" s="970"/>
      <c r="BF67" s="970"/>
      <c r="BG67" s="970"/>
      <c r="BH67" s="970"/>
      <c r="BI67" s="970"/>
      <c r="BJ67" s="970"/>
      <c r="BK67" s="970"/>
      <c r="BL67" s="970"/>
      <c r="BM67" s="970"/>
      <c r="BN67" s="970"/>
      <c r="BO67" s="970"/>
      <c r="BP67" s="970"/>
      <c r="BQ67" s="970"/>
      <c r="BR67" s="970"/>
      <c r="BS67" s="970"/>
      <c r="BT67" s="970"/>
      <c r="BU67" s="970"/>
      <c r="BV67" s="970"/>
      <c r="BW67" s="970"/>
      <c r="BX67" s="970"/>
      <c r="BY67" s="970"/>
      <c r="BZ67" s="970"/>
      <c r="CA67" s="970"/>
      <c r="CB67" s="970"/>
      <c r="CC67" s="970"/>
      <c r="CD67" s="970"/>
      <c r="CE67" s="970"/>
      <c r="CF67" s="970"/>
      <c r="CG67" s="970"/>
      <c r="CH67" s="970"/>
      <c r="CI67" s="970"/>
      <c r="CJ67" s="970"/>
      <c r="CK67" s="970"/>
      <c r="CL67" s="970"/>
      <c r="CM67" s="970"/>
      <c r="CN67" s="970"/>
      <c r="CO67" s="970"/>
      <c r="CP67" s="970"/>
      <c r="CQ67" s="970"/>
      <c r="CR67" s="970"/>
      <c r="CS67" s="970"/>
      <c r="CT67" s="970"/>
      <c r="CU67" s="970"/>
      <c r="CV67" s="970"/>
      <c r="CW67" s="970"/>
      <c r="CX67" s="970"/>
      <c r="CY67" s="970"/>
      <c r="CZ67" s="970"/>
      <c r="DA67" s="970"/>
      <c r="DB67" s="970"/>
      <c r="DC67" s="970"/>
      <c r="DD67" s="970"/>
      <c r="DE67" s="970"/>
      <c r="DF67" s="970"/>
      <c r="DG67" s="970"/>
      <c r="DH67" s="970"/>
      <c r="DI67" s="970"/>
      <c r="DJ67" s="970"/>
      <c r="DK67" s="970"/>
      <c r="DL67" s="970"/>
      <c r="DM67" s="970"/>
      <c r="DN67" s="970"/>
      <c r="DO67" s="970"/>
      <c r="DP67" s="970"/>
      <c r="DQ67" s="970"/>
      <c r="DR67" s="970"/>
      <c r="DS67" s="970"/>
      <c r="DT67" s="970"/>
      <c r="DU67" s="970"/>
      <c r="DV67" s="970"/>
      <c r="DW67" s="970"/>
      <c r="DX67" s="970"/>
      <c r="DY67" s="970"/>
      <c r="DZ67" s="970"/>
      <c r="EA67" s="970"/>
      <c r="EB67" s="970"/>
      <c r="EC67" s="970"/>
      <c r="ED67" s="186"/>
      <c r="EE67" s="186"/>
      <c r="EF67" s="186"/>
    </row>
    <row r="68" ht="15.0" hidden="1" customHeight="1" outlineLevel="1">
      <c r="A68" s="60">
        <v>44.0</v>
      </c>
      <c r="B68" s="809" t="s">
        <v>189</v>
      </c>
      <c r="C68" s="810"/>
      <c r="D68" s="191"/>
      <c r="E68" s="813"/>
      <c r="F68" s="191"/>
      <c r="G68" s="191"/>
      <c r="H68" s="190"/>
      <c r="I68" s="189"/>
      <c r="J68" s="189"/>
      <c r="K68" s="813"/>
      <c r="L68" s="812"/>
      <c r="M68" s="813"/>
      <c r="N68" s="991"/>
      <c r="O68" s="992"/>
      <c r="P68" s="260"/>
      <c r="Q68" s="813"/>
      <c r="R68" s="876"/>
      <c r="S68" s="877"/>
      <c r="T68" s="813"/>
      <c r="U68" s="876"/>
      <c r="V68" s="877"/>
      <c r="W68" s="813"/>
      <c r="X68" s="876"/>
      <c r="Y68" s="877"/>
      <c r="Z68" s="878"/>
      <c r="AA68" s="876"/>
      <c r="AB68" s="200"/>
      <c r="AC68" s="878"/>
      <c r="AD68" s="876"/>
      <c r="AE68" s="959"/>
      <c r="AF68" s="878"/>
      <c r="AG68" s="876"/>
      <c r="AH68" s="959"/>
      <c r="AI68" s="878"/>
      <c r="AJ68" s="876"/>
      <c r="AK68" s="959"/>
      <c r="AL68" s="878"/>
      <c r="AM68" s="876"/>
      <c r="AN68" s="959"/>
      <c r="AO68" s="880"/>
      <c r="AP68" s="880"/>
      <c r="AQ68" s="880"/>
      <c r="AR68" s="880"/>
      <c r="AS68" s="880"/>
      <c r="AT68" s="880"/>
      <c r="AU68" s="880"/>
      <c r="AV68" s="880"/>
      <c r="AW68" s="880"/>
      <c r="AX68" s="880"/>
      <c r="AY68" s="880"/>
      <c r="AZ68" s="880"/>
      <c r="BA68" s="880"/>
      <c r="BB68" s="880"/>
      <c r="BC68" s="880"/>
      <c r="BD68" s="880"/>
      <c r="BE68" s="880"/>
      <c r="BF68" s="880"/>
      <c r="BG68" s="880"/>
      <c r="BH68" s="880"/>
      <c r="BI68" s="880"/>
      <c r="BJ68" s="880"/>
      <c r="BK68" s="880"/>
      <c r="BL68" s="880"/>
      <c r="BM68" s="880"/>
      <c r="BN68" s="880"/>
      <c r="BO68" s="880"/>
      <c r="BP68" s="880"/>
      <c r="BQ68" s="880"/>
      <c r="BR68" s="880"/>
      <c r="BS68" s="880"/>
      <c r="BT68" s="880"/>
      <c r="BU68" s="880"/>
      <c r="BV68" s="880"/>
      <c r="BW68" s="880"/>
      <c r="BX68" s="880"/>
      <c r="BY68" s="880"/>
      <c r="BZ68" s="880"/>
      <c r="CA68" s="880"/>
      <c r="CB68" s="880"/>
      <c r="CC68" s="880"/>
      <c r="CD68" s="880"/>
      <c r="CE68" s="880"/>
      <c r="CF68" s="880"/>
      <c r="CG68" s="880"/>
      <c r="CH68" s="880"/>
      <c r="CI68" s="880"/>
      <c r="CJ68" s="880"/>
      <c r="CK68" s="880"/>
      <c r="CL68" s="880"/>
      <c r="CM68" s="880"/>
      <c r="CN68" s="880"/>
      <c r="CO68" s="880"/>
      <c r="CP68" s="880"/>
      <c r="CQ68" s="880"/>
      <c r="CR68" s="880"/>
      <c r="CS68" s="880"/>
      <c r="CT68" s="880"/>
      <c r="CU68" s="880"/>
      <c r="CV68" s="880"/>
      <c r="CW68" s="880"/>
      <c r="CX68" s="880"/>
      <c r="CY68" s="880"/>
      <c r="CZ68" s="880"/>
      <c r="DA68" s="880"/>
      <c r="DB68" s="880"/>
      <c r="DC68" s="880"/>
      <c r="DD68" s="880"/>
      <c r="DE68" s="880"/>
      <c r="DF68" s="880"/>
      <c r="DG68" s="880"/>
      <c r="DH68" s="880"/>
      <c r="DI68" s="880"/>
      <c r="DJ68" s="880"/>
      <c r="DK68" s="880"/>
      <c r="DL68" s="880"/>
      <c r="DM68" s="880"/>
      <c r="DN68" s="880"/>
      <c r="DO68" s="880"/>
      <c r="DP68" s="880"/>
      <c r="DQ68" s="880"/>
      <c r="DR68" s="880"/>
      <c r="DS68" s="880"/>
      <c r="DT68" s="880"/>
      <c r="DU68" s="880"/>
      <c r="DV68" s="880"/>
      <c r="DW68" s="880"/>
      <c r="DX68" s="880"/>
      <c r="DY68" s="880"/>
      <c r="DZ68" s="880"/>
      <c r="EA68" s="880"/>
      <c r="EB68" s="880"/>
      <c r="EC68" s="880"/>
      <c r="ED68" s="186"/>
      <c r="EE68" s="186"/>
      <c r="EF68" s="186"/>
    </row>
    <row r="69" ht="498.0" customHeight="1" outlineLevel="1">
      <c r="A69" s="569"/>
      <c r="B69" s="570"/>
      <c r="C69" s="570"/>
      <c r="D69" s="570"/>
      <c r="E69" s="571"/>
      <c r="F69" s="571"/>
      <c r="G69" s="571"/>
      <c r="H69" s="571"/>
      <c r="I69" s="68"/>
      <c r="J69" s="68"/>
      <c r="K69" s="68"/>
      <c r="L69" s="572"/>
      <c r="M69" s="68"/>
      <c r="N69" s="573"/>
      <c r="O69" s="573"/>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row>
    <row r="70" ht="52.5" customHeight="1" outlineLevel="1">
      <c r="A70" s="59"/>
      <c r="B70" s="59"/>
      <c r="C70" s="59"/>
      <c r="D70" s="574"/>
      <c r="E70" s="575"/>
      <c r="F70" s="575"/>
      <c r="G70" s="575"/>
      <c r="H70" s="575"/>
      <c r="I70" s="59"/>
      <c r="J70" s="59"/>
      <c r="K70" s="59"/>
      <c r="L70" s="59"/>
      <c r="M70" s="59"/>
      <c r="N70" s="59"/>
      <c r="O70" s="59"/>
      <c r="P70" s="59"/>
      <c r="R70" s="993"/>
      <c r="S70" s="576"/>
      <c r="T70" s="59"/>
      <c r="U70" s="993"/>
      <c r="V70" s="576"/>
      <c r="W70" s="576"/>
      <c r="X70" s="576"/>
      <c r="Y70" s="576"/>
      <c r="Z70" s="576"/>
      <c r="AA70" s="576"/>
      <c r="AB70" s="576"/>
      <c r="AC70" s="576"/>
      <c r="AD70" s="576"/>
      <c r="AE70" s="576"/>
      <c r="AF70" s="576"/>
      <c r="AG70" s="576"/>
      <c r="AH70" s="576"/>
      <c r="AI70" s="576"/>
      <c r="AJ70" s="576"/>
      <c r="AK70" s="576"/>
      <c r="AL70" s="576"/>
      <c r="AM70" s="576"/>
      <c r="AN70" s="576"/>
      <c r="AO70" s="576"/>
      <c r="AP70" s="576"/>
      <c r="AQ70" s="576"/>
      <c r="AR70" s="576"/>
      <c r="AS70" s="576"/>
      <c r="AT70" s="576"/>
      <c r="AU70" s="576"/>
      <c r="AV70" s="576"/>
      <c r="AW70" s="576"/>
      <c r="AX70" s="576"/>
      <c r="AY70" s="576"/>
      <c r="AZ70" s="576"/>
      <c r="BA70" s="576"/>
      <c r="BB70" s="576"/>
      <c r="BC70" s="576"/>
      <c r="BD70" s="576"/>
      <c r="BE70" s="576"/>
      <c r="BF70" s="576"/>
      <c r="BG70" s="576"/>
      <c r="BH70" s="576"/>
      <c r="BI70" s="576"/>
      <c r="BJ70" s="576"/>
      <c r="BK70" s="576"/>
      <c r="BL70" s="576"/>
      <c r="BM70" s="576"/>
      <c r="BN70" s="576"/>
      <c r="BO70" s="576"/>
      <c r="BP70" s="576"/>
      <c r="BQ70" s="576"/>
      <c r="BR70" s="576"/>
      <c r="BS70" s="576"/>
      <c r="BT70" s="576"/>
      <c r="BU70" s="576"/>
      <c r="BV70" s="576"/>
      <c r="BW70" s="576"/>
      <c r="BX70" s="576"/>
      <c r="BY70" s="576"/>
      <c r="BZ70" s="576"/>
      <c r="CA70" s="576"/>
      <c r="CB70" s="576"/>
      <c r="CC70" s="576"/>
      <c r="CD70" s="576"/>
      <c r="CE70" s="576"/>
      <c r="CF70" s="576"/>
      <c r="CG70" s="576"/>
      <c r="CH70" s="576"/>
      <c r="CI70" s="576"/>
      <c r="CJ70" s="576"/>
      <c r="CK70" s="576"/>
      <c r="CL70" s="576"/>
      <c r="CM70" s="576"/>
      <c r="CN70" s="576"/>
      <c r="CO70" s="576"/>
      <c r="CP70" s="576"/>
      <c r="CQ70" s="576"/>
      <c r="CR70" s="576"/>
      <c r="CS70" s="576"/>
      <c r="CT70" s="576"/>
      <c r="CU70" s="576"/>
      <c r="CV70" s="576"/>
      <c r="CW70" s="576"/>
      <c r="CX70" s="576"/>
      <c r="CY70" s="576"/>
      <c r="CZ70" s="576"/>
      <c r="DA70" s="576"/>
      <c r="DB70" s="576"/>
      <c r="DC70" s="576"/>
      <c r="DD70" s="576"/>
      <c r="DE70" s="576"/>
      <c r="DF70" s="576"/>
      <c r="DG70" s="576"/>
      <c r="DH70" s="576"/>
      <c r="DI70" s="576"/>
      <c r="DJ70" s="576"/>
      <c r="DK70" s="576"/>
      <c r="DL70" s="576"/>
      <c r="DM70" s="576"/>
      <c r="DN70" s="576"/>
      <c r="DO70" s="576"/>
      <c r="DP70" s="576"/>
      <c r="DQ70" s="576"/>
      <c r="DR70" s="576"/>
      <c r="DS70" s="576"/>
      <c r="DT70" s="576"/>
      <c r="DU70" s="576"/>
      <c r="DV70" s="576"/>
      <c r="DW70" s="576"/>
      <c r="DX70" s="576"/>
      <c r="DY70" s="576"/>
      <c r="DZ70" s="576"/>
      <c r="EA70" s="576"/>
      <c r="EB70" s="576"/>
      <c r="EC70" s="576"/>
      <c r="ED70" s="577"/>
      <c r="EE70" s="577"/>
      <c r="EF70" s="577"/>
    </row>
  </sheetData>
  <autoFilter ref="$A$3:$EF$68">
    <filterColumn colId="3">
      <filters>
        <filter val="C12A"/>
        <filter val="DATA"/>
        <filter val="COL5"/>
        <filter val="ADMN"/>
        <filter val="COL4"/>
        <filter val="COL3"/>
        <filter val="COL2"/>
        <filter val="C345"/>
        <filter val="COL1"/>
      </filters>
    </filterColumn>
    <sortState ref="A3:EF68">
      <sortCondition ref="DO3:DO68"/>
      <sortCondition descending="1" ref="M3:M68"/>
    </sortState>
  </autoFilter>
  <mergeCells count="3">
    <mergeCell ref="E1:AI1"/>
    <mergeCell ref="AM1:AN1"/>
    <mergeCell ref="Q2:BC2"/>
  </mergeCells>
  <conditionalFormatting sqref="S3:S20 V3:V36 Y3:Y20 Z3:Z42 AA3:AA4 AB3:AB40 AC3:AC68 AD3:AD4 AE3:AE40 AF3:AF68 AG3:AG4 AH3:AH39 AI3:AJ68 AK3:AK39 AL3:AM68 AN3:AN40 AO3:AP68 AQ3:AQ40 AR3:AS68 AT3:AT40 AU3:AV68 AW3:AW40 AX3:AY68 AZ3:AZ40 BA3:BB68 BC3:BC40 BD3:BE68 BF3:DP40 DQ3:DQ68 DR3:DS40 DT3:EC68 ED3:EF70 AA6:AA14 AD6:AD20 AG6:AG24 T9 AA17 AA19:AA20 S22:S26 Y22:Y36 AA22:AA24 AD22:AD44 AA26 AG26:AG68 S28:S36 AA28 W29:X29 AA30 X31 AA32:AA38 V40 AA41:AA42 V43 AB43 AN43 AQ43 AT43 AW43 AZ43 BC43 BF43:CV43 CW43:CW45 CX43 CY43:DP45 DR43:DS45 Z44:Z51 AA44 AH44:AH45 M45:O45 S45 AB45 AE45 AK45 AN45 AQ45 AT45 AW45 AZ45 BC45 BF45:CV45 CX45 AA46:AA48 AD46:AD57 BC47 BF47:CL47 CM47:DP68 DR47:DS68 S49:S57 V49:V57 Y49:Y70 AB49:AB63 AE49:AE68 AH49:AH68 AK49:AK68 AN49:AN68 AQ49:AQ68 AT49:AT68 AW49:AW68 AZ49:AZ68 BC49:BC68 BF49:CL68 AA50 Z53:Z63 AA53 AA55:AA57 V59:V70 AD59:AD68 S60:S70 AA60:AA62 Z70:EC70">
    <cfRule type="cellIs" dxfId="0" priority="1" operator="greaterThanOrEqual">
      <formula>"70%"</formula>
    </cfRule>
  </conditionalFormatting>
  <conditionalFormatting sqref="Y3:Y20 Z3:Z42 AA3:AA4 AB3:AB40 AC3:AC68 AD3:AD4 AE3:AE40 AF3:AF68 AG3:AG4 AH3:AH39 AI3:AJ68 AK3:AK39 AL3:AM68 AN3:AN40 AO3:AP68 AQ3:AQ40 AR3:AS68 AT3:AT40 AU3:AV68 AW3:AW40 AX3:AY68 AZ3:AZ40 BA3:BB68 BC3:BC40 BD3:BE68 BF3:DP40 DQ3:DQ68 DR3:DS40 DT3:EC68 S5:S20 V5:V36 AA6:AA14 AD6:AD20 AG6:AG24 ED8:EF8 T9 AA17 AA19:AA20 S22:S26 Y22:Y36 AA22:AA24 AD22:AD44 AA26 AG26:AG68 S28:S36 AA28 W29:X29 AA30 X31 ED31:EF31 AA32:AA38 V40 AA41:AA42 V43 AB43 AN43 AQ43 AT43 AW43 AZ43 BC43 BF43:CV43 CW43:CW45 CX43 CY43:DP45 DR43:DS45 ED43:EF43 Z44:Z51 AA44 AH44:AH45 M45:O45 S45 AB45 AE45 AK45 AN45 AQ45 AT45 AW45 AZ45 BC45 BF45:CV45 CX45 AA46:AA48 AD46:AD57 BC47 BF47:CL47 CM47:DP68 DR47:DS68 S49:S57 V49:V57 Y49:Y70 AB49:AB63 AE49:AE68 AH49:AH68 AK49:AK68 AN49:AN68 AQ49:AQ68 AT49:AT68 AW49:AW68 AZ49:AZ68 BC49:BC68 BF49:CL68 AA50 Z53:Z63 AA53 AA55:AA57 V59:V68 AD59:AD68 S60:S68 AA60:AA62 Z70:EC70">
    <cfRule type="cellIs" dxfId="1" priority="2" operator="between">
      <formula>"49%"</formula>
      <formula>"69%"</formula>
    </cfRule>
  </conditionalFormatting>
  <conditionalFormatting sqref="V3:V36 Y3:Y20 Z3:Z42 AA3:AA4 AB3:AB40 AC3:AC68 AD3:AD4 AE3:AE40 AF3:AF68 AG3:AG4 AH3:AH39 AI3:AJ68 AK3:AK39 AL3:AM68 AN3:AN40 AO3:AP68 AQ3:AQ40 AR3:AS68 AT3:AT40 AU3:AV68 AW3:AW40 AX3:AY68 AZ3:AZ40 BA3:BB68 BC3:BC40 BD3:BE68 BF3:DP40 DQ3:DQ68 DR3:DS40 DT3:EC68 AA6:AA14 AD6:AD20 AG6:AG24 ED8:EF8 T9 AA17 AA19:AA20 Y22:Y36 AA22:AA24 AD22:AD44 AA26 AG26:AG68 AA28 W29:X29 AA30 X31 ED31:EF31 AA32:AA38 V40 AA41:AA42 V43 AB43 AN43 AQ43 AT43 AW43 AZ43 BC43 BF43:CV43 CW43:CW45 CX43 CY43:DP45 DR43:DS45 ED43:EF43 Z44:Z51 AA44 AH44:AH45 M45:O45 AB45 AE45 AK45 AN45 AQ45 AT45 AW45 AZ45 BC45 BF45:CV45 CX45 AA46:AA48 AD46:AD57 BC47 BF47:CL47 CM47:DP68 DR47:DS68 V49:V57 Y49:Y70 AB49:AB63 AE49:AE68 AH49:AH68 AK49:AK68 AN49:AN68 AQ49:AQ68 AT49:AT68 AW49:AW68 AZ49:AZ68 BC49:BC68 BF49:CL68 AA50 Z53:Z63 AA53 AA55:AA57 V59:V70 AD59:AD68 AA60:AA62 Z70:EC70">
    <cfRule type="cellIs" dxfId="2" priority="3" operator="between">
      <formula>"1%"</formula>
      <formula>"50%"</formula>
    </cfRule>
  </conditionalFormatting>
  <conditionalFormatting sqref="S3:S20 V3:V36 Y3:Y20 Z3:Z42 AA3:AA4 AB3:AB40 AC3:AC42 AD3:AD4 AE3:AE40 AF3:AF42 AG3:AG4 AH3:AH39 AI3:AJ42 AK3:AK39 AL3:AM42 AN3:AN40 AO3:AP42 AQ3:AQ40 AR3:AS63 AT3:AT40 AU3:AV63 AW3:AW40 AX3:AY63 AZ3:AZ40 BA3:BB63 BC3:BC40 BD3:BE63 BF3:DP40 DQ3:DQ63 DR3:DS40 DT3:EC63 ED3:EF70 AA6:AA14 AD6:AD20 AG6:AG24 T9 AA17 AA19:AA20 S22:S26 Y22:Y36 AA22:AA24 AD22:AD42 AA26 AG26:AG42 S28:S36 AA28 W29:X29 AA30 X31 AA32:AA38 V40 AA41:AA42 V43 AB43 AN43 AQ43 AT43 AW43 AZ43 BC43 BF43:CV43 CW43:CW45 CX43 CY43:DP45 DR43:DS45 Z44:Z51 AA44 AC44:AC63 AD44 AF44:AG63 AH44:AH45 AI44:AJ63 AL44:AM63 AO44:AP63 M45:O45 S45 AB45 AE45 AK45 AN45 AQ45 AT45 AW45 AZ45 BC45 BF45:CV45 CX45 AA46:AA48 AD46:AD57 BC47 BF47:CL47 CM47:DP63 DR47:DS63 S49:S57 V49:V57 Y49:Y70 AB49:AB63 AE49:AE63 AH49:AH63 AK49:AK63 AN49:AN63 AQ49:AQ63 AT49:AT63 AW49:AW63 AZ49:AZ63 BC49:BC63 BF49:CL63 AA50 Z53:Z63 AA53 AA55:AA57 V59:V70 AD59:AD63 S60:S70 AA60:AA62 Z70:EC70">
    <cfRule type="cellIs" dxfId="2" priority="4" operator="between">
      <formula>"1%"</formula>
      <formula>"50%"</formula>
    </cfRule>
  </conditionalFormatting>
  <conditionalFormatting sqref="S3:S20 V3:V36 Y3:Y20 Z3:Z42 AA3:AA4 AB3:AB40 AC3:AC42 AD3:AD4 AE3:AE40 AF3:AF42 AG3:AG4 AH3:AH39 AI3:AJ42 AK3:AK39 AL3:AM42 AN3:AN40 AO3:AP42 AQ3:AQ40 AR3:AS63 AT3:AT40 AU3:AV63 AW3:AW40 AX3:AY63 AZ3:AZ40 BA3:BB63 BC3:BC40 BD3:BE63 BF3:DP40 DQ3:DQ63 DR3:DS40 DT3:EC63 ED3:EF70 AA6:AA14 AD6:AD20 AG6:AG24 T9 AA17 AA19:AA20 S22:S26 Y22:Y36 AA22:AA24 AD22:AD42 AA26 AG26:AG42 S28:S36 AA28 W29:X29 AA30 X31 AA32:AA38 V40 AA41:AA42 V43 AB43 AN43 AQ43 AT43 AW43 AZ43 BC43 BF43:CV43 CW43:CW45 CX43 CY43:DP45 DR43:DS45 Z44:Z51 AA44 AC44:AC63 AD44 AF44:AG63 AH44:AH45 AI44:AJ63 AL44:AM63 AO44:AP63 M45:O45 S45 AB45 AE45 AK45 AN45 AQ45 AT45 AW45 AZ45 BC45 BF45:CV45 CX45 AA46:AA48 AD46:AD57 BC47 BF47:CL47 CM47:DP63 DR47:DS63 S49:S57 V49:V57 Y49:Y70 AB49:AB63 AE49:AE63 AH49:AH63 AK49:AK63 AN49:AN63 AQ49:AQ63 AT49:AT63 AW49:AW63 AZ49:AZ63 BC49:BC63 BF49:CL63 AA50 Z53:Z63 AA53 AA55:AA57 V59:V70 AD59:AD63 S60:S70 AA60:AA62 Z70:EC70">
    <cfRule type="cellIs" dxfId="1" priority="5" operator="between">
      <formula>"49%"</formula>
      <formula>"69%"</formula>
    </cfRule>
  </conditionalFormatting>
  <conditionalFormatting sqref="I3:M3">
    <cfRule type="cellIs" dxfId="3" priority="6" operator="equal">
      <formula>"VERSION"</formula>
    </cfRule>
  </conditionalFormatting>
  <conditionalFormatting sqref="M4:M69 N37:O44 N46:N48 O46:O52">
    <cfRule type="expression" dxfId="1" priority="7">
      <formula>IFERROR(ARRAYFORMULA(VALUE(MID(K4,2,10))) &gt; VALUE(MID(M4,2,10)), FALSE)</formula>
    </cfRule>
  </conditionalFormatting>
  <conditionalFormatting sqref="I3:K70 L3 M3:M69 L5:L70 N37:O44 N46:N48 O46:O52">
    <cfRule type="beginsWith" dxfId="4" priority="8" operator="beginsWith" text="V">
      <formula>LEFT((I3),LEN("V"))=("V")</formula>
    </cfRule>
  </conditionalFormatting>
  <conditionalFormatting sqref="X3:X9 AA3 AD3 AG3 AJ3 AM3 AP3 AS3 AO4 AA6:AA10 AD6:AD8 AG6:AG8 AJ6:AJ8 AM6:AM8 AP6:AP8 AS8 AV8 AY8:AY10 BB8:BB10 BE8:BE10 X12:X15 AA12:AA15 AD12:AD15 AG12:AG15 AJ12:AJ15 AM12:AM15 AP12:AP15 AS12:AS15 AV12:AV15 AY12:AY15 BB12:BB15 BE12:BE15 X17:X25 Z17 AA17:AA21 AC17:AD17 AF17:AG17 AI17:AJ17 AL17:AM17 AO17:AP17 AR17:AS17 AU17:AV17 AX17:AY17 BA17:BB17 BD17:BE17 AD19:AD20 AG19:AG20 AJ19:AJ20 AM19:AM20 AP19:AP20 AS19:AS20 AV19:AV20 AY19:AY20 BB19:BB20 BE19:BE20 AC21 AF21 AI21 AL21 AO21 AR21 AU21 AX21 BA21 BD21 AA25 AF25 AI25 AL25 AO25 AR25 AU25 AX25 BA25 BD25 X27 X30:X38 AR30 AU30 AX30 BA30 BD30 AA37 AD37 AG37 AJ37 AM37 AP37 AS37 AV37 AY37 BB37 BE37 X40:X42 AD43 AG43 AJ43 AM43 AP43 AS43 AV43 AY43 BB43 BE43 BH43 BK43 BN43 BQ43 BT43 BW43 BZ43 CC43 CF43 CI43 CL43 CO43 CR43 CU43 CX43 DA43 DD43 DG43 DJ43 DM43 DP43 DS43 DV43 DY43 EB43 X44:X48 DA45 DD45 DG45 DJ45 DM45 DP45 DS45 DV45 DY45 EB45 AA47 X50:X57 AC52:AD52 AF52:AG52 AI52:AJ52 AL52:AM52 X60:X62 AA60:AA62 AD60:AD62 AG60:AG62 AJ60:AJ62 AM60:AM62 AC64:AD68 AF64:AG68 AI64:AJ68 AL64:AM68 X65:X70">
    <cfRule type="timePeriod" dxfId="12" priority="9" timePeriod="today"/>
  </conditionalFormatting>
  <conditionalFormatting sqref="P3:P70">
    <cfRule type="cellIs" dxfId="5" priority="10" operator="equal">
      <formula>"YASMIN"</formula>
    </cfRule>
  </conditionalFormatting>
  <conditionalFormatting sqref="P3:P70">
    <cfRule type="cellIs" dxfId="6" priority="11" operator="equal">
      <formula>"LETÍCIA"</formula>
    </cfRule>
  </conditionalFormatting>
  <conditionalFormatting sqref="P2:P70">
    <cfRule type="cellIs" dxfId="7" priority="12" operator="equal">
      <formula>"CICI"</formula>
    </cfRule>
  </conditionalFormatting>
  <conditionalFormatting sqref="P2:P70">
    <cfRule type="cellIs" dxfId="1" priority="13" operator="equal">
      <formula>"AIRTON"</formula>
    </cfRule>
  </conditionalFormatting>
  <conditionalFormatting sqref="P2:P70">
    <cfRule type="cellIs" dxfId="8" priority="14" operator="equal">
      <formula>"GUILHERME"</formula>
    </cfRule>
  </conditionalFormatting>
  <conditionalFormatting sqref="P51:P52">
    <cfRule type="cellIs" dxfId="9" priority="15" operator="equal">
      <formula>"JOÃO"</formula>
    </cfRule>
  </conditionalFormatting>
  <conditionalFormatting sqref="M4">
    <cfRule type="notContainsBlanks" dxfId="10" priority="16">
      <formula>LEN(TRIM(M4))&gt;0</formula>
    </cfRule>
  </conditionalFormatting>
  <dataValidations>
    <dataValidation type="list" allowBlank="1" showDropDown="1" showErrorMessage="1" sqref="D4:D31 D36:D52 D69">
      <formula1>"DATA,SITE,GUAR,C345,C12A,PUMP,UTLS,ADMN,COL1,COL2,COL3,COL4,COL5,STIR"</formula1>
    </dataValidation>
    <dataValidation type="list" allowBlank="1" showDropDown="1" showErrorMessage="1" sqref="Q4:Q6 T4:T6 W4:W6 AZ11:AZ18 BC11:BC18 BF11:BF18 BI11:BI18 BL11:BL18 BO11:BO18 BR11:BR18 BU11:BU18 BX11:BX18 CA11:CA18 CD11:CD18 CG11:CG18 CJ11:CJ18 CM11:CM18 CP11:CP18 CS11:CS18 CV11:CV18 CY11:CY18 DB11:DB18 DE11:DE18 DH11:DH18 DK11:DK18 DN11:DN18 DQ11:DQ18 DT11:DT18 DW11:DW18 DZ11:DZ18 EC11:EC18 S11:T20 V11:W20 Y11:Z20 AB11:AB20 AE11:AE20 AH11:AH20 AK11:AK20 AN11:AN20 AQ11:AQ20 AT11:AT20 AW11:AW20 AZ20 BC20 BF20 BI20 BL20 BO20 BR20 BU20 BX20 CA20 CD20 CG20 CJ20 CM20 CP20 CS20 CV20 CY20 W21 S22:T23 V22:W23 AC22:AC26 T24:T27 W24:W27 Z21:Z27 S28:T28 V28:W28 Y28:Z28 AC29 Q11:Q31 T29:T31 W29:W31 Z29:Z31 AC31 T36:T42 W36:W42 Z36:Z42 AC36:AC42 Y43:Z43 AB43 AE43 AH43 AK43 AN43 S43:T44 V43:W44 T45:T46 W45:W46 AC45:AC46 S47:T48 V47:W48 T49 W49 Z44:Z49 AC49 S50:T50 V50:W50 Y50:Z50 AB50 AE50 AH50 AK50 AN50 AQ50 AT50 AW50 AZ50 BC50 BF50 BI50 BL50 BO50 BR50 BU50 BX50 CA50 Q36:Q52 T51:T52 W51:W52 Z51:Z52">
      <formula1>"APPROVED,REPROVED,N/A,ANALYSING,NOT FOUND,NOT PUBLISHED,NEXT ROUND,OUTDATED MODEL"</formula1>
    </dataValidation>
    <dataValidation type="list" allowBlank="1" showDropDown="1" showErrorMessage="1" sqref="AX19 AZ19:BA19 BC19:BD19 BF19:BG19 BI19:BJ19 BL19:BM19 BO19:BP19 BR19:BS19 BU19 AX51:AX52 AZ51:AZ52 BD51:BD52 BF51:BF52">
      <formula1>"APPROVED,REPROVED,N/A,IN ANALYSIS,NOT FOUND,TO BE AUDITED,OUTDATED MODEL,IMPROPER"</formula1>
    </dataValidation>
    <dataValidation type="list" allowBlank="1" showErrorMessage="1" sqref="O4:O31 O36:O52">
      <formula1>"R22,R24,AWAITING APPROVAL,N/A,NOT PUBLISHED"</formula1>
    </dataValidation>
    <dataValidation type="list" allowBlank="1" showDropDown="1" showErrorMessage="1" sqref="AX11:AX18 BA11:BA18 BD11:BD18 BG11:BG18 BJ11:BJ18 BM11:BM18 BP11:BP18 BS11:BS18 BV11:BV18 BY11:BY18 CB11:CB18 CE11:CE18 CH11:CH18 CK11:CK18 CN11:CN18 CQ11:CQ18 CT11:CT18 CW11:CW18 CZ11:CZ18 DC11:DC18 DF11:DF18 DI11:DI18 DL11:DL18 DO11:DO18 DR11:DR18 DU11:DU18 DX11:DX18 EA11:EA18 AF11:AF20 AI11:AI20 AL11:AL20 AR11:AR20 AU11:AU20 AX20 BA20 BD20 BG20 BJ20 BM20 BP20 BS20 BV20 BY20 CB20 CE20 CH20 CK20 CN20 CQ20 CT20 CW20 T21 V21 AC11:AC21 AE21:AF21 AH21:AI21 AK21:AL21 AO11:AO21 AQ21:AR21 AT21:AU21 AE27:AF27 AH27:AI27 AC27:AC28 AF28 AI28 AK28:AL28 AN28:AO28 AQ28:AR28 AC30 AE30:AF30 AI30 AK30:AL30 AF43 AI43 AL43 AO43 AR43 AU43 AW43:AX43 AZ43:BA43 BD43 AC43:AC44 AF47 AC47:AC48 AE48:AF48 AH47:AI48 AK47:AL48 V49 AF50 AI50 AL50 AO50 AR50 AU50 AX50 BD50 BM50 BP50 BS50 BV50 BY50 CB50 CE50 CG50:CH50 CK50 V51:V52 AC50:AC52 AE51:AF52 AH51:AI52 AK51:AL52 AN51:AO52 AQ51:AR52 AT51:AU52 AW51:AW52 BA50:BA52 BC51:BC52 BG50:BG52 BJ50:BJ52 BL51:BL52">
      <formula1>"APPROVED,REPROVED,N/A,ANALYSING,NOT PUBLISHED,OUTDATED MODEL,NEXT ROUND"</formula1>
    </dataValidation>
    <dataValidation type="list" allowBlank="1" showDropDown="1" showErrorMessage="1" sqref="Z4:AB4 Q7:Q10 T7:T10 W7:W10 Z6:AB10 Q69 T69 W69 Z69:EC69">
      <formula1>"APPROVED,REPROVED,N/A"</formula1>
    </dataValidation>
    <dataValidation type="list" allowBlank="1" showDropDown="1" showErrorMessage="1" sqref="AF22:AF26 AI22:AI26 AL22:AL27 AO22:AO27 AR22:AR27 AF29 AI29 AL29 AF31 AI31 AL31 AO29:AO31 AR29:AR31 AU22:AU31 AX21:AX31 BA21:BA31 BD21:BD31 BG21:BG31 BJ21:BJ31 BM21:BM31 BP21:BP31 BS21:BS31 BV21:BV31 BY21:BY31 CB21:CB31 CE21:CE31 CH21:CH31 CK21:CK31 CN21:CN31 CQ21:CQ31 CT21:CT31 CW21:CW31 CZ21:CZ31 DC21:DC31 DF21:DF31 DI21:DI31 DL21:DL31 DO21:DO31 DR21:DR31 DU21:DU31 DX21:DX31 EA21:EA31 AF36:AF42 AI36:AI42 AL36:AL42 AO36:AO42 AR36:AR42 AU36:AU42 AX36:AX42 BA36:BA42 BD36:BD42 AF44:AF46 AI44:AI46 AL44:AL46 AF49 AI49 AL49 AO44:AO49 AR44:AR49 AU44:AU49 AX44:AX49 BA44:BA49 BD44:BD49 BG36:BG49 BJ36:BJ49 BM36:BM49 BP36:BP49 BS36:BS49 BV36:BV49 BY36:BY49 CB36:CB49 CE36:CE49 CH36:CH49 CK36:CK49 CN36:CN50 CQ36:CQ51 CT36:CT51 CW36:CW51 CZ36:CZ51 DC36:DC51 DF36:DF51 DI36:DI52 DL36:DL52 DO36:DO52 DR36:DR52 DU36:DU52 DX36:DX52 EA36:EA52">
      <formula1>"APPROVED,REPROVED,N/A,IN ANALYSIS,NOT FOUND,NOT PUBLISHED,TO BE AUDITED,PREVIOUSLY APPROVED"</formula1>
    </dataValidation>
    <dataValidation type="list" allowBlank="1" showDropDown="1" showErrorMessage="1" sqref="BV19 BX19:BY19 CB19 CD19:CE19 CH19 CJ19:CK19 CM19:CN19 CP19:CQ19 CS19:CT19 CV19:CW19 CY19:CZ19 DB19:DC19 DE19:DF19 DH19:DI19 DK19:DL19 DT19:DU19 DI20 DL20 DN19:DO20 DQ19:DR20 DU20 DW19:DX20 DZ19:EA20 EC19:EC20 BY51 CD51:CE51 CH51 BM51:BM52 BO51:BP52 BR51:BS52 BU51:BV52 BX52:BY52 CA51:CB52 CE52 CG52:CH52 CK51:CK52 CM51:CN52 CP52:CQ52 CS52:CT52 CV52:CW52 CY52:CZ52 DB52:DC52 DE52:DF52">
      <formula1>"APPROVED,REPROVED,N/A,ANALYSING,NOT PUBLISHED,OUTDATED MODEL,NEXT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Row="1"/>
  <cols>
    <col customWidth="1" min="1" max="1" width="5.88"/>
    <col customWidth="1" min="2" max="3" width="33.88"/>
    <col customWidth="1" min="4" max="4" width="10.88"/>
    <col customWidth="1" min="5" max="5" width="19.75"/>
    <col customWidth="1" hidden="1" min="6" max="6" width="10.75"/>
    <col customWidth="1" min="7" max="7" width="18.63"/>
    <col customWidth="1" hidden="1" min="8" max="8" width="9.38"/>
    <col customWidth="1" min="9" max="11" width="20.38"/>
    <col customWidth="1" min="12" max="12" width="18.75"/>
    <col customWidth="1" min="13" max="13" width="15.25"/>
    <col customWidth="1" min="14" max="15" width="15.38"/>
    <col customWidth="1" hidden="1" min="16" max="16" width="22.13"/>
    <col customWidth="1" hidden="1" min="17" max="17" width="17.13"/>
    <col customWidth="1" hidden="1" min="18" max="18" width="17.0"/>
    <col customWidth="1" hidden="1" min="19" max="19" width="16.38"/>
    <col customWidth="1" hidden="1" min="20" max="20" width="17.63"/>
    <col customWidth="1" hidden="1" min="21" max="22" width="16.38"/>
    <col customWidth="1" hidden="1" min="23" max="23" width="17.38"/>
    <col customWidth="1" hidden="1" min="24" max="24" width="21.88"/>
    <col customWidth="1" hidden="1" min="25" max="121" width="16.75"/>
    <col customWidth="1" min="122" max="133" width="16.75"/>
    <col customWidth="1" min="134" max="134" width="153.13"/>
    <col customWidth="1" min="135" max="135" width="16.25"/>
    <col customWidth="1" min="136" max="136" width="51.75"/>
  </cols>
  <sheetData>
    <row r="1" ht="111.0" customHeight="1">
      <c r="A1" s="1"/>
      <c r="B1" s="677"/>
      <c r="C1" s="678"/>
      <c r="D1" s="680" t="s">
        <v>514</v>
      </c>
      <c r="E1" s="681"/>
      <c r="F1" s="681"/>
      <c r="G1" s="681"/>
      <c r="H1" s="681"/>
      <c r="I1" s="681"/>
      <c r="J1" s="681"/>
      <c r="K1" s="681"/>
      <c r="L1" s="681"/>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c r="AL1" s="681"/>
      <c r="AM1" s="682"/>
      <c r="AN1" s="681"/>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row>
    <row r="2">
      <c r="A2" s="9"/>
      <c r="B2" s="683"/>
      <c r="C2" s="684"/>
      <c r="D2" s="684"/>
      <c r="E2" s="684"/>
      <c r="F2" s="685"/>
      <c r="G2" s="684"/>
      <c r="H2" s="685"/>
      <c r="I2" s="686"/>
      <c r="J2" s="686"/>
      <c r="K2" s="686"/>
      <c r="L2" s="684"/>
      <c r="M2" s="687"/>
      <c r="N2" s="684"/>
      <c r="O2" s="684"/>
      <c r="P2" s="688" t="s">
        <v>2</v>
      </c>
      <c r="Q2" s="994" t="s">
        <v>4</v>
      </c>
      <c r="R2" s="690"/>
      <c r="S2" s="690"/>
      <c r="T2" s="690"/>
      <c r="U2" s="690"/>
      <c r="V2" s="690"/>
      <c r="W2" s="690"/>
      <c r="X2" s="690"/>
      <c r="Y2" s="690"/>
      <c r="Z2" s="690"/>
      <c r="AA2" s="690"/>
      <c r="AB2" s="690"/>
      <c r="AC2" s="690"/>
      <c r="AD2" s="690"/>
      <c r="AE2" s="690"/>
      <c r="AF2" s="690"/>
      <c r="AG2" s="690"/>
      <c r="AH2" s="690"/>
      <c r="AI2" s="690"/>
      <c r="AJ2" s="690"/>
      <c r="AK2" s="690"/>
      <c r="AL2" s="690"/>
      <c r="AM2" s="690"/>
      <c r="AN2" s="690"/>
      <c r="AO2" s="690"/>
      <c r="AP2" s="690"/>
      <c r="AQ2" s="690"/>
      <c r="AR2" s="690"/>
      <c r="AS2" s="690"/>
      <c r="AT2" s="691"/>
      <c r="AU2" s="995"/>
      <c r="AV2" s="995"/>
      <c r="AW2" s="995"/>
      <c r="AX2" s="995"/>
      <c r="AY2" s="995"/>
      <c r="AZ2" s="995"/>
      <c r="BA2" s="995"/>
      <c r="BB2" s="995"/>
      <c r="BC2" s="995"/>
      <c r="BD2" s="995"/>
      <c r="BE2" s="995"/>
      <c r="BF2" s="995"/>
      <c r="BG2" s="995"/>
      <c r="BH2" s="995"/>
      <c r="BI2" s="995"/>
      <c r="BJ2" s="995"/>
      <c r="BK2" s="995"/>
      <c r="BL2" s="995"/>
      <c r="BM2" s="995"/>
      <c r="BN2" s="995"/>
      <c r="BO2" s="995"/>
      <c r="BP2" s="995"/>
      <c r="BQ2" s="995"/>
      <c r="BR2" s="995"/>
      <c r="BS2" s="995"/>
      <c r="BT2" s="995"/>
      <c r="BU2" s="995"/>
      <c r="BV2" s="995"/>
      <c r="BW2" s="995"/>
      <c r="BX2" s="995"/>
      <c r="BY2" s="995"/>
      <c r="BZ2" s="995"/>
      <c r="CA2" s="995"/>
      <c r="CB2" s="995"/>
      <c r="CC2" s="995"/>
      <c r="CD2" s="995"/>
      <c r="CE2" s="995"/>
      <c r="CF2" s="995"/>
      <c r="CG2" s="995"/>
      <c r="CH2" s="995"/>
      <c r="CI2" s="995"/>
      <c r="CJ2" s="995"/>
      <c r="CK2" s="995"/>
      <c r="CL2" s="995"/>
      <c r="CM2" s="995"/>
      <c r="CN2" s="996"/>
      <c r="CO2" s="996"/>
      <c r="CP2" s="996"/>
      <c r="CQ2" s="996"/>
      <c r="CR2" s="996"/>
      <c r="CS2" s="996"/>
      <c r="CT2" s="996"/>
      <c r="CU2" s="996"/>
      <c r="CV2" s="996"/>
      <c r="CW2" s="996"/>
      <c r="CX2" s="996"/>
      <c r="CY2" s="996"/>
      <c r="CZ2" s="996"/>
      <c r="DA2" s="996"/>
      <c r="DB2" s="996"/>
      <c r="DC2" s="996"/>
      <c r="DD2" s="996"/>
      <c r="DE2" s="996"/>
      <c r="DF2" s="996"/>
      <c r="DG2" s="996"/>
      <c r="DH2" s="996"/>
      <c r="DI2" s="996"/>
      <c r="DJ2" s="996"/>
      <c r="DK2" s="996"/>
      <c r="DL2" s="996"/>
      <c r="DM2" s="996"/>
      <c r="DN2" s="996"/>
      <c r="DO2" s="996"/>
      <c r="DP2" s="996"/>
      <c r="DQ2" s="996"/>
      <c r="DR2" s="996"/>
      <c r="DS2" s="996"/>
      <c r="DT2" s="996"/>
      <c r="DU2" s="996"/>
      <c r="DV2" s="996"/>
      <c r="DW2" s="996"/>
      <c r="DX2" s="996"/>
      <c r="DY2" s="996"/>
      <c r="DZ2" s="996"/>
      <c r="EA2" s="996"/>
      <c r="EB2" s="996"/>
      <c r="EC2" s="996"/>
      <c r="ED2" s="8"/>
      <c r="EE2" s="8"/>
      <c r="EF2" s="8"/>
    </row>
    <row r="3">
      <c r="A3" s="19"/>
      <c r="B3" s="694" t="s">
        <v>9</v>
      </c>
      <c r="C3" s="695" t="s">
        <v>10</v>
      </c>
      <c r="D3" s="696" t="s">
        <v>11</v>
      </c>
      <c r="E3" s="697" t="s">
        <v>12</v>
      </c>
      <c r="F3" s="698" t="s">
        <v>13</v>
      </c>
      <c r="G3" s="697" t="s">
        <v>14</v>
      </c>
      <c r="H3" s="699" t="s">
        <v>13</v>
      </c>
      <c r="I3" s="700" t="s">
        <v>338</v>
      </c>
      <c r="J3" s="700" t="s">
        <v>16</v>
      </c>
      <c r="K3" s="701" t="s">
        <v>339</v>
      </c>
      <c r="L3" s="701" t="s">
        <v>18</v>
      </c>
      <c r="M3" s="702" t="s">
        <v>340</v>
      </c>
      <c r="N3" s="703" t="s">
        <v>341</v>
      </c>
      <c r="O3" s="997" t="s">
        <v>515</v>
      </c>
      <c r="P3" s="705" t="s">
        <v>28</v>
      </c>
      <c r="Q3" s="998" t="s">
        <v>516</v>
      </c>
      <c r="R3" s="999" t="s">
        <v>517</v>
      </c>
      <c r="S3" s="1000" t="s">
        <v>29</v>
      </c>
      <c r="T3" s="1001" t="s">
        <v>518</v>
      </c>
      <c r="U3" s="1002" t="s">
        <v>519</v>
      </c>
      <c r="V3" s="1003" t="s">
        <v>30</v>
      </c>
      <c r="W3" s="1004" t="s">
        <v>520</v>
      </c>
      <c r="X3" s="1005" t="s">
        <v>521</v>
      </c>
      <c r="Y3" s="1006" t="s">
        <v>31</v>
      </c>
      <c r="Z3" s="1007" t="s">
        <v>522</v>
      </c>
      <c r="AA3" s="1008" t="s">
        <v>523</v>
      </c>
      <c r="AB3" s="1009" t="s">
        <v>32</v>
      </c>
      <c r="AC3" s="1010" t="s">
        <v>524</v>
      </c>
      <c r="AD3" s="1011" t="s">
        <v>525</v>
      </c>
      <c r="AE3" s="1012" t="s">
        <v>33</v>
      </c>
      <c r="AF3" s="1013" t="s">
        <v>526</v>
      </c>
      <c r="AG3" s="1014" t="s">
        <v>527</v>
      </c>
      <c r="AH3" s="1015" t="s">
        <v>34</v>
      </c>
      <c r="AI3" s="1016" t="s">
        <v>528</v>
      </c>
      <c r="AJ3" s="728" t="s">
        <v>529</v>
      </c>
      <c r="AK3" s="1017" t="s">
        <v>35</v>
      </c>
      <c r="AL3" s="1016" t="s">
        <v>530</v>
      </c>
      <c r="AM3" s="728" t="s">
        <v>531</v>
      </c>
      <c r="AN3" s="1017" t="s">
        <v>36</v>
      </c>
      <c r="AO3" s="1016" t="s">
        <v>532</v>
      </c>
      <c r="AP3" s="728" t="s">
        <v>533</v>
      </c>
      <c r="AQ3" s="1017" t="s">
        <v>37</v>
      </c>
      <c r="AR3" s="1016" t="s">
        <v>534</v>
      </c>
      <c r="AS3" s="728" t="s">
        <v>535</v>
      </c>
      <c r="AT3" s="1017" t="s">
        <v>38</v>
      </c>
      <c r="AU3" s="1016" t="s">
        <v>536</v>
      </c>
      <c r="AV3" s="728" t="s">
        <v>537</v>
      </c>
      <c r="AW3" s="1017" t="s">
        <v>39</v>
      </c>
      <c r="AX3" s="1016" t="s">
        <v>538</v>
      </c>
      <c r="AY3" s="728" t="s">
        <v>539</v>
      </c>
      <c r="AZ3" s="1017" t="s">
        <v>40</v>
      </c>
      <c r="BA3" s="1018" t="s">
        <v>540</v>
      </c>
      <c r="BB3" s="1019" t="s">
        <v>541</v>
      </c>
      <c r="BC3" s="1020" t="s">
        <v>41</v>
      </c>
      <c r="BD3" s="1018" t="s">
        <v>542</v>
      </c>
      <c r="BE3" s="1019" t="s">
        <v>543</v>
      </c>
      <c r="BF3" s="1020" t="s">
        <v>42</v>
      </c>
      <c r="BG3" s="1018" t="s">
        <v>544</v>
      </c>
      <c r="BH3" s="1019" t="s">
        <v>545</v>
      </c>
      <c r="BI3" s="1020" t="s">
        <v>43</v>
      </c>
      <c r="BJ3" s="1018" t="s">
        <v>546</v>
      </c>
      <c r="BK3" s="1019" t="s">
        <v>547</v>
      </c>
      <c r="BL3" s="1020" t="s">
        <v>44</v>
      </c>
      <c r="BM3" s="1018" t="s">
        <v>548</v>
      </c>
      <c r="BN3" s="1019" t="s">
        <v>549</v>
      </c>
      <c r="BO3" s="1020" t="s">
        <v>45</v>
      </c>
      <c r="BP3" s="1018" t="s">
        <v>550</v>
      </c>
      <c r="BQ3" s="1019" t="s">
        <v>551</v>
      </c>
      <c r="BR3" s="1020" t="s">
        <v>46</v>
      </c>
      <c r="BS3" s="1018" t="s">
        <v>552</v>
      </c>
      <c r="BT3" s="1019" t="s">
        <v>553</v>
      </c>
      <c r="BU3" s="1020" t="s">
        <v>47</v>
      </c>
      <c r="BV3" s="1018" t="s">
        <v>554</v>
      </c>
      <c r="BW3" s="1019" t="s">
        <v>555</v>
      </c>
      <c r="BX3" s="1020" t="s">
        <v>48</v>
      </c>
      <c r="BY3" s="1018" t="s">
        <v>556</v>
      </c>
      <c r="BZ3" s="1019" t="s">
        <v>557</v>
      </c>
      <c r="CA3" s="1020" t="s">
        <v>49</v>
      </c>
      <c r="CB3" s="1018" t="s">
        <v>558</v>
      </c>
      <c r="CC3" s="1019" t="s">
        <v>559</v>
      </c>
      <c r="CD3" s="1020" t="s">
        <v>50</v>
      </c>
      <c r="CE3" s="1018" t="s">
        <v>560</v>
      </c>
      <c r="CF3" s="1019" t="s">
        <v>561</v>
      </c>
      <c r="CG3" s="1020" t="s">
        <v>51</v>
      </c>
      <c r="CH3" s="1018" t="s">
        <v>562</v>
      </c>
      <c r="CI3" s="1019" t="s">
        <v>563</v>
      </c>
      <c r="CJ3" s="1020" t="s">
        <v>52</v>
      </c>
      <c r="CK3" s="1018" t="s">
        <v>564</v>
      </c>
      <c r="CL3" s="1019" t="s">
        <v>565</v>
      </c>
      <c r="CM3" s="1020" t="s">
        <v>53</v>
      </c>
      <c r="CN3" s="1018" t="s">
        <v>566</v>
      </c>
      <c r="CO3" s="1019" t="s">
        <v>567</v>
      </c>
      <c r="CP3" s="1020" t="s">
        <v>54</v>
      </c>
      <c r="CQ3" s="1018" t="s">
        <v>568</v>
      </c>
      <c r="CR3" s="1019" t="s">
        <v>569</v>
      </c>
      <c r="CS3" s="1020" t="s">
        <v>55</v>
      </c>
      <c r="CT3" s="1018" t="s">
        <v>570</v>
      </c>
      <c r="CU3" s="1019" t="s">
        <v>571</v>
      </c>
      <c r="CV3" s="1020" t="s">
        <v>56</v>
      </c>
      <c r="CW3" s="1018" t="s">
        <v>572</v>
      </c>
      <c r="CX3" s="1019" t="s">
        <v>573</v>
      </c>
      <c r="CY3" s="1020" t="s">
        <v>57</v>
      </c>
      <c r="CZ3" s="1018" t="s">
        <v>574</v>
      </c>
      <c r="DA3" s="1019" t="s">
        <v>575</v>
      </c>
      <c r="DB3" s="1020" t="s">
        <v>58</v>
      </c>
      <c r="DC3" s="1018" t="s">
        <v>576</v>
      </c>
      <c r="DD3" s="1019" t="s">
        <v>577</v>
      </c>
      <c r="DE3" s="1020" t="s">
        <v>59</v>
      </c>
      <c r="DF3" s="1018" t="s">
        <v>578</v>
      </c>
      <c r="DG3" s="1019" t="s">
        <v>579</v>
      </c>
      <c r="DH3" s="1020" t="s">
        <v>60</v>
      </c>
      <c r="DI3" s="1018" t="s">
        <v>580</v>
      </c>
      <c r="DJ3" s="1019" t="s">
        <v>581</v>
      </c>
      <c r="DK3" s="1020" t="s">
        <v>61</v>
      </c>
      <c r="DL3" s="1018" t="s">
        <v>582</v>
      </c>
      <c r="DM3" s="1019" t="s">
        <v>583</v>
      </c>
      <c r="DN3" s="1020" t="s">
        <v>62</v>
      </c>
      <c r="DO3" s="1018" t="s">
        <v>584</v>
      </c>
      <c r="DP3" s="1019" t="s">
        <v>585</v>
      </c>
      <c r="DQ3" s="1020" t="s">
        <v>63</v>
      </c>
      <c r="DR3" s="1018" t="s">
        <v>586</v>
      </c>
      <c r="DS3" s="1019" t="s">
        <v>587</v>
      </c>
      <c r="DT3" s="1020" t="s">
        <v>64</v>
      </c>
      <c r="DU3" s="1018" t="s">
        <v>588</v>
      </c>
      <c r="DV3" s="1019" t="s">
        <v>589</v>
      </c>
      <c r="DW3" s="1020" t="s">
        <v>65</v>
      </c>
      <c r="DX3" s="1018" t="s">
        <v>590</v>
      </c>
      <c r="DY3" s="1019" t="s">
        <v>591</v>
      </c>
      <c r="DZ3" s="1020" t="s">
        <v>66</v>
      </c>
      <c r="EA3" s="1018" t="s">
        <v>592</v>
      </c>
      <c r="EB3" s="1019" t="s">
        <v>593</v>
      </c>
      <c r="EC3" s="1020" t="s">
        <v>67</v>
      </c>
      <c r="ED3" s="59"/>
      <c r="EE3" s="59"/>
      <c r="EF3" s="59"/>
    </row>
    <row r="4" hidden="1">
      <c r="A4" s="60">
        <v>1.0</v>
      </c>
      <c r="B4" s="1021" t="s">
        <v>82</v>
      </c>
      <c r="C4" s="1022"/>
      <c r="D4" s="1023"/>
      <c r="E4" s="1024"/>
      <c r="F4" s="1023"/>
      <c r="G4" s="1023"/>
      <c r="H4" s="63"/>
      <c r="I4" s="63"/>
      <c r="J4" s="63"/>
      <c r="K4" s="1025"/>
      <c r="L4" s="1023"/>
      <c r="M4" s="1025"/>
      <c r="N4" s="1023"/>
      <c r="O4" s="1023"/>
      <c r="P4" s="1026"/>
      <c r="Q4" s="1024"/>
      <c r="R4" s="1023"/>
      <c r="S4" s="1023"/>
      <c r="T4" s="1024"/>
      <c r="U4" s="1023"/>
      <c r="V4" s="1023"/>
      <c r="W4" s="1024"/>
      <c r="X4" s="1023"/>
      <c r="Y4" s="1027"/>
      <c r="Z4" s="66"/>
      <c r="AA4" s="63"/>
      <c r="AB4" s="64"/>
      <c r="AC4" s="63"/>
      <c r="AD4" s="63"/>
      <c r="AE4" s="1028"/>
      <c r="AF4" s="63"/>
      <c r="AG4" s="63"/>
      <c r="AH4" s="63"/>
      <c r="AI4" s="63"/>
      <c r="AJ4" s="63"/>
      <c r="AK4" s="63"/>
      <c r="AL4" s="808"/>
      <c r="AM4" s="797"/>
      <c r="AN4" s="801"/>
      <c r="AO4" s="808"/>
      <c r="AP4" s="797"/>
      <c r="AQ4" s="801"/>
      <c r="AR4" s="808"/>
      <c r="AS4" s="808"/>
      <c r="AT4" s="808"/>
      <c r="AU4" s="808"/>
      <c r="AV4" s="808"/>
      <c r="AW4" s="808"/>
      <c r="AX4" s="808"/>
      <c r="AY4" s="808"/>
      <c r="AZ4" s="808"/>
      <c r="BA4" s="1029"/>
      <c r="BB4" s="1029"/>
      <c r="BC4" s="1029"/>
      <c r="BD4" s="1029"/>
      <c r="BE4" s="1029"/>
      <c r="BF4" s="1029"/>
      <c r="BG4" s="1029"/>
      <c r="BH4" s="1029"/>
      <c r="BI4" s="1029"/>
      <c r="BJ4" s="1029"/>
      <c r="BK4" s="1029"/>
      <c r="BL4" s="1029"/>
      <c r="BM4" s="1029"/>
      <c r="BN4" s="1029"/>
      <c r="BO4" s="1029"/>
      <c r="BP4" s="1029"/>
      <c r="BQ4" s="1029"/>
      <c r="BR4" s="1029"/>
      <c r="BS4" s="1029"/>
      <c r="BT4" s="1029"/>
      <c r="BU4" s="1029"/>
      <c r="BV4" s="1029"/>
      <c r="BW4" s="1029"/>
      <c r="BX4" s="1029"/>
      <c r="BY4" s="1029"/>
      <c r="BZ4" s="1029"/>
      <c r="CA4" s="1029"/>
      <c r="CB4" s="1029"/>
      <c r="CC4" s="1029"/>
      <c r="CD4" s="1029"/>
      <c r="CE4" s="1029"/>
      <c r="CF4" s="1029"/>
      <c r="CG4" s="1029"/>
      <c r="CH4" s="1029"/>
      <c r="CI4" s="1029"/>
      <c r="CJ4" s="1029"/>
      <c r="CK4" s="1029"/>
      <c r="CL4" s="1029"/>
      <c r="CM4" s="1029"/>
      <c r="CN4" s="1029"/>
      <c r="CO4" s="1029"/>
      <c r="CP4" s="1029"/>
      <c r="CQ4" s="1029"/>
      <c r="CR4" s="1029"/>
      <c r="CS4" s="1029"/>
      <c r="CT4" s="1029"/>
      <c r="CU4" s="1029"/>
      <c r="CV4" s="1029"/>
      <c r="CW4" s="1029"/>
      <c r="CX4" s="1029"/>
      <c r="CY4" s="1029"/>
      <c r="CZ4" s="1029"/>
      <c r="DA4" s="1029"/>
      <c r="DB4" s="1029"/>
      <c r="DC4" s="1029"/>
      <c r="DD4" s="1029"/>
      <c r="DE4" s="1029"/>
      <c r="DF4" s="1029"/>
      <c r="DG4" s="1029"/>
      <c r="DH4" s="1029"/>
      <c r="DI4" s="1029"/>
      <c r="DJ4" s="1029"/>
      <c r="DK4" s="1029"/>
      <c r="DL4" s="1029"/>
      <c r="DM4" s="1029"/>
      <c r="DN4" s="1029"/>
      <c r="DO4" s="1029"/>
      <c r="DP4" s="1029"/>
      <c r="DQ4" s="1029"/>
      <c r="DR4" s="1029"/>
      <c r="DS4" s="1029"/>
      <c r="DT4" s="1029"/>
      <c r="DU4" s="1029"/>
      <c r="DV4" s="1029"/>
      <c r="DW4" s="1029"/>
      <c r="DX4" s="1029"/>
      <c r="DY4" s="1029"/>
      <c r="DZ4" s="1029"/>
      <c r="EA4" s="1029"/>
      <c r="EB4" s="1029"/>
      <c r="EC4" s="1029"/>
      <c r="ED4" s="68"/>
      <c r="EE4" s="68"/>
      <c r="EF4" s="68"/>
    </row>
    <row r="5" ht="16.5" customHeight="1" outlineLevel="1">
      <c r="A5" s="60">
        <v>20.0</v>
      </c>
      <c r="B5" s="747" t="s">
        <v>122</v>
      </c>
      <c r="C5" s="747" t="s">
        <v>123</v>
      </c>
      <c r="D5" s="71" t="s">
        <v>85</v>
      </c>
      <c r="E5" s="146" t="s">
        <v>124</v>
      </c>
      <c r="F5" s="72">
        <v>1108.0</v>
      </c>
      <c r="G5" s="147" t="s">
        <v>101</v>
      </c>
      <c r="H5" s="139">
        <v>1108.0</v>
      </c>
      <c r="I5" s="126" t="str">
        <f>IFERROR(VLOOKUP(C2:C144,'R22 RELATÓRIO ACC'!B:F,5,FALSE),"NOT PUBLISHED")</f>
        <v>V4</v>
      </c>
      <c r="J5" s="126" t="str">
        <f>IFERROR(VLOOKUP(C2:C144,'R22 RELATÓRIO ACC'!B:P,15,FALSE),"NOT PUBLISHED")</f>
        <v>10/04/2026</v>
      </c>
      <c r="K5" s="746" t="str">
        <f>IFERROR(VLOOKUP(B2:B144,'RELATÓRIO ACC'!B:F,5,FALSE),"NOT PUBLISHED")</f>
        <v>V2</v>
      </c>
      <c r="L5" s="748" t="str">
        <f>IFERROR(VLOOKUP(B2:B144,'RELATÓRIO ACC'!B:P,15,FALSE),"NOT PUBLISHED")</f>
        <v>04/06/2026</v>
      </c>
      <c r="M5" s="141" t="s">
        <v>462</v>
      </c>
      <c r="N5" s="749" t="s">
        <v>462</v>
      </c>
      <c r="O5" s="740" t="s">
        <v>462</v>
      </c>
      <c r="P5" s="751"/>
      <c r="Q5" s="746" t="s">
        <v>466</v>
      </c>
      <c r="R5" s="74" t="s">
        <v>462</v>
      </c>
      <c r="S5" s="749" t="s">
        <v>466</v>
      </c>
      <c r="T5" s="746" t="s">
        <v>466</v>
      </c>
      <c r="U5" s="74" t="s">
        <v>462</v>
      </c>
      <c r="V5" s="746" t="s">
        <v>466</v>
      </c>
      <c r="W5" s="746" t="s">
        <v>466</v>
      </c>
      <c r="X5" s="74" t="s">
        <v>462</v>
      </c>
      <c r="Y5" s="749" t="s">
        <v>466</v>
      </c>
      <c r="Z5" s="746" t="s">
        <v>466</v>
      </c>
      <c r="AA5" s="74" t="s">
        <v>462</v>
      </c>
      <c r="AB5" s="750" t="s">
        <v>466</v>
      </c>
      <c r="AC5" s="746" t="s">
        <v>466</v>
      </c>
      <c r="AD5" s="74" t="s">
        <v>462</v>
      </c>
      <c r="AE5" s="746" t="s">
        <v>466</v>
      </c>
      <c r="AF5" s="746" t="s">
        <v>466</v>
      </c>
      <c r="AG5" s="74" t="s">
        <v>462</v>
      </c>
      <c r="AH5" s="746" t="s">
        <v>466</v>
      </c>
      <c r="AI5" s="746" t="s">
        <v>466</v>
      </c>
      <c r="AJ5" s="74" t="s">
        <v>462</v>
      </c>
      <c r="AK5" s="746" t="s">
        <v>466</v>
      </c>
      <c r="AL5" s="746" t="s">
        <v>466</v>
      </c>
      <c r="AM5" s="74" t="s">
        <v>462</v>
      </c>
      <c r="AN5" s="746" t="s">
        <v>466</v>
      </c>
      <c r="AO5" s="746" t="s">
        <v>466</v>
      </c>
      <c r="AP5" s="74" t="s">
        <v>462</v>
      </c>
      <c r="AQ5" s="746" t="s">
        <v>466</v>
      </c>
      <c r="AR5" s="746" t="s">
        <v>466</v>
      </c>
      <c r="AS5" s="74" t="s">
        <v>462</v>
      </c>
      <c r="AT5" s="746" t="s">
        <v>466</v>
      </c>
      <c r="AU5" s="746" t="s">
        <v>466</v>
      </c>
      <c r="AV5" s="74" t="s">
        <v>462</v>
      </c>
      <c r="AW5" s="753" t="s">
        <v>466</v>
      </c>
      <c r="AX5" s="746" t="s">
        <v>466</v>
      </c>
      <c r="AY5" s="74" t="s">
        <v>462</v>
      </c>
      <c r="AZ5" s="750" t="s">
        <v>466</v>
      </c>
      <c r="BA5" s="1030" t="s">
        <v>466</v>
      </c>
      <c r="BB5" s="1031" t="s">
        <v>462</v>
      </c>
      <c r="BC5" s="1030" t="s">
        <v>466</v>
      </c>
      <c r="BD5" s="1030" t="s">
        <v>466</v>
      </c>
      <c r="BE5" s="1031" t="s">
        <v>462</v>
      </c>
      <c r="BF5" s="1030" t="s">
        <v>466</v>
      </c>
      <c r="BG5" s="1030" t="s">
        <v>466</v>
      </c>
      <c r="BH5" s="1031" t="s">
        <v>462</v>
      </c>
      <c r="BI5" s="1032" t="s">
        <v>466</v>
      </c>
      <c r="BJ5" s="1032" t="s">
        <v>466</v>
      </c>
      <c r="BK5" s="1031" t="s">
        <v>462</v>
      </c>
      <c r="BL5" s="1032" t="s">
        <v>466</v>
      </c>
      <c r="BM5" s="1032" t="s">
        <v>466</v>
      </c>
      <c r="BN5" s="1031" t="s">
        <v>462</v>
      </c>
      <c r="BO5" s="1032" t="s">
        <v>466</v>
      </c>
      <c r="BP5" s="1032" t="s">
        <v>466</v>
      </c>
      <c r="BQ5" s="1031" t="s">
        <v>462</v>
      </c>
      <c r="BR5" s="1032" t="s">
        <v>466</v>
      </c>
      <c r="BS5" s="1032" t="s">
        <v>466</v>
      </c>
      <c r="BT5" s="1031" t="s">
        <v>462</v>
      </c>
      <c r="BU5" s="1032" t="s">
        <v>466</v>
      </c>
      <c r="BV5" s="1032" t="s">
        <v>466</v>
      </c>
      <c r="BW5" s="1031" t="s">
        <v>462</v>
      </c>
      <c r="BX5" s="1033" t="s">
        <v>466</v>
      </c>
      <c r="BY5" s="1034" t="s">
        <v>462</v>
      </c>
      <c r="BZ5" s="1031" t="s">
        <v>462</v>
      </c>
      <c r="CA5" s="1034" t="s">
        <v>462</v>
      </c>
      <c r="CB5" s="1034" t="s">
        <v>462</v>
      </c>
      <c r="CC5" s="1031" t="s">
        <v>462</v>
      </c>
      <c r="CD5" s="1034" t="s">
        <v>462</v>
      </c>
      <c r="CE5" s="1034" t="s">
        <v>462</v>
      </c>
      <c r="CF5" s="1031" t="s">
        <v>462</v>
      </c>
      <c r="CG5" s="1035" t="s">
        <v>462</v>
      </c>
      <c r="CH5" s="1034" t="s">
        <v>462</v>
      </c>
      <c r="CI5" s="1030" t="s">
        <v>462</v>
      </c>
      <c r="CJ5" s="1035" t="s">
        <v>462</v>
      </c>
      <c r="CK5" s="1034" t="s">
        <v>462</v>
      </c>
      <c r="CL5" s="1030" t="s">
        <v>462</v>
      </c>
      <c r="CM5" s="1035" t="s">
        <v>462</v>
      </c>
      <c r="CN5" s="1036" t="s">
        <v>462</v>
      </c>
      <c r="CO5" s="1030" t="s">
        <v>462</v>
      </c>
      <c r="CP5" s="1036" t="s">
        <v>462</v>
      </c>
      <c r="CQ5" s="1036" t="s">
        <v>462</v>
      </c>
      <c r="CR5" s="1030" t="s">
        <v>462</v>
      </c>
      <c r="CS5" s="1036" t="s">
        <v>462</v>
      </c>
      <c r="CT5" s="1036" t="s">
        <v>462</v>
      </c>
      <c r="CU5" s="1030" t="s">
        <v>462</v>
      </c>
      <c r="CV5" s="1036" t="s">
        <v>462</v>
      </c>
      <c r="CW5" s="1036" t="s">
        <v>462</v>
      </c>
      <c r="CX5" s="1030" t="s">
        <v>462</v>
      </c>
      <c r="CY5" s="1036" t="s">
        <v>462</v>
      </c>
      <c r="CZ5" s="1036" t="s">
        <v>462</v>
      </c>
      <c r="DA5" s="1030" t="s">
        <v>462</v>
      </c>
      <c r="DB5" s="1036" t="s">
        <v>462</v>
      </c>
      <c r="DC5" s="1036" t="s">
        <v>462</v>
      </c>
      <c r="DD5" s="1030" t="s">
        <v>462</v>
      </c>
      <c r="DE5" s="1036" t="s">
        <v>462</v>
      </c>
      <c r="DF5" s="1036" t="s">
        <v>462</v>
      </c>
      <c r="DG5" s="1030" t="s">
        <v>462</v>
      </c>
      <c r="DH5" s="1036" t="s">
        <v>462</v>
      </c>
      <c r="DI5" s="1036" t="s">
        <v>462</v>
      </c>
      <c r="DJ5" s="1030" t="s">
        <v>462</v>
      </c>
      <c r="DK5" s="1036" t="s">
        <v>462</v>
      </c>
      <c r="DL5" s="1036" t="s">
        <v>462</v>
      </c>
      <c r="DM5" s="1030" t="s">
        <v>462</v>
      </c>
      <c r="DN5" s="1036" t="s">
        <v>462</v>
      </c>
      <c r="DO5" s="1032" t="s">
        <v>462</v>
      </c>
      <c r="DP5" s="1032" t="s">
        <v>462</v>
      </c>
      <c r="DQ5" s="1032" t="s">
        <v>462</v>
      </c>
      <c r="DR5" s="1032" t="s">
        <v>462</v>
      </c>
      <c r="DS5" s="1032" t="s">
        <v>462</v>
      </c>
      <c r="DT5" s="1032" t="s">
        <v>462</v>
      </c>
      <c r="DU5" s="1032" t="s">
        <v>462</v>
      </c>
      <c r="DV5" s="1032" t="s">
        <v>462</v>
      </c>
      <c r="DW5" s="1032" t="s">
        <v>462</v>
      </c>
      <c r="DX5" s="1032" t="s">
        <v>462</v>
      </c>
      <c r="DY5" s="1032" t="s">
        <v>462</v>
      </c>
      <c r="DZ5" s="1032" t="s">
        <v>462</v>
      </c>
      <c r="EA5" s="1032" t="s">
        <v>462</v>
      </c>
      <c r="EB5" s="1032" t="s">
        <v>462</v>
      </c>
      <c r="EC5" s="1032" t="s">
        <v>462</v>
      </c>
      <c r="ED5" s="68"/>
      <c r="EE5" s="68"/>
      <c r="EF5" s="68"/>
    </row>
    <row r="6" outlineLevel="1">
      <c r="A6" s="60">
        <v>25.0</v>
      </c>
      <c r="B6" s="747" t="s">
        <v>140</v>
      </c>
      <c r="C6" s="747" t="s">
        <v>141</v>
      </c>
      <c r="D6" s="71" t="s">
        <v>142</v>
      </c>
      <c r="E6" s="146" t="s">
        <v>138</v>
      </c>
      <c r="F6" s="125">
        <v>1101.0</v>
      </c>
      <c r="G6" s="139" t="s">
        <v>139</v>
      </c>
      <c r="H6" s="139">
        <v>1126.0</v>
      </c>
      <c r="I6" s="126" t="str">
        <f>IFERROR(VLOOKUP(C3:C145,'R22 RELATÓRIO ACC'!B:F,5,FALSE),"NOT PUBLISHED")</f>
        <v>V14</v>
      </c>
      <c r="J6" s="126" t="str">
        <f>IFERROR(VLOOKUP(C3:C145,'R22 RELATÓRIO ACC'!B:P,15,FALSE),"NOT PUBLISHED")</f>
        <v>30/01/2026</v>
      </c>
      <c r="K6" s="746" t="str">
        <f>IFERROR(VLOOKUP(B3:B145,'RELATÓRIO ACC'!B:F,5,FALSE),"NOT PUBLISHED")</f>
        <v>V1</v>
      </c>
      <c r="L6" s="748" t="str">
        <f>IFERROR(VLOOKUP(B3:B145,'RELATÓRIO ACC'!B:P,15,FALSE),"NOT PUBLISHED")</f>
        <v>19/05/2026</v>
      </c>
      <c r="M6" s="141" t="s">
        <v>462</v>
      </c>
      <c r="N6" s="749" t="s">
        <v>462</v>
      </c>
      <c r="O6" s="740" t="s">
        <v>462</v>
      </c>
      <c r="P6" s="751"/>
      <c r="Q6" s="746" t="s">
        <v>462</v>
      </c>
      <c r="R6" s="74" t="s">
        <v>462</v>
      </c>
      <c r="S6" s="749" t="s">
        <v>462</v>
      </c>
      <c r="T6" s="746" t="s">
        <v>462</v>
      </c>
      <c r="U6" s="74" t="s">
        <v>462</v>
      </c>
      <c r="V6" s="749" t="s">
        <v>462</v>
      </c>
      <c r="W6" s="746" t="s">
        <v>462</v>
      </c>
      <c r="X6" s="74" t="s">
        <v>462</v>
      </c>
      <c r="Y6" s="749" t="s">
        <v>462</v>
      </c>
      <c r="Z6" s="746" t="s">
        <v>462</v>
      </c>
      <c r="AA6" s="74" t="s">
        <v>462</v>
      </c>
      <c r="AB6" s="753" t="s">
        <v>462</v>
      </c>
      <c r="AC6" s="746" t="s">
        <v>462</v>
      </c>
      <c r="AD6" s="74" t="s">
        <v>462</v>
      </c>
      <c r="AE6" s="1037" t="s">
        <v>462</v>
      </c>
      <c r="AF6" s="746" t="s">
        <v>462</v>
      </c>
      <c r="AG6" s="74" t="s">
        <v>462</v>
      </c>
      <c r="AH6" s="1037" t="s">
        <v>462</v>
      </c>
      <c r="AI6" s="746" t="s">
        <v>462</v>
      </c>
      <c r="AJ6" s="74" t="s">
        <v>462</v>
      </c>
      <c r="AK6" s="1037" t="s">
        <v>462</v>
      </c>
      <c r="AL6" s="746" t="s">
        <v>462</v>
      </c>
      <c r="AM6" s="74" t="s">
        <v>462</v>
      </c>
      <c r="AN6" s="1037" t="s">
        <v>462</v>
      </c>
      <c r="AO6" s="746" t="s">
        <v>462</v>
      </c>
      <c r="AP6" s="74" t="s">
        <v>462</v>
      </c>
      <c r="AQ6" s="1037" t="s">
        <v>462</v>
      </c>
      <c r="AR6" s="746" t="s">
        <v>462</v>
      </c>
      <c r="AS6" s="74" t="s">
        <v>462</v>
      </c>
      <c r="AT6" s="1037" t="s">
        <v>462</v>
      </c>
      <c r="AU6" s="746" t="s">
        <v>462</v>
      </c>
      <c r="AV6" s="74" t="s">
        <v>462</v>
      </c>
      <c r="AW6" s="1037" t="s">
        <v>462</v>
      </c>
      <c r="AX6" s="746" t="s">
        <v>462</v>
      </c>
      <c r="AY6" s="74" t="s">
        <v>462</v>
      </c>
      <c r="AZ6" s="746" t="s">
        <v>462</v>
      </c>
      <c r="BA6" s="1032" t="s">
        <v>462</v>
      </c>
      <c r="BB6" s="1030" t="s">
        <v>462</v>
      </c>
      <c r="BC6" s="1030" t="s">
        <v>462</v>
      </c>
      <c r="BD6" s="1032" t="s">
        <v>462</v>
      </c>
      <c r="BE6" s="1030" t="s">
        <v>462</v>
      </c>
      <c r="BF6" s="1032" t="s">
        <v>462</v>
      </c>
      <c r="BG6" s="1030" t="s">
        <v>462</v>
      </c>
      <c r="BH6" s="1030" t="s">
        <v>462</v>
      </c>
      <c r="BI6" s="1032" t="s">
        <v>462</v>
      </c>
      <c r="BJ6" s="1032" t="s">
        <v>462</v>
      </c>
      <c r="BK6" s="1030" t="s">
        <v>462</v>
      </c>
      <c r="BL6" s="1032" t="s">
        <v>462</v>
      </c>
      <c r="BM6" s="1032" t="s">
        <v>462</v>
      </c>
      <c r="BN6" s="1030" t="s">
        <v>462</v>
      </c>
      <c r="BO6" s="1032" t="s">
        <v>462</v>
      </c>
      <c r="BP6" s="1032" t="s">
        <v>462</v>
      </c>
      <c r="BQ6" s="1030" t="s">
        <v>462</v>
      </c>
      <c r="BR6" s="1032" t="s">
        <v>462</v>
      </c>
      <c r="BS6" s="1032" t="s">
        <v>462</v>
      </c>
      <c r="BT6" s="1030" t="s">
        <v>462</v>
      </c>
      <c r="BU6" s="1032" t="s">
        <v>462</v>
      </c>
      <c r="BV6" s="1032" t="s">
        <v>462</v>
      </c>
      <c r="BW6" s="1030" t="s">
        <v>462</v>
      </c>
      <c r="BX6" s="1032" t="s">
        <v>462</v>
      </c>
      <c r="BY6" s="1032" t="s">
        <v>462</v>
      </c>
      <c r="BZ6" s="1030" t="s">
        <v>462</v>
      </c>
      <c r="CA6" s="1032" t="s">
        <v>462</v>
      </c>
      <c r="CB6" s="1032" t="s">
        <v>462</v>
      </c>
      <c r="CC6" s="1030" t="s">
        <v>462</v>
      </c>
      <c r="CD6" s="1033" t="s">
        <v>462</v>
      </c>
      <c r="CE6" s="1032" t="s">
        <v>462</v>
      </c>
      <c r="CF6" s="1030" t="s">
        <v>462</v>
      </c>
      <c r="CG6" s="1033" t="s">
        <v>462</v>
      </c>
      <c r="CH6" s="1032" t="s">
        <v>462</v>
      </c>
      <c r="CI6" s="1030" t="s">
        <v>462</v>
      </c>
      <c r="CJ6" s="1033" t="s">
        <v>462</v>
      </c>
      <c r="CK6" s="1032" t="s">
        <v>462</v>
      </c>
      <c r="CL6" s="1030" t="s">
        <v>462</v>
      </c>
      <c r="CM6" s="1033" t="s">
        <v>462</v>
      </c>
      <c r="CN6" s="1030" t="s">
        <v>462</v>
      </c>
      <c r="CO6" s="1030" t="s">
        <v>462</v>
      </c>
      <c r="CP6" s="1030" t="s">
        <v>462</v>
      </c>
      <c r="CQ6" s="1030" t="s">
        <v>462</v>
      </c>
      <c r="CR6" s="1030" t="s">
        <v>462</v>
      </c>
      <c r="CS6" s="1030" t="s">
        <v>462</v>
      </c>
      <c r="CT6" s="1030" t="s">
        <v>462</v>
      </c>
      <c r="CU6" s="1030" t="s">
        <v>462</v>
      </c>
      <c r="CV6" s="1030" t="s">
        <v>462</v>
      </c>
      <c r="CW6" s="1030" t="s">
        <v>462</v>
      </c>
      <c r="CX6" s="1030" t="s">
        <v>462</v>
      </c>
      <c r="CY6" s="1030" t="s">
        <v>462</v>
      </c>
      <c r="CZ6" s="1030" t="s">
        <v>462</v>
      </c>
      <c r="DA6" s="1030" t="s">
        <v>462</v>
      </c>
      <c r="DB6" s="1030" t="s">
        <v>462</v>
      </c>
      <c r="DC6" s="1030" t="s">
        <v>462</v>
      </c>
      <c r="DD6" s="1030" t="s">
        <v>462</v>
      </c>
      <c r="DE6" s="1030" t="s">
        <v>462</v>
      </c>
      <c r="DF6" s="1030" t="s">
        <v>462</v>
      </c>
      <c r="DG6" s="1030" t="s">
        <v>462</v>
      </c>
      <c r="DH6" s="1030" t="s">
        <v>462</v>
      </c>
      <c r="DI6" s="1030" t="s">
        <v>462</v>
      </c>
      <c r="DJ6" s="1030" t="s">
        <v>462</v>
      </c>
      <c r="DK6" s="1030" t="s">
        <v>462</v>
      </c>
      <c r="DL6" s="1030" t="s">
        <v>462</v>
      </c>
      <c r="DM6" s="1030" t="s">
        <v>462</v>
      </c>
      <c r="DN6" s="1030" t="s">
        <v>462</v>
      </c>
      <c r="DO6" s="1032" t="s">
        <v>462</v>
      </c>
      <c r="DP6" s="1032" t="s">
        <v>462</v>
      </c>
      <c r="DQ6" s="1032" t="s">
        <v>462</v>
      </c>
      <c r="DR6" s="1032" t="s">
        <v>462</v>
      </c>
      <c r="DS6" s="1032" t="s">
        <v>462</v>
      </c>
      <c r="DT6" s="1032" t="s">
        <v>462</v>
      </c>
      <c r="DU6" s="1032" t="s">
        <v>462</v>
      </c>
      <c r="DV6" s="1032" t="s">
        <v>462</v>
      </c>
      <c r="DW6" s="1032" t="s">
        <v>462</v>
      </c>
      <c r="DX6" s="1032" t="s">
        <v>462</v>
      </c>
      <c r="DY6" s="1032" t="s">
        <v>462</v>
      </c>
      <c r="DZ6" s="1032" t="s">
        <v>462</v>
      </c>
      <c r="EA6" s="1032" t="s">
        <v>462</v>
      </c>
      <c r="EB6" s="1032" t="s">
        <v>462</v>
      </c>
      <c r="EC6" s="1032" t="s">
        <v>462</v>
      </c>
      <c r="ED6" s="111"/>
      <c r="EE6" s="111"/>
      <c r="EF6" s="111"/>
    </row>
    <row r="7" ht="15.0" customHeight="1" outlineLevel="1">
      <c r="A7" s="60">
        <v>32.0</v>
      </c>
      <c r="B7" s="747" t="s">
        <v>160</v>
      </c>
      <c r="C7" s="747" t="s">
        <v>161</v>
      </c>
      <c r="D7" s="71" t="s">
        <v>85</v>
      </c>
      <c r="E7" s="138" t="s">
        <v>162</v>
      </c>
      <c r="F7" s="125" t="s">
        <v>162</v>
      </c>
      <c r="G7" s="147" t="s">
        <v>162</v>
      </c>
      <c r="H7" s="150"/>
      <c r="I7" s="126" t="str">
        <f>IFERROR(VLOOKUP(C4:C146,'R22 RELATÓRIO ACC'!B:F,5,FALSE),"NOT PUBLISHED")</f>
        <v>V9</v>
      </c>
      <c r="J7" s="126" t="str">
        <f>IFERROR(VLOOKUP(C4:C146,'R22 RELATÓRIO ACC'!B:P,15,FALSE),"NOT PUBLISHED")</f>
        <v>28/02/2026</v>
      </c>
      <c r="K7" s="746" t="str">
        <f>IFERROR(VLOOKUP(B4:B146,'RELATÓRIO ACC'!B:F,5,FALSE),"NOT PUBLISHED")</f>
        <v>V1</v>
      </c>
      <c r="L7" s="748" t="str">
        <f>IFERROR(VLOOKUP(B4:B146,'RELATÓRIO ACC'!B:P,15,FALSE),"NOT PUBLISHED")</f>
        <v>20/05/2026</v>
      </c>
      <c r="M7" s="141" t="s">
        <v>494</v>
      </c>
      <c r="N7" s="756" t="s">
        <v>495</v>
      </c>
      <c r="O7" s="740" t="s">
        <v>462</v>
      </c>
      <c r="P7" s="751"/>
      <c r="Q7" s="746" t="s">
        <v>462</v>
      </c>
      <c r="R7" s="74" t="s">
        <v>462</v>
      </c>
      <c r="S7" s="749" t="s">
        <v>462</v>
      </c>
      <c r="T7" s="746" t="s">
        <v>462</v>
      </c>
      <c r="U7" s="74" t="s">
        <v>462</v>
      </c>
      <c r="V7" s="749" t="s">
        <v>462</v>
      </c>
      <c r="W7" s="746" t="s">
        <v>462</v>
      </c>
      <c r="X7" s="74" t="s">
        <v>462</v>
      </c>
      <c r="Y7" s="749" t="s">
        <v>462</v>
      </c>
      <c r="Z7" s="746" t="s">
        <v>462</v>
      </c>
      <c r="AA7" s="74" t="s">
        <v>462</v>
      </c>
      <c r="AB7" s="753" t="s">
        <v>462</v>
      </c>
      <c r="AC7" s="746" t="s">
        <v>462</v>
      </c>
      <c r="AD7" s="74" t="s">
        <v>462</v>
      </c>
      <c r="AE7" s="1037" t="s">
        <v>462</v>
      </c>
      <c r="AF7" s="746" t="s">
        <v>462</v>
      </c>
      <c r="AG7" s="74" t="s">
        <v>462</v>
      </c>
      <c r="AH7" s="1037" t="s">
        <v>462</v>
      </c>
      <c r="AI7" s="746" t="s">
        <v>462</v>
      </c>
      <c r="AJ7" s="74" t="s">
        <v>462</v>
      </c>
      <c r="AK7" s="1037" t="s">
        <v>462</v>
      </c>
      <c r="AL7" s="746" t="s">
        <v>462</v>
      </c>
      <c r="AM7" s="74" t="s">
        <v>462</v>
      </c>
      <c r="AN7" s="1037" t="s">
        <v>462</v>
      </c>
      <c r="AO7" s="746" t="s">
        <v>462</v>
      </c>
      <c r="AP7" s="74" t="s">
        <v>462</v>
      </c>
      <c r="AQ7" s="1037" t="s">
        <v>462</v>
      </c>
      <c r="AR7" s="746" t="s">
        <v>462</v>
      </c>
      <c r="AS7" s="74" t="s">
        <v>462</v>
      </c>
      <c r="AT7" s="1037" t="s">
        <v>462</v>
      </c>
      <c r="AU7" s="746" t="s">
        <v>462</v>
      </c>
      <c r="AV7" s="74" t="s">
        <v>462</v>
      </c>
      <c r="AW7" s="1037" t="s">
        <v>462</v>
      </c>
      <c r="AX7" s="746" t="s">
        <v>462</v>
      </c>
      <c r="AY7" s="74" t="s">
        <v>462</v>
      </c>
      <c r="AZ7" s="746" t="s">
        <v>462</v>
      </c>
      <c r="BA7" s="1032" t="s">
        <v>462</v>
      </c>
      <c r="BB7" s="1030" t="s">
        <v>462</v>
      </c>
      <c r="BC7" s="1030" t="s">
        <v>462</v>
      </c>
      <c r="BD7" s="1030" t="s">
        <v>462</v>
      </c>
      <c r="BE7" s="1030" t="s">
        <v>462</v>
      </c>
      <c r="BF7" s="1032" t="s">
        <v>462</v>
      </c>
      <c r="BG7" s="1032" t="s">
        <v>462</v>
      </c>
      <c r="BH7" s="1030" t="s">
        <v>462</v>
      </c>
      <c r="BI7" s="1032" t="s">
        <v>462</v>
      </c>
      <c r="BJ7" s="1032" t="s">
        <v>462</v>
      </c>
      <c r="BK7" s="1030" t="s">
        <v>462</v>
      </c>
      <c r="BL7" s="1032" t="s">
        <v>462</v>
      </c>
      <c r="BM7" s="1032" t="s">
        <v>462</v>
      </c>
      <c r="BN7" s="1030" t="s">
        <v>462</v>
      </c>
      <c r="BO7" s="1032" t="s">
        <v>462</v>
      </c>
      <c r="BP7" s="1032" t="s">
        <v>462</v>
      </c>
      <c r="BQ7" s="1030" t="s">
        <v>462</v>
      </c>
      <c r="BR7" s="1032" t="s">
        <v>462</v>
      </c>
      <c r="BS7" s="1032" t="s">
        <v>462</v>
      </c>
      <c r="BT7" s="1030" t="s">
        <v>462</v>
      </c>
      <c r="BU7" s="1032" t="s">
        <v>462</v>
      </c>
      <c r="BV7" s="1032" t="s">
        <v>462</v>
      </c>
      <c r="BW7" s="1030" t="s">
        <v>462</v>
      </c>
      <c r="BX7" s="1032" t="s">
        <v>462</v>
      </c>
      <c r="BY7" s="1032" t="s">
        <v>462</v>
      </c>
      <c r="BZ7" s="1030" t="s">
        <v>462</v>
      </c>
      <c r="CA7" s="1032" t="s">
        <v>462</v>
      </c>
      <c r="CB7" s="1032" t="s">
        <v>462</v>
      </c>
      <c r="CC7" s="1030" t="s">
        <v>462</v>
      </c>
      <c r="CD7" s="1032" t="s">
        <v>462</v>
      </c>
      <c r="CE7" s="1032" t="s">
        <v>462</v>
      </c>
      <c r="CF7" s="1030" t="s">
        <v>462</v>
      </c>
      <c r="CG7" s="1032" t="s">
        <v>462</v>
      </c>
      <c r="CH7" s="1032" t="s">
        <v>462</v>
      </c>
      <c r="CI7" s="1030" t="s">
        <v>462</v>
      </c>
      <c r="CJ7" s="1032" t="s">
        <v>462</v>
      </c>
      <c r="CK7" s="1032" t="s">
        <v>462</v>
      </c>
      <c r="CL7" s="1030" t="s">
        <v>462</v>
      </c>
      <c r="CM7" s="1032" t="s">
        <v>462</v>
      </c>
      <c r="CN7" s="1030" t="s">
        <v>462</v>
      </c>
      <c r="CO7" s="1030" t="s">
        <v>462</v>
      </c>
      <c r="CP7" s="1030" t="s">
        <v>462</v>
      </c>
      <c r="CQ7" s="1030" t="s">
        <v>462</v>
      </c>
      <c r="CR7" s="1030" t="s">
        <v>462</v>
      </c>
      <c r="CS7" s="1030" t="s">
        <v>462</v>
      </c>
      <c r="CT7" s="1030" t="s">
        <v>462</v>
      </c>
      <c r="CU7" s="1030" t="s">
        <v>462</v>
      </c>
      <c r="CV7" s="1030" t="s">
        <v>462</v>
      </c>
      <c r="CW7" s="1030" t="s">
        <v>462</v>
      </c>
      <c r="CX7" s="1030" t="s">
        <v>462</v>
      </c>
      <c r="CY7" s="1030" t="s">
        <v>462</v>
      </c>
      <c r="CZ7" s="1030" t="s">
        <v>462</v>
      </c>
      <c r="DA7" s="1030" t="s">
        <v>462</v>
      </c>
      <c r="DB7" s="1030" t="s">
        <v>462</v>
      </c>
      <c r="DC7" s="1030" t="s">
        <v>462</v>
      </c>
      <c r="DD7" s="1030" t="s">
        <v>462</v>
      </c>
      <c r="DE7" s="1030" t="s">
        <v>462</v>
      </c>
      <c r="DF7" s="1030" t="s">
        <v>462</v>
      </c>
      <c r="DG7" s="1030" t="s">
        <v>462</v>
      </c>
      <c r="DH7" s="1030" t="s">
        <v>462</v>
      </c>
      <c r="DI7" s="1030" t="s">
        <v>462</v>
      </c>
      <c r="DJ7" s="1030" t="s">
        <v>462</v>
      </c>
      <c r="DK7" s="1030" t="s">
        <v>462</v>
      </c>
      <c r="DL7" s="1030" t="s">
        <v>462</v>
      </c>
      <c r="DM7" s="1030" t="s">
        <v>462</v>
      </c>
      <c r="DN7" s="1030" t="s">
        <v>462</v>
      </c>
      <c r="DO7" s="1032" t="s">
        <v>462</v>
      </c>
      <c r="DP7" s="1032" t="s">
        <v>462</v>
      </c>
      <c r="DQ7" s="1032" t="s">
        <v>462</v>
      </c>
      <c r="DR7" s="1032" t="s">
        <v>462</v>
      </c>
      <c r="DS7" s="1032" t="s">
        <v>462</v>
      </c>
      <c r="DT7" s="1032" t="s">
        <v>462</v>
      </c>
      <c r="DU7" s="1032" t="s">
        <v>462</v>
      </c>
      <c r="DV7" s="1032" t="s">
        <v>462</v>
      </c>
      <c r="DW7" s="1032" t="s">
        <v>462</v>
      </c>
      <c r="DX7" s="1032" t="s">
        <v>462</v>
      </c>
      <c r="DY7" s="1032" t="s">
        <v>462</v>
      </c>
      <c r="DZ7" s="1032" t="s">
        <v>462</v>
      </c>
      <c r="EA7" s="1032" t="s">
        <v>462</v>
      </c>
      <c r="EB7" s="1032" t="s">
        <v>462</v>
      </c>
      <c r="EC7" s="1032" t="s">
        <v>462</v>
      </c>
      <c r="ED7" s="111"/>
      <c r="EE7" s="111"/>
      <c r="EF7" s="111"/>
    </row>
    <row r="8" ht="15.0" customHeight="1" outlineLevel="1">
      <c r="A8" s="60">
        <v>105.0</v>
      </c>
      <c r="B8" s="747" t="s">
        <v>316</v>
      </c>
      <c r="C8" s="747" t="s">
        <v>316</v>
      </c>
      <c r="D8" s="71" t="s">
        <v>3</v>
      </c>
      <c r="E8" s="146" t="s">
        <v>317</v>
      </c>
      <c r="F8" s="146">
        <v>1125.0</v>
      </c>
      <c r="G8" s="146" t="s">
        <v>317</v>
      </c>
      <c r="H8" s="139">
        <v>1125.0</v>
      </c>
      <c r="I8" s="126" t="str">
        <f>IFERROR(VLOOKUP(C5:C147,'R22 RELATÓRIO ACC'!B:F,5,FALSE),"NOT PUBLISHED")</f>
        <v>V8</v>
      </c>
      <c r="J8" s="126" t="str">
        <f>IFERROR(VLOOKUP(C5:C147,'R22 RELATÓRIO ACC'!B:P,15,FALSE),"NOT PUBLISHED")</f>
        <v>07/11/2025</v>
      </c>
      <c r="K8" s="746" t="str">
        <f>IFERROR(VLOOKUP(B5:B147,'RELATÓRIO ACC'!B:F,5,FALSE),"NOT PUBLISHED")</f>
        <v>V1</v>
      </c>
      <c r="L8" s="748" t="str">
        <f>IFERROR(VLOOKUP(B5:B147,'RELATÓRIO ACC'!B:P,15,FALSE),"NOT PUBLISHED")</f>
        <v>21/05/2026</v>
      </c>
      <c r="M8" s="141" t="s">
        <v>507</v>
      </c>
      <c r="N8" s="1038">
        <v>45856.0</v>
      </c>
      <c r="O8" s="740" t="s">
        <v>462</v>
      </c>
      <c r="P8" s="751" t="s">
        <v>129</v>
      </c>
      <c r="Q8" s="746" t="s">
        <v>462</v>
      </c>
      <c r="R8" s="74" t="s">
        <v>462</v>
      </c>
      <c r="S8" s="749" t="s">
        <v>462</v>
      </c>
      <c r="T8" s="746" t="s">
        <v>462</v>
      </c>
      <c r="U8" s="74" t="s">
        <v>462</v>
      </c>
      <c r="V8" s="749" t="s">
        <v>462</v>
      </c>
      <c r="W8" s="746" t="s">
        <v>462</v>
      </c>
      <c r="X8" s="74" t="s">
        <v>462</v>
      </c>
      <c r="Y8" s="749" t="s">
        <v>462</v>
      </c>
      <c r="Z8" s="746" t="s">
        <v>462</v>
      </c>
      <c r="AA8" s="74" t="s">
        <v>462</v>
      </c>
      <c r="AB8" s="753" t="s">
        <v>462</v>
      </c>
      <c r="AC8" s="746" t="s">
        <v>462</v>
      </c>
      <c r="AD8" s="74" t="s">
        <v>462</v>
      </c>
      <c r="AE8" s="1037" t="s">
        <v>462</v>
      </c>
      <c r="AF8" s="746" t="s">
        <v>462</v>
      </c>
      <c r="AG8" s="74" t="s">
        <v>462</v>
      </c>
      <c r="AH8" s="1037" t="s">
        <v>462</v>
      </c>
      <c r="AI8" s="746" t="s">
        <v>462</v>
      </c>
      <c r="AJ8" s="74" t="s">
        <v>462</v>
      </c>
      <c r="AK8" s="1037" t="s">
        <v>462</v>
      </c>
      <c r="AL8" s="746" t="s">
        <v>462</v>
      </c>
      <c r="AM8" s="74" t="s">
        <v>462</v>
      </c>
      <c r="AN8" s="1037" t="s">
        <v>462</v>
      </c>
      <c r="AO8" s="746" t="s">
        <v>462</v>
      </c>
      <c r="AP8" s="74" t="s">
        <v>462</v>
      </c>
      <c r="AQ8" s="1037" t="s">
        <v>462</v>
      </c>
      <c r="AR8" s="746" t="s">
        <v>462</v>
      </c>
      <c r="AS8" s="74" t="s">
        <v>462</v>
      </c>
      <c r="AT8" s="1037" t="s">
        <v>462</v>
      </c>
      <c r="AU8" s="746" t="s">
        <v>462</v>
      </c>
      <c r="AV8" s="74" t="s">
        <v>462</v>
      </c>
      <c r="AW8" s="1037" t="s">
        <v>462</v>
      </c>
      <c r="AX8" s="746" t="s">
        <v>462</v>
      </c>
      <c r="AY8" s="74" t="s">
        <v>462</v>
      </c>
      <c r="AZ8" s="1037" t="s">
        <v>462</v>
      </c>
      <c r="BA8" s="1032" t="s">
        <v>462</v>
      </c>
      <c r="BB8" s="1031" t="s">
        <v>462</v>
      </c>
      <c r="BC8" s="1039" t="s">
        <v>462</v>
      </c>
      <c r="BD8" s="1032" t="s">
        <v>462</v>
      </c>
      <c r="BE8" s="1031" t="s">
        <v>462</v>
      </c>
      <c r="BF8" s="1039" t="s">
        <v>462</v>
      </c>
      <c r="BG8" s="1032" t="s">
        <v>462</v>
      </c>
      <c r="BH8" s="1031" t="s">
        <v>462</v>
      </c>
      <c r="BI8" s="1039" t="s">
        <v>462</v>
      </c>
      <c r="BJ8" s="1032" t="s">
        <v>462</v>
      </c>
      <c r="BK8" s="1031" t="s">
        <v>462</v>
      </c>
      <c r="BL8" s="1039" t="s">
        <v>462</v>
      </c>
      <c r="BM8" s="1032" t="s">
        <v>462</v>
      </c>
      <c r="BN8" s="1031" t="s">
        <v>462</v>
      </c>
      <c r="BO8" s="1039" t="s">
        <v>462</v>
      </c>
      <c r="BP8" s="1032" t="s">
        <v>462</v>
      </c>
      <c r="BQ8" s="1031" t="s">
        <v>462</v>
      </c>
      <c r="BR8" s="1039" t="s">
        <v>462</v>
      </c>
      <c r="BS8" s="1032" t="s">
        <v>462</v>
      </c>
      <c r="BT8" s="1031" t="s">
        <v>462</v>
      </c>
      <c r="BU8" s="1039" t="s">
        <v>462</v>
      </c>
      <c r="BV8" s="1032" t="s">
        <v>462</v>
      </c>
      <c r="BW8" s="1031" t="s">
        <v>462</v>
      </c>
      <c r="BX8" s="1039" t="s">
        <v>462</v>
      </c>
      <c r="BY8" s="1032" t="s">
        <v>462</v>
      </c>
      <c r="BZ8" s="1031" t="s">
        <v>462</v>
      </c>
      <c r="CA8" s="1039" t="s">
        <v>462</v>
      </c>
      <c r="CB8" s="1032" t="s">
        <v>462</v>
      </c>
      <c r="CC8" s="1031" t="s">
        <v>462</v>
      </c>
      <c r="CD8" s="1039" t="s">
        <v>462</v>
      </c>
      <c r="CE8" s="1032" t="s">
        <v>462</v>
      </c>
      <c r="CF8" s="1031" t="s">
        <v>462</v>
      </c>
      <c r="CG8" s="1039" t="s">
        <v>462</v>
      </c>
      <c r="CH8" s="1032" t="s">
        <v>462</v>
      </c>
      <c r="CI8" s="1031" t="s">
        <v>462</v>
      </c>
      <c r="CJ8" s="1039" t="s">
        <v>462</v>
      </c>
      <c r="CK8" s="1032" t="s">
        <v>462</v>
      </c>
      <c r="CL8" s="1031" t="s">
        <v>462</v>
      </c>
      <c r="CM8" s="1039" t="s">
        <v>462</v>
      </c>
      <c r="CN8" s="1032" t="s">
        <v>462</v>
      </c>
      <c r="CO8" s="1031" t="s">
        <v>462</v>
      </c>
      <c r="CP8" s="1039" t="s">
        <v>462</v>
      </c>
      <c r="CQ8" s="1032" t="s">
        <v>462</v>
      </c>
      <c r="CR8" s="1031" t="s">
        <v>462</v>
      </c>
      <c r="CS8" s="1039" t="s">
        <v>462</v>
      </c>
      <c r="CT8" s="1032" t="s">
        <v>462</v>
      </c>
      <c r="CU8" s="1031" t="s">
        <v>462</v>
      </c>
      <c r="CV8" s="1039" t="s">
        <v>462</v>
      </c>
      <c r="CW8" s="1032" t="s">
        <v>462</v>
      </c>
      <c r="CX8" s="1031" t="s">
        <v>462</v>
      </c>
      <c r="CY8" s="1039" t="s">
        <v>462</v>
      </c>
      <c r="CZ8" s="1032" t="s">
        <v>462</v>
      </c>
      <c r="DA8" s="1031" t="s">
        <v>462</v>
      </c>
      <c r="DB8" s="1039" t="s">
        <v>462</v>
      </c>
      <c r="DC8" s="1032" t="s">
        <v>462</v>
      </c>
      <c r="DD8" s="1031" t="s">
        <v>462</v>
      </c>
      <c r="DE8" s="1039" t="s">
        <v>462</v>
      </c>
      <c r="DF8" s="1032" t="s">
        <v>462</v>
      </c>
      <c r="DG8" s="1031" t="s">
        <v>462</v>
      </c>
      <c r="DH8" s="1039" t="s">
        <v>462</v>
      </c>
      <c r="DI8" s="1032" t="s">
        <v>462</v>
      </c>
      <c r="DJ8" s="1031" t="s">
        <v>462</v>
      </c>
      <c r="DK8" s="1039" t="s">
        <v>462</v>
      </c>
      <c r="DL8" s="1032" t="s">
        <v>462</v>
      </c>
      <c r="DM8" s="1031" t="s">
        <v>462</v>
      </c>
      <c r="DN8" s="1039" t="s">
        <v>462</v>
      </c>
      <c r="DO8" s="1032" t="s">
        <v>462</v>
      </c>
      <c r="DP8" s="1032" t="s">
        <v>462</v>
      </c>
      <c r="DQ8" s="1032" t="s">
        <v>462</v>
      </c>
      <c r="DR8" s="1032" t="s">
        <v>462</v>
      </c>
      <c r="DS8" s="1032" t="s">
        <v>462</v>
      </c>
      <c r="DT8" s="1032" t="s">
        <v>462</v>
      </c>
      <c r="DU8" s="1032" t="s">
        <v>462</v>
      </c>
      <c r="DV8" s="1032" t="s">
        <v>462</v>
      </c>
      <c r="DW8" s="1032" t="s">
        <v>462</v>
      </c>
      <c r="DX8" s="1032" t="s">
        <v>462</v>
      </c>
      <c r="DY8" s="1032" t="s">
        <v>462</v>
      </c>
      <c r="DZ8" s="1032" t="s">
        <v>462</v>
      </c>
      <c r="EA8" s="1032" t="s">
        <v>462</v>
      </c>
      <c r="EB8" s="1032" t="s">
        <v>462</v>
      </c>
      <c r="EC8" s="1032" t="s">
        <v>462</v>
      </c>
      <c r="ED8" s="111"/>
      <c r="EE8" s="111"/>
      <c r="EF8" s="111"/>
    </row>
    <row r="9" ht="21.0" customHeight="1" outlineLevel="1">
      <c r="A9" s="60">
        <v>107.0</v>
      </c>
      <c r="B9" s="747" t="s">
        <v>320</v>
      </c>
      <c r="C9" s="747" t="s">
        <v>320</v>
      </c>
      <c r="D9" s="71" t="s">
        <v>321</v>
      </c>
      <c r="E9" s="146" t="s">
        <v>317</v>
      </c>
      <c r="F9" s="72">
        <v>1125.0</v>
      </c>
      <c r="G9" s="139" t="s">
        <v>317</v>
      </c>
      <c r="H9" s="139">
        <v>1125.0</v>
      </c>
      <c r="I9" s="126" t="str">
        <f>IFERROR(VLOOKUP(C6:C148,'R22 RELATÓRIO ACC'!B:F,5,FALSE),"NOT PUBLISHED")</f>
        <v>V6</v>
      </c>
      <c r="J9" s="126" t="str">
        <f>IFERROR(VLOOKUP(C6:C148,'R22 RELATÓRIO ACC'!B:P,15,FALSE),"NOT PUBLISHED")</f>
        <v>07/11/2025</v>
      </c>
      <c r="K9" s="746" t="str">
        <f>IFERROR(VLOOKUP(B6:B148,'RELATÓRIO ACC'!B:F,5,FALSE),"NOT PUBLISHED")</f>
        <v>V1</v>
      </c>
      <c r="L9" s="748" t="str">
        <f>IFERROR(VLOOKUP(B6:B148,'RELATÓRIO ACC'!B:P,15,FALSE),"NOT PUBLISHED")</f>
        <v>21/05/2026</v>
      </c>
      <c r="M9" s="141" t="s">
        <v>507</v>
      </c>
      <c r="N9" s="756" t="s">
        <v>594</v>
      </c>
      <c r="O9" s="740" t="s">
        <v>462</v>
      </c>
      <c r="P9" s="751"/>
      <c r="Q9" s="746" t="s">
        <v>462</v>
      </c>
      <c r="R9" s="74" t="s">
        <v>462</v>
      </c>
      <c r="S9" s="746" t="s">
        <v>462</v>
      </c>
      <c r="T9" s="746" t="s">
        <v>462</v>
      </c>
      <c r="U9" s="74" t="s">
        <v>462</v>
      </c>
      <c r="V9" s="749" t="s">
        <v>462</v>
      </c>
      <c r="W9" s="746" t="s">
        <v>462</v>
      </c>
      <c r="X9" s="74" t="s">
        <v>462</v>
      </c>
      <c r="Y9" s="749" t="s">
        <v>462</v>
      </c>
      <c r="Z9" s="746" t="s">
        <v>462</v>
      </c>
      <c r="AA9" s="74" t="s">
        <v>462</v>
      </c>
      <c r="AB9" s="749" t="s">
        <v>462</v>
      </c>
      <c r="AC9" s="746" t="s">
        <v>462</v>
      </c>
      <c r="AD9" s="74" t="s">
        <v>462</v>
      </c>
      <c r="AE9" s="1037" t="s">
        <v>462</v>
      </c>
      <c r="AF9" s="746" t="s">
        <v>462</v>
      </c>
      <c r="AG9" s="74" t="s">
        <v>462</v>
      </c>
      <c r="AH9" s="1037" t="s">
        <v>462</v>
      </c>
      <c r="AI9" s="746" t="s">
        <v>462</v>
      </c>
      <c r="AJ9" s="74" t="s">
        <v>462</v>
      </c>
      <c r="AK9" s="1037" t="s">
        <v>462</v>
      </c>
      <c r="AL9" s="746" t="s">
        <v>462</v>
      </c>
      <c r="AM9" s="74" t="s">
        <v>462</v>
      </c>
      <c r="AN9" s="1037" t="s">
        <v>462</v>
      </c>
      <c r="AO9" s="746" t="s">
        <v>462</v>
      </c>
      <c r="AP9" s="74" t="s">
        <v>462</v>
      </c>
      <c r="AQ9" s="1037" t="s">
        <v>462</v>
      </c>
      <c r="AR9" s="746" t="s">
        <v>462</v>
      </c>
      <c r="AS9" s="74" t="s">
        <v>462</v>
      </c>
      <c r="AT9" s="1037" t="s">
        <v>462</v>
      </c>
      <c r="AU9" s="746" t="s">
        <v>462</v>
      </c>
      <c r="AV9" s="74" t="s">
        <v>462</v>
      </c>
      <c r="AW9" s="1037" t="s">
        <v>462</v>
      </c>
      <c r="AX9" s="746" t="s">
        <v>462</v>
      </c>
      <c r="AY9" s="74" t="s">
        <v>462</v>
      </c>
      <c r="AZ9" s="1037" t="s">
        <v>462</v>
      </c>
      <c r="BA9" s="1032" t="s">
        <v>462</v>
      </c>
      <c r="BB9" s="1031" t="s">
        <v>462</v>
      </c>
      <c r="BC9" s="1039" t="s">
        <v>462</v>
      </c>
      <c r="BD9" s="1032" t="s">
        <v>462</v>
      </c>
      <c r="BE9" s="1031" t="s">
        <v>462</v>
      </c>
      <c r="BF9" s="1039" t="s">
        <v>462</v>
      </c>
      <c r="BG9" s="1032" t="s">
        <v>462</v>
      </c>
      <c r="BH9" s="1031" t="s">
        <v>462</v>
      </c>
      <c r="BI9" s="1039" t="s">
        <v>462</v>
      </c>
      <c r="BJ9" s="1032" t="s">
        <v>462</v>
      </c>
      <c r="BK9" s="1031" t="s">
        <v>462</v>
      </c>
      <c r="BL9" s="1039" t="s">
        <v>462</v>
      </c>
      <c r="BM9" s="1032" t="s">
        <v>462</v>
      </c>
      <c r="BN9" s="1031" t="s">
        <v>462</v>
      </c>
      <c r="BO9" s="1039" t="s">
        <v>462</v>
      </c>
      <c r="BP9" s="1032" t="s">
        <v>462</v>
      </c>
      <c r="BQ9" s="1031" t="s">
        <v>462</v>
      </c>
      <c r="BR9" s="1039" t="s">
        <v>462</v>
      </c>
      <c r="BS9" s="1032" t="s">
        <v>462</v>
      </c>
      <c r="BT9" s="1031" t="s">
        <v>462</v>
      </c>
      <c r="BU9" s="1039" t="s">
        <v>462</v>
      </c>
      <c r="BV9" s="1032" t="s">
        <v>462</v>
      </c>
      <c r="BW9" s="1031" t="s">
        <v>462</v>
      </c>
      <c r="BX9" s="1039" t="s">
        <v>462</v>
      </c>
      <c r="BY9" s="1032" t="s">
        <v>462</v>
      </c>
      <c r="BZ9" s="1031" t="s">
        <v>462</v>
      </c>
      <c r="CA9" s="1039" t="s">
        <v>462</v>
      </c>
      <c r="CB9" s="1032" t="s">
        <v>462</v>
      </c>
      <c r="CC9" s="1031" t="s">
        <v>462</v>
      </c>
      <c r="CD9" s="1039" t="s">
        <v>462</v>
      </c>
      <c r="CE9" s="1032" t="s">
        <v>462</v>
      </c>
      <c r="CF9" s="1031" t="s">
        <v>462</v>
      </c>
      <c r="CG9" s="1039" t="s">
        <v>462</v>
      </c>
      <c r="CH9" s="1032" t="s">
        <v>462</v>
      </c>
      <c r="CI9" s="1031" t="s">
        <v>462</v>
      </c>
      <c r="CJ9" s="1039" t="s">
        <v>462</v>
      </c>
      <c r="CK9" s="1032" t="s">
        <v>462</v>
      </c>
      <c r="CL9" s="1031" t="s">
        <v>462</v>
      </c>
      <c r="CM9" s="1039" t="s">
        <v>462</v>
      </c>
      <c r="CN9" s="1032" t="s">
        <v>462</v>
      </c>
      <c r="CO9" s="1031" t="s">
        <v>462</v>
      </c>
      <c r="CP9" s="1039" t="s">
        <v>462</v>
      </c>
      <c r="CQ9" s="1032" t="s">
        <v>462</v>
      </c>
      <c r="CR9" s="1031" t="s">
        <v>462</v>
      </c>
      <c r="CS9" s="1039" t="s">
        <v>462</v>
      </c>
      <c r="CT9" s="1032" t="s">
        <v>462</v>
      </c>
      <c r="CU9" s="1031" t="s">
        <v>462</v>
      </c>
      <c r="CV9" s="1039" t="s">
        <v>462</v>
      </c>
      <c r="CW9" s="1032" t="s">
        <v>462</v>
      </c>
      <c r="CX9" s="1031" t="s">
        <v>462</v>
      </c>
      <c r="CY9" s="1039" t="s">
        <v>462</v>
      </c>
      <c r="CZ9" s="1032" t="s">
        <v>462</v>
      </c>
      <c r="DA9" s="1031" t="s">
        <v>462</v>
      </c>
      <c r="DB9" s="1039" t="s">
        <v>462</v>
      </c>
      <c r="DC9" s="1032" t="s">
        <v>462</v>
      </c>
      <c r="DD9" s="1031" t="s">
        <v>462</v>
      </c>
      <c r="DE9" s="1039" t="s">
        <v>462</v>
      </c>
      <c r="DF9" s="1032" t="s">
        <v>462</v>
      </c>
      <c r="DG9" s="1031" t="s">
        <v>462</v>
      </c>
      <c r="DH9" s="1039" t="s">
        <v>462</v>
      </c>
      <c r="DI9" s="1032" t="s">
        <v>462</v>
      </c>
      <c r="DJ9" s="1031" t="s">
        <v>462</v>
      </c>
      <c r="DK9" s="1039" t="s">
        <v>462</v>
      </c>
      <c r="DL9" s="1032" t="s">
        <v>462</v>
      </c>
      <c r="DM9" s="1031" t="s">
        <v>462</v>
      </c>
      <c r="DN9" s="1039" t="s">
        <v>462</v>
      </c>
      <c r="DO9" s="1032" t="s">
        <v>462</v>
      </c>
      <c r="DP9" s="1032" t="s">
        <v>462</v>
      </c>
      <c r="DQ9" s="1032" t="s">
        <v>462</v>
      </c>
      <c r="DR9" s="1032" t="s">
        <v>462</v>
      </c>
      <c r="DS9" s="1032" t="s">
        <v>462</v>
      </c>
      <c r="DT9" s="1032" t="s">
        <v>462</v>
      </c>
      <c r="DU9" s="1032" t="s">
        <v>462</v>
      </c>
      <c r="DV9" s="1032" t="s">
        <v>462</v>
      </c>
      <c r="DW9" s="1032" t="s">
        <v>462</v>
      </c>
      <c r="DX9" s="1032" t="s">
        <v>462</v>
      </c>
      <c r="DY9" s="1032" t="s">
        <v>462</v>
      </c>
      <c r="DZ9" s="1032" t="s">
        <v>462</v>
      </c>
      <c r="EA9" s="1032" t="s">
        <v>462</v>
      </c>
      <c r="EB9" s="1032" t="s">
        <v>462</v>
      </c>
      <c r="EC9" s="1032" t="s">
        <v>462</v>
      </c>
      <c r="ED9" s="111"/>
      <c r="EE9" s="111"/>
      <c r="EF9" s="111"/>
    </row>
    <row r="10" ht="15.0" customHeight="1" outlineLevel="1">
      <c r="A10" s="60">
        <v>108.0</v>
      </c>
      <c r="B10" s="747" t="s">
        <v>322</v>
      </c>
      <c r="C10" s="747" t="s">
        <v>322</v>
      </c>
      <c r="D10" s="71" t="s">
        <v>323</v>
      </c>
      <c r="E10" s="146" t="s">
        <v>317</v>
      </c>
      <c r="F10" s="72">
        <v>1125.0</v>
      </c>
      <c r="G10" s="139" t="s">
        <v>317</v>
      </c>
      <c r="H10" s="139">
        <v>1125.0</v>
      </c>
      <c r="I10" s="126" t="str">
        <f>IFERROR(VLOOKUP(C7:C149,'R22 RELATÓRIO ACC'!B:F,5,FALSE),"NOT PUBLISHED")</f>
        <v>V6</v>
      </c>
      <c r="J10" s="126" t="str">
        <f>IFERROR(VLOOKUP(C7:C149,'R22 RELATÓRIO ACC'!B:P,15,FALSE),"NOT PUBLISHED")</f>
        <v>07/11/2025</v>
      </c>
      <c r="K10" s="746" t="str">
        <f>IFERROR(VLOOKUP(B7:B149,'RELATÓRIO ACC'!B:F,5,FALSE),"NOT PUBLISHED")</f>
        <v>V1</v>
      </c>
      <c r="L10" s="748" t="str">
        <f>IFERROR(VLOOKUP(B7:B149,'RELATÓRIO ACC'!B:P,15,FALSE),"NOT PUBLISHED")</f>
        <v>21/05/2026</v>
      </c>
      <c r="M10" s="141" t="s">
        <v>462</v>
      </c>
      <c r="N10" s="749" t="s">
        <v>462</v>
      </c>
      <c r="O10" s="740" t="s">
        <v>462</v>
      </c>
      <c r="P10" s="751"/>
      <c r="Q10" s="746" t="s">
        <v>462</v>
      </c>
      <c r="R10" s="74" t="s">
        <v>462</v>
      </c>
      <c r="S10" s="746" t="s">
        <v>462</v>
      </c>
      <c r="T10" s="746" t="s">
        <v>462</v>
      </c>
      <c r="U10" s="74" t="s">
        <v>462</v>
      </c>
      <c r="V10" s="749" t="s">
        <v>462</v>
      </c>
      <c r="W10" s="746" t="s">
        <v>462</v>
      </c>
      <c r="X10" s="74" t="s">
        <v>462</v>
      </c>
      <c r="Y10" s="749" t="s">
        <v>462</v>
      </c>
      <c r="Z10" s="746" t="s">
        <v>462</v>
      </c>
      <c r="AA10" s="74" t="s">
        <v>462</v>
      </c>
      <c r="AB10" s="749" t="s">
        <v>462</v>
      </c>
      <c r="AC10" s="746" t="s">
        <v>462</v>
      </c>
      <c r="AD10" s="74" t="s">
        <v>462</v>
      </c>
      <c r="AE10" s="749" t="s">
        <v>462</v>
      </c>
      <c r="AF10" s="746" t="s">
        <v>462</v>
      </c>
      <c r="AG10" s="74" t="s">
        <v>462</v>
      </c>
      <c r="AH10" s="749" t="s">
        <v>462</v>
      </c>
      <c r="AI10" s="746" t="s">
        <v>462</v>
      </c>
      <c r="AJ10" s="74" t="s">
        <v>462</v>
      </c>
      <c r="AK10" s="749" t="s">
        <v>462</v>
      </c>
      <c r="AL10" s="746" t="s">
        <v>462</v>
      </c>
      <c r="AM10" s="74" t="s">
        <v>462</v>
      </c>
      <c r="AN10" s="749" t="s">
        <v>462</v>
      </c>
      <c r="AO10" s="746" t="s">
        <v>462</v>
      </c>
      <c r="AP10" s="74" t="s">
        <v>462</v>
      </c>
      <c r="AQ10" s="749" t="s">
        <v>462</v>
      </c>
      <c r="AR10" s="746" t="s">
        <v>462</v>
      </c>
      <c r="AS10" s="74" t="s">
        <v>462</v>
      </c>
      <c r="AT10" s="749" t="s">
        <v>462</v>
      </c>
      <c r="AU10" s="746" t="s">
        <v>462</v>
      </c>
      <c r="AV10" s="74" t="s">
        <v>462</v>
      </c>
      <c r="AW10" s="749" t="s">
        <v>462</v>
      </c>
      <c r="AX10" s="746" t="s">
        <v>462</v>
      </c>
      <c r="AY10" s="74" t="s">
        <v>462</v>
      </c>
      <c r="AZ10" s="749" t="s">
        <v>462</v>
      </c>
      <c r="BA10" s="1032" t="s">
        <v>462</v>
      </c>
      <c r="BB10" s="1031" t="s">
        <v>462</v>
      </c>
      <c r="BC10" s="1040" t="s">
        <v>462</v>
      </c>
      <c r="BD10" s="1032" t="s">
        <v>462</v>
      </c>
      <c r="BE10" s="1031" t="s">
        <v>462</v>
      </c>
      <c r="BF10" s="1040" t="s">
        <v>462</v>
      </c>
      <c r="BG10" s="1032" t="s">
        <v>462</v>
      </c>
      <c r="BH10" s="1031" t="s">
        <v>462</v>
      </c>
      <c r="BI10" s="1040" t="s">
        <v>462</v>
      </c>
      <c r="BJ10" s="1032" t="s">
        <v>462</v>
      </c>
      <c r="BK10" s="1031" t="s">
        <v>462</v>
      </c>
      <c r="BL10" s="1040" t="s">
        <v>462</v>
      </c>
      <c r="BM10" s="1032" t="s">
        <v>462</v>
      </c>
      <c r="BN10" s="1031" t="s">
        <v>462</v>
      </c>
      <c r="BO10" s="1040" t="s">
        <v>462</v>
      </c>
      <c r="BP10" s="1032" t="s">
        <v>462</v>
      </c>
      <c r="BQ10" s="1031" t="s">
        <v>462</v>
      </c>
      <c r="BR10" s="1040" t="s">
        <v>462</v>
      </c>
      <c r="BS10" s="1032" t="s">
        <v>462</v>
      </c>
      <c r="BT10" s="1031" t="s">
        <v>462</v>
      </c>
      <c r="BU10" s="1040" t="s">
        <v>462</v>
      </c>
      <c r="BV10" s="1032" t="s">
        <v>462</v>
      </c>
      <c r="BW10" s="1031" t="s">
        <v>462</v>
      </c>
      <c r="BX10" s="1040" t="s">
        <v>462</v>
      </c>
      <c r="BY10" s="1032" t="s">
        <v>462</v>
      </c>
      <c r="BZ10" s="1031" t="s">
        <v>462</v>
      </c>
      <c r="CA10" s="1040" t="s">
        <v>462</v>
      </c>
      <c r="CB10" s="1032" t="s">
        <v>462</v>
      </c>
      <c r="CC10" s="1031" t="s">
        <v>462</v>
      </c>
      <c r="CD10" s="1040" t="s">
        <v>462</v>
      </c>
      <c r="CE10" s="1032" t="s">
        <v>462</v>
      </c>
      <c r="CF10" s="1031" t="s">
        <v>462</v>
      </c>
      <c r="CG10" s="1040" t="s">
        <v>462</v>
      </c>
      <c r="CH10" s="1032" t="s">
        <v>462</v>
      </c>
      <c r="CI10" s="1031" t="s">
        <v>462</v>
      </c>
      <c r="CJ10" s="1040" t="s">
        <v>462</v>
      </c>
      <c r="CK10" s="1032" t="s">
        <v>462</v>
      </c>
      <c r="CL10" s="1031" t="s">
        <v>462</v>
      </c>
      <c r="CM10" s="1040" t="s">
        <v>462</v>
      </c>
      <c r="CN10" s="1032" t="s">
        <v>462</v>
      </c>
      <c r="CO10" s="1031" t="s">
        <v>462</v>
      </c>
      <c r="CP10" s="1040" t="s">
        <v>462</v>
      </c>
      <c r="CQ10" s="1032" t="s">
        <v>462</v>
      </c>
      <c r="CR10" s="1031" t="s">
        <v>462</v>
      </c>
      <c r="CS10" s="1040" t="s">
        <v>462</v>
      </c>
      <c r="CT10" s="1032" t="s">
        <v>462</v>
      </c>
      <c r="CU10" s="1031" t="s">
        <v>462</v>
      </c>
      <c r="CV10" s="1040" t="s">
        <v>462</v>
      </c>
      <c r="CW10" s="1032" t="s">
        <v>462</v>
      </c>
      <c r="CX10" s="1031" t="s">
        <v>462</v>
      </c>
      <c r="CY10" s="1040" t="s">
        <v>462</v>
      </c>
      <c r="CZ10" s="1032" t="s">
        <v>462</v>
      </c>
      <c r="DA10" s="1031" t="s">
        <v>462</v>
      </c>
      <c r="DB10" s="1040" t="s">
        <v>462</v>
      </c>
      <c r="DC10" s="1032" t="s">
        <v>462</v>
      </c>
      <c r="DD10" s="1031" t="s">
        <v>462</v>
      </c>
      <c r="DE10" s="1040" t="s">
        <v>462</v>
      </c>
      <c r="DF10" s="1032" t="s">
        <v>462</v>
      </c>
      <c r="DG10" s="1031" t="s">
        <v>462</v>
      </c>
      <c r="DH10" s="1040" t="s">
        <v>462</v>
      </c>
      <c r="DI10" s="1032" t="s">
        <v>462</v>
      </c>
      <c r="DJ10" s="1031" t="s">
        <v>462</v>
      </c>
      <c r="DK10" s="1040" t="s">
        <v>462</v>
      </c>
      <c r="DL10" s="1032" t="s">
        <v>462</v>
      </c>
      <c r="DM10" s="1031" t="s">
        <v>462</v>
      </c>
      <c r="DN10" s="1040" t="s">
        <v>462</v>
      </c>
      <c r="DO10" s="1032" t="s">
        <v>462</v>
      </c>
      <c r="DP10" s="1032" t="s">
        <v>462</v>
      </c>
      <c r="DQ10" s="1032" t="s">
        <v>462</v>
      </c>
      <c r="DR10" s="1032" t="s">
        <v>462</v>
      </c>
      <c r="DS10" s="1032" t="s">
        <v>462</v>
      </c>
      <c r="DT10" s="1032" t="s">
        <v>462</v>
      </c>
      <c r="DU10" s="1032" t="s">
        <v>462</v>
      </c>
      <c r="DV10" s="1032" t="s">
        <v>462</v>
      </c>
      <c r="DW10" s="1032" t="s">
        <v>462</v>
      </c>
      <c r="DX10" s="1032" t="s">
        <v>462</v>
      </c>
      <c r="DY10" s="1032" t="s">
        <v>462</v>
      </c>
      <c r="DZ10" s="1032" t="s">
        <v>462</v>
      </c>
      <c r="EA10" s="1032" t="s">
        <v>462</v>
      </c>
      <c r="EB10" s="1032" t="s">
        <v>462</v>
      </c>
      <c r="EC10" s="1032" t="s">
        <v>462</v>
      </c>
      <c r="ED10" s="111"/>
      <c r="EE10" s="111"/>
      <c r="EF10" s="111"/>
    </row>
    <row r="11" ht="15.0" customHeight="1" outlineLevel="1">
      <c r="A11" s="60">
        <v>109.0</v>
      </c>
      <c r="B11" s="747" t="s">
        <v>324</v>
      </c>
      <c r="C11" s="747" t="s">
        <v>324</v>
      </c>
      <c r="D11" s="71" t="s">
        <v>7</v>
      </c>
      <c r="E11" s="146" t="s">
        <v>317</v>
      </c>
      <c r="F11" s="72">
        <v>1125.0</v>
      </c>
      <c r="G11" s="139" t="s">
        <v>317</v>
      </c>
      <c r="H11" s="139">
        <v>1125.0</v>
      </c>
      <c r="I11" s="126" t="str">
        <f>IFERROR(VLOOKUP(C8:C150,'R22 RELATÓRIO ACC'!B:F,5,FALSE),"NOT PUBLISHED")</f>
        <v>V7</v>
      </c>
      <c r="J11" s="126" t="str">
        <f>IFERROR(VLOOKUP(C8:C150,'R22 RELATÓRIO ACC'!B:P,15,FALSE),"NOT PUBLISHED")</f>
        <v>05/12/2025</v>
      </c>
      <c r="K11" s="746" t="str">
        <f>IFERROR(VLOOKUP(B8:B150,'RELATÓRIO ACC'!B:F,5,FALSE),"NOT PUBLISHED")</f>
        <v>V1</v>
      </c>
      <c r="L11" s="748" t="str">
        <f>IFERROR(VLOOKUP(B8:B150,'RELATÓRIO ACC'!B:P,15,FALSE),"NOT PUBLISHED")</f>
        <v>21/05/2026</v>
      </c>
      <c r="M11" s="141" t="s">
        <v>462</v>
      </c>
      <c r="N11" s="749" t="s">
        <v>462</v>
      </c>
      <c r="O11" s="740" t="s">
        <v>462</v>
      </c>
      <c r="P11" s="751"/>
      <c r="Q11" s="746" t="s">
        <v>462</v>
      </c>
      <c r="R11" s="74" t="s">
        <v>462</v>
      </c>
      <c r="S11" s="749" t="s">
        <v>462</v>
      </c>
      <c r="T11" s="746" t="s">
        <v>462</v>
      </c>
      <c r="U11" s="74" t="s">
        <v>462</v>
      </c>
      <c r="V11" s="749" t="s">
        <v>462</v>
      </c>
      <c r="W11" s="746" t="s">
        <v>462</v>
      </c>
      <c r="X11" s="749" t="s">
        <v>462</v>
      </c>
      <c r="Y11" s="749" t="s">
        <v>462</v>
      </c>
      <c r="Z11" s="746" t="s">
        <v>462</v>
      </c>
      <c r="AA11" s="76" t="s">
        <v>462</v>
      </c>
      <c r="AB11" s="750" t="s">
        <v>462</v>
      </c>
      <c r="AC11" s="746" t="s">
        <v>462</v>
      </c>
      <c r="AD11" s="76" t="s">
        <v>462</v>
      </c>
      <c r="AE11" s="1041" t="s">
        <v>462</v>
      </c>
      <c r="AF11" s="746" t="s">
        <v>462</v>
      </c>
      <c r="AG11" s="76" t="s">
        <v>462</v>
      </c>
      <c r="AH11" s="1041" t="s">
        <v>462</v>
      </c>
      <c r="AI11" s="746" t="s">
        <v>462</v>
      </c>
      <c r="AJ11" s="76" t="s">
        <v>462</v>
      </c>
      <c r="AK11" s="1041" t="s">
        <v>462</v>
      </c>
      <c r="AL11" s="746" t="s">
        <v>462</v>
      </c>
      <c r="AM11" s="74" t="s">
        <v>462</v>
      </c>
      <c r="AN11" s="749" t="s">
        <v>462</v>
      </c>
      <c r="AO11" s="746" t="s">
        <v>462</v>
      </c>
      <c r="AP11" s="74" t="s">
        <v>462</v>
      </c>
      <c r="AQ11" s="749" t="s">
        <v>462</v>
      </c>
      <c r="AR11" s="746" t="s">
        <v>462</v>
      </c>
      <c r="AS11" s="74" t="s">
        <v>462</v>
      </c>
      <c r="AT11" s="749" t="s">
        <v>462</v>
      </c>
      <c r="AU11" s="746" t="s">
        <v>462</v>
      </c>
      <c r="AV11" s="74" t="s">
        <v>462</v>
      </c>
      <c r="AW11" s="749" t="s">
        <v>462</v>
      </c>
      <c r="AX11" s="746" t="s">
        <v>462</v>
      </c>
      <c r="AY11" s="74" t="s">
        <v>462</v>
      </c>
      <c r="AZ11" s="749" t="s">
        <v>462</v>
      </c>
      <c r="BA11" s="1032" t="s">
        <v>462</v>
      </c>
      <c r="BB11" s="1031" t="s">
        <v>462</v>
      </c>
      <c r="BC11" s="1040" t="s">
        <v>462</v>
      </c>
      <c r="BD11" s="1032" t="s">
        <v>462</v>
      </c>
      <c r="BE11" s="1031" t="s">
        <v>462</v>
      </c>
      <c r="BF11" s="1040" t="s">
        <v>462</v>
      </c>
      <c r="BG11" s="1032" t="s">
        <v>462</v>
      </c>
      <c r="BH11" s="1031" t="s">
        <v>462</v>
      </c>
      <c r="BI11" s="1040" t="s">
        <v>462</v>
      </c>
      <c r="BJ11" s="1032" t="s">
        <v>462</v>
      </c>
      <c r="BK11" s="1031" t="s">
        <v>462</v>
      </c>
      <c r="BL11" s="1040" t="s">
        <v>462</v>
      </c>
      <c r="BM11" s="1032" t="s">
        <v>462</v>
      </c>
      <c r="BN11" s="1031" t="s">
        <v>462</v>
      </c>
      <c r="BO11" s="1040" t="s">
        <v>462</v>
      </c>
      <c r="BP11" s="1032" t="s">
        <v>462</v>
      </c>
      <c r="BQ11" s="1031" t="s">
        <v>462</v>
      </c>
      <c r="BR11" s="1040" t="s">
        <v>462</v>
      </c>
      <c r="BS11" s="1032" t="s">
        <v>462</v>
      </c>
      <c r="BT11" s="1031" t="s">
        <v>462</v>
      </c>
      <c r="BU11" s="1040" t="s">
        <v>462</v>
      </c>
      <c r="BV11" s="1032" t="s">
        <v>462</v>
      </c>
      <c r="BW11" s="1031" t="s">
        <v>462</v>
      </c>
      <c r="BX11" s="1040" t="s">
        <v>462</v>
      </c>
      <c r="BY11" s="1032" t="s">
        <v>462</v>
      </c>
      <c r="BZ11" s="1031" t="s">
        <v>462</v>
      </c>
      <c r="CA11" s="1040" t="s">
        <v>462</v>
      </c>
      <c r="CB11" s="1032" t="s">
        <v>462</v>
      </c>
      <c r="CC11" s="1031" t="s">
        <v>462</v>
      </c>
      <c r="CD11" s="1040" t="s">
        <v>462</v>
      </c>
      <c r="CE11" s="1032" t="s">
        <v>462</v>
      </c>
      <c r="CF11" s="1031" t="s">
        <v>462</v>
      </c>
      <c r="CG11" s="1040" t="s">
        <v>462</v>
      </c>
      <c r="CH11" s="1032" t="s">
        <v>462</v>
      </c>
      <c r="CI11" s="1031" t="s">
        <v>462</v>
      </c>
      <c r="CJ11" s="1040" t="s">
        <v>462</v>
      </c>
      <c r="CK11" s="1032" t="s">
        <v>462</v>
      </c>
      <c r="CL11" s="1031" t="s">
        <v>462</v>
      </c>
      <c r="CM11" s="1040" t="s">
        <v>462</v>
      </c>
      <c r="CN11" s="1032" t="s">
        <v>462</v>
      </c>
      <c r="CO11" s="1031" t="s">
        <v>462</v>
      </c>
      <c r="CP11" s="1040" t="s">
        <v>462</v>
      </c>
      <c r="CQ11" s="1032" t="s">
        <v>462</v>
      </c>
      <c r="CR11" s="1031" t="s">
        <v>462</v>
      </c>
      <c r="CS11" s="1040" t="s">
        <v>462</v>
      </c>
      <c r="CT11" s="1032" t="s">
        <v>462</v>
      </c>
      <c r="CU11" s="1031" t="s">
        <v>462</v>
      </c>
      <c r="CV11" s="1040" t="s">
        <v>462</v>
      </c>
      <c r="CW11" s="1032" t="s">
        <v>462</v>
      </c>
      <c r="CX11" s="1031" t="s">
        <v>462</v>
      </c>
      <c r="CY11" s="1040" t="s">
        <v>462</v>
      </c>
      <c r="CZ11" s="1032" t="s">
        <v>462</v>
      </c>
      <c r="DA11" s="1031" t="s">
        <v>462</v>
      </c>
      <c r="DB11" s="1040" t="s">
        <v>462</v>
      </c>
      <c r="DC11" s="1032" t="s">
        <v>462</v>
      </c>
      <c r="DD11" s="1031" t="s">
        <v>462</v>
      </c>
      <c r="DE11" s="1040" t="s">
        <v>462</v>
      </c>
      <c r="DF11" s="1032" t="s">
        <v>462</v>
      </c>
      <c r="DG11" s="1031" t="s">
        <v>462</v>
      </c>
      <c r="DH11" s="1040" t="s">
        <v>462</v>
      </c>
      <c r="DI11" s="1032" t="s">
        <v>462</v>
      </c>
      <c r="DJ11" s="1031" t="s">
        <v>462</v>
      </c>
      <c r="DK11" s="1040" t="s">
        <v>462</v>
      </c>
      <c r="DL11" s="1032" t="s">
        <v>462</v>
      </c>
      <c r="DM11" s="1031" t="s">
        <v>462</v>
      </c>
      <c r="DN11" s="1040" t="s">
        <v>462</v>
      </c>
      <c r="DO11" s="1032" t="s">
        <v>462</v>
      </c>
      <c r="DP11" s="1032" t="s">
        <v>462</v>
      </c>
      <c r="DQ11" s="1032" t="s">
        <v>462</v>
      </c>
      <c r="DR11" s="1032" t="s">
        <v>462</v>
      </c>
      <c r="DS11" s="1032" t="s">
        <v>462</v>
      </c>
      <c r="DT11" s="1032" t="s">
        <v>462</v>
      </c>
      <c r="DU11" s="1032" t="s">
        <v>462</v>
      </c>
      <c r="DV11" s="1032" t="s">
        <v>462</v>
      </c>
      <c r="DW11" s="1032" t="s">
        <v>462</v>
      </c>
      <c r="DX11" s="1032" t="s">
        <v>462</v>
      </c>
      <c r="DY11" s="1032" t="s">
        <v>462</v>
      </c>
      <c r="DZ11" s="1032" t="s">
        <v>462</v>
      </c>
      <c r="EA11" s="1032" t="s">
        <v>462</v>
      </c>
      <c r="EB11" s="1032" t="s">
        <v>462</v>
      </c>
      <c r="EC11" s="1032" t="s">
        <v>462</v>
      </c>
      <c r="ED11" s="111"/>
      <c r="EE11" s="111"/>
      <c r="EF11" s="111"/>
    </row>
    <row r="12" ht="15.0" customHeight="1" outlineLevel="1">
      <c r="A12" s="60">
        <v>110.0</v>
      </c>
      <c r="B12" s="747" t="s">
        <v>325</v>
      </c>
      <c r="C12" s="747" t="s">
        <v>325</v>
      </c>
      <c r="D12" s="71" t="s">
        <v>326</v>
      </c>
      <c r="E12" s="146" t="s">
        <v>317</v>
      </c>
      <c r="F12" s="72">
        <v>1125.0</v>
      </c>
      <c r="G12" s="139" t="s">
        <v>317</v>
      </c>
      <c r="H12" s="139">
        <v>1125.0</v>
      </c>
      <c r="I12" s="126" t="str">
        <f>IFERROR(VLOOKUP(C9:C151,'R22 RELATÓRIO ACC'!B:F,5,FALSE),"NOT PUBLISHED")</f>
        <v>V6</v>
      </c>
      <c r="J12" s="126" t="str">
        <f>IFERROR(VLOOKUP(C9:C151,'R22 RELATÓRIO ACC'!B:P,15,FALSE),"NOT PUBLISHED")</f>
        <v>07/11/2025</v>
      </c>
      <c r="K12" s="746" t="str">
        <f>IFERROR(VLOOKUP(B9:B151,'RELATÓRIO ACC'!B:F,5,FALSE),"NOT PUBLISHED")</f>
        <v>V1</v>
      </c>
      <c r="L12" s="748" t="str">
        <f>IFERROR(VLOOKUP(B9:B151,'RELATÓRIO ACC'!B:P,15,FALSE),"NOT PUBLISHED")</f>
        <v>21/05/2026</v>
      </c>
      <c r="M12" s="141" t="s">
        <v>462</v>
      </c>
      <c r="N12" s="749" t="s">
        <v>462</v>
      </c>
      <c r="O12" s="740" t="s">
        <v>462</v>
      </c>
      <c r="P12" s="751"/>
      <c r="Q12" s="746" t="s">
        <v>462</v>
      </c>
      <c r="R12" s="74" t="s">
        <v>462</v>
      </c>
      <c r="S12" s="749" t="s">
        <v>462</v>
      </c>
      <c r="T12" s="746" t="s">
        <v>462</v>
      </c>
      <c r="U12" s="74" t="s">
        <v>462</v>
      </c>
      <c r="V12" s="749" t="s">
        <v>462</v>
      </c>
      <c r="W12" s="746" t="s">
        <v>462</v>
      </c>
      <c r="X12" s="74" t="s">
        <v>462</v>
      </c>
      <c r="Y12" s="749" t="s">
        <v>462</v>
      </c>
      <c r="Z12" s="746" t="s">
        <v>462</v>
      </c>
      <c r="AA12" s="74" t="s">
        <v>462</v>
      </c>
      <c r="AB12" s="753" t="s">
        <v>462</v>
      </c>
      <c r="AC12" s="746" t="s">
        <v>462</v>
      </c>
      <c r="AD12" s="74" t="s">
        <v>462</v>
      </c>
      <c r="AE12" s="749" t="s">
        <v>462</v>
      </c>
      <c r="AF12" s="746" t="s">
        <v>462</v>
      </c>
      <c r="AG12" s="74" t="s">
        <v>462</v>
      </c>
      <c r="AH12" s="749" t="s">
        <v>462</v>
      </c>
      <c r="AI12" s="746" t="s">
        <v>462</v>
      </c>
      <c r="AJ12" s="74" t="s">
        <v>462</v>
      </c>
      <c r="AK12" s="749" t="s">
        <v>462</v>
      </c>
      <c r="AL12" s="746" t="s">
        <v>462</v>
      </c>
      <c r="AM12" s="74" t="s">
        <v>462</v>
      </c>
      <c r="AN12" s="749" t="s">
        <v>462</v>
      </c>
      <c r="AO12" s="746" t="s">
        <v>462</v>
      </c>
      <c r="AP12" s="74" t="s">
        <v>462</v>
      </c>
      <c r="AQ12" s="749" t="s">
        <v>462</v>
      </c>
      <c r="AR12" s="746" t="s">
        <v>462</v>
      </c>
      <c r="AS12" s="74" t="s">
        <v>462</v>
      </c>
      <c r="AT12" s="749" t="s">
        <v>462</v>
      </c>
      <c r="AU12" s="746" t="s">
        <v>462</v>
      </c>
      <c r="AV12" s="74" t="s">
        <v>462</v>
      </c>
      <c r="AW12" s="749" t="s">
        <v>462</v>
      </c>
      <c r="AX12" s="746" t="s">
        <v>462</v>
      </c>
      <c r="AY12" s="74" t="s">
        <v>462</v>
      </c>
      <c r="AZ12" s="749" t="s">
        <v>462</v>
      </c>
      <c r="BA12" s="1032" t="s">
        <v>462</v>
      </c>
      <c r="BB12" s="1031" t="s">
        <v>462</v>
      </c>
      <c r="BC12" s="1040" t="s">
        <v>462</v>
      </c>
      <c r="BD12" s="1032" t="s">
        <v>462</v>
      </c>
      <c r="BE12" s="1031" t="s">
        <v>462</v>
      </c>
      <c r="BF12" s="1040" t="s">
        <v>462</v>
      </c>
      <c r="BG12" s="1032" t="s">
        <v>462</v>
      </c>
      <c r="BH12" s="1031" t="s">
        <v>462</v>
      </c>
      <c r="BI12" s="1040" t="s">
        <v>462</v>
      </c>
      <c r="BJ12" s="1032" t="s">
        <v>462</v>
      </c>
      <c r="BK12" s="1031" t="s">
        <v>462</v>
      </c>
      <c r="BL12" s="1040" t="s">
        <v>462</v>
      </c>
      <c r="BM12" s="1032" t="s">
        <v>462</v>
      </c>
      <c r="BN12" s="1031" t="s">
        <v>462</v>
      </c>
      <c r="BO12" s="1040" t="s">
        <v>462</v>
      </c>
      <c r="BP12" s="1032" t="s">
        <v>462</v>
      </c>
      <c r="BQ12" s="1031" t="s">
        <v>462</v>
      </c>
      <c r="BR12" s="1040" t="s">
        <v>462</v>
      </c>
      <c r="BS12" s="1032" t="s">
        <v>462</v>
      </c>
      <c r="BT12" s="1031" t="s">
        <v>462</v>
      </c>
      <c r="BU12" s="1040" t="s">
        <v>462</v>
      </c>
      <c r="BV12" s="1032" t="s">
        <v>462</v>
      </c>
      <c r="BW12" s="1031" t="s">
        <v>462</v>
      </c>
      <c r="BX12" s="1040" t="s">
        <v>462</v>
      </c>
      <c r="BY12" s="1032" t="s">
        <v>462</v>
      </c>
      <c r="BZ12" s="1031" t="s">
        <v>462</v>
      </c>
      <c r="CA12" s="1040" t="s">
        <v>462</v>
      </c>
      <c r="CB12" s="1032" t="s">
        <v>462</v>
      </c>
      <c r="CC12" s="1031" t="s">
        <v>462</v>
      </c>
      <c r="CD12" s="1040" t="s">
        <v>462</v>
      </c>
      <c r="CE12" s="1032" t="s">
        <v>462</v>
      </c>
      <c r="CF12" s="1031" t="s">
        <v>462</v>
      </c>
      <c r="CG12" s="1040" t="s">
        <v>462</v>
      </c>
      <c r="CH12" s="1032" t="s">
        <v>462</v>
      </c>
      <c r="CI12" s="1031" t="s">
        <v>462</v>
      </c>
      <c r="CJ12" s="1040" t="s">
        <v>462</v>
      </c>
      <c r="CK12" s="1032" t="s">
        <v>462</v>
      </c>
      <c r="CL12" s="1031" t="s">
        <v>462</v>
      </c>
      <c r="CM12" s="1040" t="s">
        <v>462</v>
      </c>
      <c r="CN12" s="1032" t="s">
        <v>462</v>
      </c>
      <c r="CO12" s="1031" t="s">
        <v>462</v>
      </c>
      <c r="CP12" s="1040" t="s">
        <v>462</v>
      </c>
      <c r="CQ12" s="1032" t="s">
        <v>462</v>
      </c>
      <c r="CR12" s="1031" t="s">
        <v>462</v>
      </c>
      <c r="CS12" s="1040" t="s">
        <v>462</v>
      </c>
      <c r="CT12" s="1032" t="s">
        <v>462</v>
      </c>
      <c r="CU12" s="1031" t="s">
        <v>462</v>
      </c>
      <c r="CV12" s="1040" t="s">
        <v>462</v>
      </c>
      <c r="CW12" s="1032" t="s">
        <v>462</v>
      </c>
      <c r="CX12" s="1031" t="s">
        <v>462</v>
      </c>
      <c r="CY12" s="1040" t="s">
        <v>462</v>
      </c>
      <c r="CZ12" s="1032" t="s">
        <v>462</v>
      </c>
      <c r="DA12" s="1031" t="s">
        <v>462</v>
      </c>
      <c r="DB12" s="1040" t="s">
        <v>462</v>
      </c>
      <c r="DC12" s="1032" t="s">
        <v>462</v>
      </c>
      <c r="DD12" s="1031" t="s">
        <v>462</v>
      </c>
      <c r="DE12" s="1040" t="s">
        <v>462</v>
      </c>
      <c r="DF12" s="1032" t="s">
        <v>462</v>
      </c>
      <c r="DG12" s="1031" t="s">
        <v>462</v>
      </c>
      <c r="DH12" s="1040" t="s">
        <v>462</v>
      </c>
      <c r="DI12" s="1032" t="s">
        <v>462</v>
      </c>
      <c r="DJ12" s="1031" t="s">
        <v>462</v>
      </c>
      <c r="DK12" s="1040" t="s">
        <v>462</v>
      </c>
      <c r="DL12" s="1032" t="s">
        <v>462</v>
      </c>
      <c r="DM12" s="1031" t="s">
        <v>462</v>
      </c>
      <c r="DN12" s="1040" t="s">
        <v>462</v>
      </c>
      <c r="DO12" s="1032" t="s">
        <v>462</v>
      </c>
      <c r="DP12" s="1032" t="s">
        <v>462</v>
      </c>
      <c r="DQ12" s="1032" t="s">
        <v>462</v>
      </c>
      <c r="DR12" s="1032" t="s">
        <v>462</v>
      </c>
      <c r="DS12" s="1032" t="s">
        <v>462</v>
      </c>
      <c r="DT12" s="1032" t="s">
        <v>462</v>
      </c>
      <c r="DU12" s="1032" t="s">
        <v>462</v>
      </c>
      <c r="DV12" s="1032" t="s">
        <v>462</v>
      </c>
      <c r="DW12" s="1032" t="s">
        <v>462</v>
      </c>
      <c r="DX12" s="1032" t="s">
        <v>462</v>
      </c>
      <c r="DY12" s="1032" t="s">
        <v>462</v>
      </c>
      <c r="DZ12" s="1032" t="s">
        <v>462</v>
      </c>
      <c r="EA12" s="1032" t="s">
        <v>462</v>
      </c>
      <c r="EB12" s="1032" t="s">
        <v>462</v>
      </c>
      <c r="EC12" s="1032" t="s">
        <v>462</v>
      </c>
      <c r="ED12" s="111"/>
      <c r="EE12" s="111"/>
      <c r="EF12" s="111"/>
    </row>
    <row r="13" ht="15.0" customHeight="1" outlineLevel="1">
      <c r="A13" s="60">
        <v>4.0</v>
      </c>
      <c r="B13" s="747" t="s">
        <v>463</v>
      </c>
      <c r="C13" s="747" t="s">
        <v>464</v>
      </c>
      <c r="D13" s="71" t="s">
        <v>85</v>
      </c>
      <c r="E13" s="141" t="s">
        <v>465</v>
      </c>
      <c r="F13" s="125">
        <v>1111.0</v>
      </c>
      <c r="G13" s="139" t="s">
        <v>86</v>
      </c>
      <c r="H13" s="139">
        <v>1130.0</v>
      </c>
      <c r="I13" s="126" t="str">
        <f>IFERROR(VLOOKUP(C10:C152,'R22 RELATÓRIO ACC'!B:F,5,FALSE),"NOT PUBLISHED")</f>
        <v>NOT PUBLISHED</v>
      </c>
      <c r="J13" s="126" t="str">
        <f>IFERROR(VLOOKUP(C10:C152,'R22 RELATÓRIO ACC'!B:P,15,FALSE),"NOT PUBLISHED")</f>
        <v>NOT PUBLISHED</v>
      </c>
      <c r="K13" s="746" t="str">
        <f>IFERROR(VLOOKUP(B10:B152,'RELATÓRIO ACC'!B:F,5,FALSE),"NOT PUBLISHED")</f>
        <v>NOT PUBLISHED</v>
      </c>
      <c r="L13" s="748" t="str">
        <f>IFERROR(VLOOKUP(B10:B152,'RELATÓRIO ACC'!B:P,15,FALSE),"NOT PUBLISHED")</f>
        <v>NOT PUBLISHED</v>
      </c>
      <c r="M13" s="141" t="s">
        <v>595</v>
      </c>
      <c r="N13" s="749" t="s">
        <v>595</v>
      </c>
      <c r="O13" s="740" t="s">
        <v>466</v>
      </c>
      <c r="P13" s="751"/>
      <c r="Q13" s="746" t="s">
        <v>466</v>
      </c>
      <c r="R13" s="74" t="s">
        <v>462</v>
      </c>
      <c r="S13" s="749" t="s">
        <v>466</v>
      </c>
      <c r="T13" s="746" t="s">
        <v>466</v>
      </c>
      <c r="U13" s="74" t="s">
        <v>462</v>
      </c>
      <c r="V13" s="749" t="s">
        <v>466</v>
      </c>
      <c r="W13" s="746" t="s">
        <v>466</v>
      </c>
      <c r="X13" s="74" t="s">
        <v>462</v>
      </c>
      <c r="Y13" s="749" t="s">
        <v>466</v>
      </c>
      <c r="Z13" s="746" t="s">
        <v>466</v>
      </c>
      <c r="AA13" s="74" t="s">
        <v>462</v>
      </c>
      <c r="AB13" s="753" t="s">
        <v>466</v>
      </c>
      <c r="AC13" s="746" t="s">
        <v>466</v>
      </c>
      <c r="AD13" s="74" t="s">
        <v>462</v>
      </c>
      <c r="AE13" s="749" t="s">
        <v>466</v>
      </c>
      <c r="AF13" s="746" t="s">
        <v>466</v>
      </c>
      <c r="AG13" s="74" t="s">
        <v>462</v>
      </c>
      <c r="AH13" s="749" t="s">
        <v>466</v>
      </c>
      <c r="AI13" s="746" t="s">
        <v>466</v>
      </c>
      <c r="AJ13" s="74" t="s">
        <v>462</v>
      </c>
      <c r="AK13" s="749" t="s">
        <v>466</v>
      </c>
      <c r="AL13" s="746" t="s">
        <v>466</v>
      </c>
      <c r="AM13" s="74" t="s">
        <v>462</v>
      </c>
      <c r="AN13" s="749" t="s">
        <v>466</v>
      </c>
      <c r="AO13" s="746" t="s">
        <v>466</v>
      </c>
      <c r="AP13" s="74" t="s">
        <v>462</v>
      </c>
      <c r="AQ13" s="749" t="s">
        <v>466</v>
      </c>
      <c r="AR13" s="746" t="s">
        <v>466</v>
      </c>
      <c r="AS13" s="74" t="s">
        <v>462</v>
      </c>
      <c r="AT13" s="749" t="s">
        <v>466</v>
      </c>
      <c r="AU13" s="746" t="s">
        <v>466</v>
      </c>
      <c r="AV13" s="74" t="s">
        <v>462</v>
      </c>
      <c r="AW13" s="749" t="s">
        <v>466</v>
      </c>
      <c r="AX13" s="746" t="s">
        <v>466</v>
      </c>
      <c r="AY13" s="74" t="s">
        <v>462</v>
      </c>
      <c r="AZ13" s="749" t="s">
        <v>466</v>
      </c>
      <c r="BA13" s="1032" t="s">
        <v>466</v>
      </c>
      <c r="BB13" s="1031" t="s">
        <v>462</v>
      </c>
      <c r="BC13" s="1040" t="s">
        <v>466</v>
      </c>
      <c r="BD13" s="1032" t="s">
        <v>466</v>
      </c>
      <c r="BE13" s="1031" t="s">
        <v>462</v>
      </c>
      <c r="BF13" s="1040" t="s">
        <v>466</v>
      </c>
      <c r="BG13" s="1032" t="s">
        <v>466</v>
      </c>
      <c r="BH13" s="1031" t="s">
        <v>462</v>
      </c>
      <c r="BI13" s="1040" t="s">
        <v>466</v>
      </c>
      <c r="BJ13" s="1032" t="s">
        <v>466</v>
      </c>
      <c r="BK13" s="1031" t="s">
        <v>462</v>
      </c>
      <c r="BL13" s="1040" t="s">
        <v>466</v>
      </c>
      <c r="BM13" s="1032" t="s">
        <v>466</v>
      </c>
      <c r="BN13" s="1031" t="s">
        <v>462</v>
      </c>
      <c r="BO13" s="1040" t="s">
        <v>466</v>
      </c>
      <c r="BP13" s="1032" t="s">
        <v>466</v>
      </c>
      <c r="BQ13" s="1031" t="s">
        <v>462</v>
      </c>
      <c r="BR13" s="1040" t="s">
        <v>466</v>
      </c>
      <c r="BS13" s="1032" t="s">
        <v>466</v>
      </c>
      <c r="BT13" s="1031" t="s">
        <v>462</v>
      </c>
      <c r="BU13" s="1040" t="s">
        <v>466</v>
      </c>
      <c r="BV13" s="1032" t="s">
        <v>466</v>
      </c>
      <c r="BW13" s="1031" t="s">
        <v>462</v>
      </c>
      <c r="BX13" s="1040" t="s">
        <v>466</v>
      </c>
      <c r="BY13" s="1032" t="s">
        <v>466</v>
      </c>
      <c r="BZ13" s="1031" t="s">
        <v>462</v>
      </c>
      <c r="CA13" s="1040" t="s">
        <v>466</v>
      </c>
      <c r="CB13" s="1032" t="s">
        <v>466</v>
      </c>
      <c r="CC13" s="1031" t="s">
        <v>462</v>
      </c>
      <c r="CD13" s="1040" t="s">
        <v>466</v>
      </c>
      <c r="CE13" s="1032" t="s">
        <v>466</v>
      </c>
      <c r="CF13" s="1031" t="s">
        <v>462</v>
      </c>
      <c r="CG13" s="1040" t="s">
        <v>466</v>
      </c>
      <c r="CH13" s="1032" t="s">
        <v>466</v>
      </c>
      <c r="CI13" s="1031" t="s">
        <v>462</v>
      </c>
      <c r="CJ13" s="1040" t="s">
        <v>466</v>
      </c>
      <c r="CK13" s="1032" t="s">
        <v>466</v>
      </c>
      <c r="CL13" s="1031" t="s">
        <v>462</v>
      </c>
      <c r="CM13" s="1040" t="s">
        <v>466</v>
      </c>
      <c r="CN13" s="1032" t="s">
        <v>466</v>
      </c>
      <c r="CO13" s="1031" t="s">
        <v>462</v>
      </c>
      <c r="CP13" s="1040" t="s">
        <v>466</v>
      </c>
      <c r="CQ13" s="1032" t="s">
        <v>466</v>
      </c>
      <c r="CR13" s="1031" t="s">
        <v>462</v>
      </c>
      <c r="CS13" s="1040" t="s">
        <v>466</v>
      </c>
      <c r="CT13" s="1032" t="s">
        <v>466</v>
      </c>
      <c r="CU13" s="1031" t="s">
        <v>462</v>
      </c>
      <c r="CV13" s="1040" t="s">
        <v>466</v>
      </c>
      <c r="CW13" s="1032" t="s">
        <v>466</v>
      </c>
      <c r="CX13" s="1031" t="s">
        <v>462</v>
      </c>
      <c r="CY13" s="1040" t="s">
        <v>466</v>
      </c>
      <c r="CZ13" s="1032" t="s">
        <v>466</v>
      </c>
      <c r="DA13" s="1031" t="s">
        <v>462</v>
      </c>
      <c r="DB13" s="1040" t="s">
        <v>466</v>
      </c>
      <c r="DC13" s="1032" t="s">
        <v>466</v>
      </c>
      <c r="DD13" s="1031" t="s">
        <v>462</v>
      </c>
      <c r="DE13" s="1040" t="s">
        <v>466</v>
      </c>
      <c r="DF13" s="1032" t="s">
        <v>466</v>
      </c>
      <c r="DG13" s="1031" t="s">
        <v>462</v>
      </c>
      <c r="DH13" s="1040" t="s">
        <v>466</v>
      </c>
      <c r="DI13" s="1032" t="s">
        <v>466</v>
      </c>
      <c r="DJ13" s="1031" t="s">
        <v>462</v>
      </c>
      <c r="DK13" s="1040" t="s">
        <v>466</v>
      </c>
      <c r="DL13" s="1032" t="s">
        <v>466</v>
      </c>
      <c r="DM13" s="1031" t="s">
        <v>462</v>
      </c>
      <c r="DN13" s="1040" t="s">
        <v>466</v>
      </c>
      <c r="DO13" s="1032" t="s">
        <v>466</v>
      </c>
      <c r="DP13" s="1031" t="s">
        <v>462</v>
      </c>
      <c r="DQ13" s="1040" t="s">
        <v>466</v>
      </c>
      <c r="DR13" s="1032" t="s">
        <v>466</v>
      </c>
      <c r="DS13" s="1031" t="s">
        <v>462</v>
      </c>
      <c r="DT13" s="1040" t="s">
        <v>466</v>
      </c>
      <c r="DU13" s="1032" t="s">
        <v>466</v>
      </c>
      <c r="DV13" s="1031" t="s">
        <v>462</v>
      </c>
      <c r="DW13" s="1040" t="s">
        <v>466</v>
      </c>
      <c r="DX13" s="1032" t="s">
        <v>466</v>
      </c>
      <c r="DY13" s="1031" t="s">
        <v>462</v>
      </c>
      <c r="DZ13" s="1040" t="s">
        <v>466</v>
      </c>
      <c r="EA13" s="1032" t="s">
        <v>466</v>
      </c>
      <c r="EB13" s="1031" t="s">
        <v>462</v>
      </c>
      <c r="EC13" s="1040" t="s">
        <v>466</v>
      </c>
      <c r="ED13" s="68"/>
      <c r="EE13" s="68"/>
      <c r="EF13" s="68"/>
    </row>
    <row r="14" ht="15.0" customHeight="1" outlineLevel="1">
      <c r="A14" s="60">
        <v>6.0</v>
      </c>
      <c r="B14" s="747" t="s">
        <v>467</v>
      </c>
      <c r="C14" s="747" t="s">
        <v>468</v>
      </c>
      <c r="D14" s="71" t="s">
        <v>85</v>
      </c>
      <c r="E14" s="146" t="s">
        <v>469</v>
      </c>
      <c r="F14" s="72">
        <v>1102.0</v>
      </c>
      <c r="G14" s="139" t="s">
        <v>86</v>
      </c>
      <c r="H14" s="139">
        <v>1130.0</v>
      </c>
      <c r="I14" s="126" t="str">
        <f>IFERROR(VLOOKUP(C11:C153,'R22 RELATÓRIO ACC'!B:F,5,FALSE),"NOT PUBLISHED")</f>
        <v>NOT PUBLISHED</v>
      </c>
      <c r="J14" s="126" t="str">
        <f>IFERROR(VLOOKUP(C11:C153,'R22 RELATÓRIO ACC'!B:P,15,FALSE),"NOT PUBLISHED")</f>
        <v>NOT PUBLISHED</v>
      </c>
      <c r="K14" s="746" t="str">
        <f>IFERROR(VLOOKUP(B11:B153,'RELATÓRIO ACC'!B:F,5,FALSE),"NOT PUBLISHED")</f>
        <v>NOT PUBLISHED</v>
      </c>
      <c r="L14" s="748" t="str">
        <f>IFERROR(VLOOKUP(B11:B153,'RELATÓRIO ACC'!B:P,15,FALSE),"NOT PUBLISHED")</f>
        <v>NOT PUBLISHED</v>
      </c>
      <c r="M14" s="141" t="s">
        <v>595</v>
      </c>
      <c r="N14" s="141" t="s">
        <v>595</v>
      </c>
      <c r="O14" s="740" t="s">
        <v>466</v>
      </c>
      <c r="P14" s="751"/>
      <c r="Q14" s="746" t="s">
        <v>466</v>
      </c>
      <c r="R14" s="74" t="s">
        <v>462</v>
      </c>
      <c r="S14" s="746" t="s">
        <v>466</v>
      </c>
      <c r="T14" s="746" t="s">
        <v>466</v>
      </c>
      <c r="U14" s="74" t="s">
        <v>462</v>
      </c>
      <c r="V14" s="746" t="s">
        <v>466</v>
      </c>
      <c r="W14" s="746" t="s">
        <v>466</v>
      </c>
      <c r="X14" s="74" t="s">
        <v>462</v>
      </c>
      <c r="Y14" s="746" t="s">
        <v>466</v>
      </c>
      <c r="Z14" s="746" t="s">
        <v>466</v>
      </c>
      <c r="AA14" s="74" t="s">
        <v>462</v>
      </c>
      <c r="AB14" s="746" t="s">
        <v>466</v>
      </c>
      <c r="AC14" s="746" t="s">
        <v>466</v>
      </c>
      <c r="AD14" s="74" t="s">
        <v>462</v>
      </c>
      <c r="AE14" s="746" t="s">
        <v>466</v>
      </c>
      <c r="AF14" s="746" t="s">
        <v>466</v>
      </c>
      <c r="AG14" s="74" t="s">
        <v>462</v>
      </c>
      <c r="AH14" s="746" t="s">
        <v>466</v>
      </c>
      <c r="AI14" s="746" t="s">
        <v>466</v>
      </c>
      <c r="AJ14" s="74" t="s">
        <v>462</v>
      </c>
      <c r="AK14" s="746" t="s">
        <v>466</v>
      </c>
      <c r="AL14" s="746" t="s">
        <v>466</v>
      </c>
      <c r="AM14" s="74" t="s">
        <v>462</v>
      </c>
      <c r="AN14" s="746" t="s">
        <v>466</v>
      </c>
      <c r="AO14" s="746" t="s">
        <v>466</v>
      </c>
      <c r="AP14" s="74" t="s">
        <v>462</v>
      </c>
      <c r="AQ14" s="746" t="s">
        <v>466</v>
      </c>
      <c r="AR14" s="746" t="s">
        <v>466</v>
      </c>
      <c r="AS14" s="74" t="s">
        <v>462</v>
      </c>
      <c r="AT14" s="746" t="s">
        <v>466</v>
      </c>
      <c r="AU14" s="746" t="s">
        <v>466</v>
      </c>
      <c r="AV14" s="74" t="s">
        <v>462</v>
      </c>
      <c r="AW14" s="746" t="s">
        <v>466</v>
      </c>
      <c r="AX14" s="746" t="s">
        <v>466</v>
      </c>
      <c r="AY14" s="74" t="s">
        <v>462</v>
      </c>
      <c r="AZ14" s="746" t="s">
        <v>466</v>
      </c>
      <c r="BA14" s="1032" t="s">
        <v>466</v>
      </c>
      <c r="BB14" s="1031" t="s">
        <v>462</v>
      </c>
      <c r="BC14" s="1032" t="s">
        <v>466</v>
      </c>
      <c r="BD14" s="1032" t="s">
        <v>466</v>
      </c>
      <c r="BE14" s="1031" t="s">
        <v>462</v>
      </c>
      <c r="BF14" s="1040" t="s">
        <v>466</v>
      </c>
      <c r="BG14" s="1032" t="s">
        <v>466</v>
      </c>
      <c r="BH14" s="1031" t="s">
        <v>462</v>
      </c>
      <c r="BI14" s="1040" t="s">
        <v>466</v>
      </c>
      <c r="BJ14" s="1032" t="s">
        <v>466</v>
      </c>
      <c r="BK14" s="1031" t="s">
        <v>462</v>
      </c>
      <c r="BL14" s="1040" t="s">
        <v>466</v>
      </c>
      <c r="BM14" s="1032" t="s">
        <v>466</v>
      </c>
      <c r="BN14" s="1031" t="s">
        <v>462</v>
      </c>
      <c r="BO14" s="1040" t="s">
        <v>466</v>
      </c>
      <c r="BP14" s="1032" t="s">
        <v>466</v>
      </c>
      <c r="BQ14" s="1031" t="s">
        <v>462</v>
      </c>
      <c r="BR14" s="1040" t="s">
        <v>466</v>
      </c>
      <c r="BS14" s="1032" t="s">
        <v>466</v>
      </c>
      <c r="BT14" s="1031" t="s">
        <v>462</v>
      </c>
      <c r="BU14" s="1040" t="s">
        <v>466</v>
      </c>
      <c r="BV14" s="1032" t="s">
        <v>466</v>
      </c>
      <c r="BW14" s="1031" t="s">
        <v>462</v>
      </c>
      <c r="BX14" s="1040" t="s">
        <v>466</v>
      </c>
      <c r="BY14" s="1032" t="s">
        <v>466</v>
      </c>
      <c r="BZ14" s="1031" t="s">
        <v>462</v>
      </c>
      <c r="CA14" s="1040" t="s">
        <v>466</v>
      </c>
      <c r="CB14" s="1032" t="s">
        <v>466</v>
      </c>
      <c r="CC14" s="1031" t="s">
        <v>462</v>
      </c>
      <c r="CD14" s="1040" t="s">
        <v>466</v>
      </c>
      <c r="CE14" s="1032" t="s">
        <v>466</v>
      </c>
      <c r="CF14" s="1031" t="s">
        <v>462</v>
      </c>
      <c r="CG14" s="1040" t="s">
        <v>466</v>
      </c>
      <c r="CH14" s="1032" t="s">
        <v>466</v>
      </c>
      <c r="CI14" s="1031" t="s">
        <v>462</v>
      </c>
      <c r="CJ14" s="1040" t="s">
        <v>466</v>
      </c>
      <c r="CK14" s="1032" t="s">
        <v>466</v>
      </c>
      <c r="CL14" s="1031" t="s">
        <v>462</v>
      </c>
      <c r="CM14" s="1040" t="s">
        <v>466</v>
      </c>
      <c r="CN14" s="1032" t="s">
        <v>466</v>
      </c>
      <c r="CO14" s="1031" t="s">
        <v>462</v>
      </c>
      <c r="CP14" s="1040" t="s">
        <v>466</v>
      </c>
      <c r="CQ14" s="1032" t="s">
        <v>466</v>
      </c>
      <c r="CR14" s="1031" t="s">
        <v>462</v>
      </c>
      <c r="CS14" s="1040" t="s">
        <v>466</v>
      </c>
      <c r="CT14" s="1032" t="s">
        <v>466</v>
      </c>
      <c r="CU14" s="1031" t="s">
        <v>462</v>
      </c>
      <c r="CV14" s="1040" t="s">
        <v>466</v>
      </c>
      <c r="CW14" s="1032" t="s">
        <v>466</v>
      </c>
      <c r="CX14" s="1031" t="s">
        <v>462</v>
      </c>
      <c r="CY14" s="1040" t="s">
        <v>466</v>
      </c>
      <c r="CZ14" s="1032" t="s">
        <v>466</v>
      </c>
      <c r="DA14" s="1031" t="s">
        <v>462</v>
      </c>
      <c r="DB14" s="1040" t="s">
        <v>466</v>
      </c>
      <c r="DC14" s="1032" t="s">
        <v>466</v>
      </c>
      <c r="DD14" s="1031" t="s">
        <v>462</v>
      </c>
      <c r="DE14" s="1040" t="s">
        <v>466</v>
      </c>
      <c r="DF14" s="1032" t="s">
        <v>466</v>
      </c>
      <c r="DG14" s="1031" t="s">
        <v>462</v>
      </c>
      <c r="DH14" s="1040" t="s">
        <v>466</v>
      </c>
      <c r="DI14" s="1032" t="s">
        <v>466</v>
      </c>
      <c r="DJ14" s="1031" t="s">
        <v>462</v>
      </c>
      <c r="DK14" s="1040" t="s">
        <v>466</v>
      </c>
      <c r="DL14" s="1032" t="s">
        <v>466</v>
      </c>
      <c r="DM14" s="1031" t="s">
        <v>462</v>
      </c>
      <c r="DN14" s="1040" t="s">
        <v>466</v>
      </c>
      <c r="DO14" s="1032" t="s">
        <v>466</v>
      </c>
      <c r="DP14" s="1031" t="s">
        <v>462</v>
      </c>
      <c r="DQ14" s="1040" t="s">
        <v>466</v>
      </c>
      <c r="DR14" s="1032" t="s">
        <v>466</v>
      </c>
      <c r="DS14" s="1031" t="s">
        <v>462</v>
      </c>
      <c r="DT14" s="1040" t="s">
        <v>466</v>
      </c>
      <c r="DU14" s="1032" t="s">
        <v>466</v>
      </c>
      <c r="DV14" s="1031" t="s">
        <v>462</v>
      </c>
      <c r="DW14" s="1040" t="s">
        <v>466</v>
      </c>
      <c r="DX14" s="1032" t="s">
        <v>466</v>
      </c>
      <c r="DY14" s="1031" t="s">
        <v>462</v>
      </c>
      <c r="DZ14" s="1040" t="s">
        <v>466</v>
      </c>
      <c r="EA14" s="1032" t="s">
        <v>466</v>
      </c>
      <c r="EB14" s="1031" t="s">
        <v>462</v>
      </c>
      <c r="EC14" s="1040" t="s">
        <v>466</v>
      </c>
      <c r="ED14" s="68"/>
      <c r="EE14" s="68"/>
      <c r="EF14" s="68"/>
    </row>
    <row r="15" ht="15.0" customHeight="1" outlineLevel="1">
      <c r="A15" s="60">
        <v>10.0</v>
      </c>
      <c r="B15" s="747" t="s">
        <v>95</v>
      </c>
      <c r="C15" s="747" t="s">
        <v>96</v>
      </c>
      <c r="D15" s="71" t="s">
        <v>85</v>
      </c>
      <c r="E15" s="138" t="s">
        <v>97</v>
      </c>
      <c r="F15" s="125"/>
      <c r="G15" s="147" t="s">
        <v>97</v>
      </c>
      <c r="H15" s="139"/>
      <c r="I15" s="126" t="str">
        <f>IFERROR(VLOOKUP(C12:C154,'R22 RELATÓRIO ACC'!B:F,5,FALSE),"NOT PUBLISHED")</f>
        <v>NOT PUBLISHED</v>
      </c>
      <c r="J15" s="126" t="str">
        <f>IFERROR(VLOOKUP(C12:C154,'R22 RELATÓRIO ACC'!B:P,15,FALSE),"NOT PUBLISHED")</f>
        <v>NOT PUBLISHED</v>
      </c>
      <c r="K15" s="746" t="str">
        <f>IFERROR(VLOOKUP(B12:B154,'RELATÓRIO ACC'!B:F,5,FALSE),"NOT PUBLISHED")</f>
        <v>NOT PUBLISHED</v>
      </c>
      <c r="L15" s="748" t="str">
        <f>IFERROR(VLOOKUP(B12:B154,'RELATÓRIO ACC'!B:P,15,FALSE),"NOT PUBLISHED")</f>
        <v>NOT PUBLISHED</v>
      </c>
      <c r="M15" s="141" t="s">
        <v>595</v>
      </c>
      <c r="N15" s="141" t="s">
        <v>595</v>
      </c>
      <c r="O15" s="740" t="s">
        <v>466</v>
      </c>
      <c r="P15" s="751"/>
      <c r="Q15" s="746" t="s">
        <v>466</v>
      </c>
      <c r="R15" s="74" t="s">
        <v>462</v>
      </c>
      <c r="S15" s="746" t="s">
        <v>466</v>
      </c>
      <c r="T15" s="746" t="s">
        <v>466</v>
      </c>
      <c r="U15" s="74" t="s">
        <v>462</v>
      </c>
      <c r="V15" s="746" t="s">
        <v>466</v>
      </c>
      <c r="W15" s="746" t="s">
        <v>466</v>
      </c>
      <c r="X15" s="74" t="s">
        <v>462</v>
      </c>
      <c r="Y15" s="749" t="s">
        <v>466</v>
      </c>
      <c r="Z15" s="746" t="s">
        <v>466</v>
      </c>
      <c r="AA15" s="74" t="s">
        <v>462</v>
      </c>
      <c r="AB15" s="750" t="s">
        <v>466</v>
      </c>
      <c r="AC15" s="746" t="s">
        <v>466</v>
      </c>
      <c r="AD15" s="74" t="s">
        <v>462</v>
      </c>
      <c r="AE15" s="750" t="s">
        <v>466</v>
      </c>
      <c r="AF15" s="746" t="s">
        <v>466</v>
      </c>
      <c r="AG15" s="74" t="s">
        <v>462</v>
      </c>
      <c r="AH15" s="750" t="s">
        <v>466</v>
      </c>
      <c r="AI15" s="746" t="s">
        <v>466</v>
      </c>
      <c r="AJ15" s="74" t="s">
        <v>462</v>
      </c>
      <c r="AK15" s="750" t="s">
        <v>466</v>
      </c>
      <c r="AL15" s="746" t="s">
        <v>466</v>
      </c>
      <c r="AM15" s="74" t="s">
        <v>462</v>
      </c>
      <c r="AN15" s="750" t="s">
        <v>466</v>
      </c>
      <c r="AO15" s="746" t="s">
        <v>466</v>
      </c>
      <c r="AP15" s="74" t="s">
        <v>462</v>
      </c>
      <c r="AQ15" s="750" t="s">
        <v>466</v>
      </c>
      <c r="AR15" s="746" t="s">
        <v>466</v>
      </c>
      <c r="AS15" s="74" t="s">
        <v>462</v>
      </c>
      <c r="AT15" s="750" t="s">
        <v>466</v>
      </c>
      <c r="AU15" s="746" t="s">
        <v>466</v>
      </c>
      <c r="AV15" s="74" t="s">
        <v>462</v>
      </c>
      <c r="AW15" s="750" t="s">
        <v>466</v>
      </c>
      <c r="AX15" s="746" t="s">
        <v>466</v>
      </c>
      <c r="AY15" s="74" t="s">
        <v>462</v>
      </c>
      <c r="AZ15" s="750" t="s">
        <v>466</v>
      </c>
      <c r="BA15" s="1032" t="s">
        <v>466</v>
      </c>
      <c r="BB15" s="1031" t="s">
        <v>462</v>
      </c>
      <c r="BC15" s="1033" t="s">
        <v>466</v>
      </c>
      <c r="BD15" s="1032" t="s">
        <v>466</v>
      </c>
      <c r="BE15" s="1031" t="s">
        <v>462</v>
      </c>
      <c r="BF15" s="1033" t="s">
        <v>466</v>
      </c>
      <c r="BG15" s="1032" t="s">
        <v>466</v>
      </c>
      <c r="BH15" s="1031" t="s">
        <v>462</v>
      </c>
      <c r="BI15" s="1033" t="s">
        <v>466</v>
      </c>
      <c r="BJ15" s="1032" t="s">
        <v>466</v>
      </c>
      <c r="BK15" s="1031" t="s">
        <v>462</v>
      </c>
      <c r="BL15" s="1033" t="s">
        <v>466</v>
      </c>
      <c r="BM15" s="1032" t="s">
        <v>466</v>
      </c>
      <c r="BN15" s="1031" t="s">
        <v>462</v>
      </c>
      <c r="BO15" s="1033" t="s">
        <v>466</v>
      </c>
      <c r="BP15" s="1032" t="s">
        <v>466</v>
      </c>
      <c r="BQ15" s="1031" t="s">
        <v>462</v>
      </c>
      <c r="BR15" s="1033" t="s">
        <v>466</v>
      </c>
      <c r="BS15" s="1032" t="s">
        <v>466</v>
      </c>
      <c r="BT15" s="1031" t="s">
        <v>462</v>
      </c>
      <c r="BU15" s="1033" t="s">
        <v>466</v>
      </c>
      <c r="BV15" s="1032" t="s">
        <v>466</v>
      </c>
      <c r="BW15" s="1031" t="s">
        <v>462</v>
      </c>
      <c r="BX15" s="1033" t="s">
        <v>466</v>
      </c>
      <c r="BY15" s="1032" t="s">
        <v>466</v>
      </c>
      <c r="BZ15" s="1031" t="s">
        <v>462</v>
      </c>
      <c r="CA15" s="1033" t="s">
        <v>466</v>
      </c>
      <c r="CB15" s="1032" t="s">
        <v>466</v>
      </c>
      <c r="CC15" s="1031" t="s">
        <v>462</v>
      </c>
      <c r="CD15" s="1033" t="s">
        <v>466</v>
      </c>
      <c r="CE15" s="1032" t="s">
        <v>466</v>
      </c>
      <c r="CF15" s="1031" t="s">
        <v>462</v>
      </c>
      <c r="CG15" s="1033" t="s">
        <v>466</v>
      </c>
      <c r="CH15" s="1032" t="s">
        <v>466</v>
      </c>
      <c r="CI15" s="1031" t="s">
        <v>462</v>
      </c>
      <c r="CJ15" s="1033" t="s">
        <v>466</v>
      </c>
      <c r="CK15" s="1032" t="s">
        <v>466</v>
      </c>
      <c r="CL15" s="1031" t="s">
        <v>462</v>
      </c>
      <c r="CM15" s="1033" t="s">
        <v>466</v>
      </c>
      <c r="CN15" s="1032" t="s">
        <v>466</v>
      </c>
      <c r="CO15" s="1031" t="s">
        <v>462</v>
      </c>
      <c r="CP15" s="1033" t="s">
        <v>466</v>
      </c>
      <c r="CQ15" s="1032" t="s">
        <v>466</v>
      </c>
      <c r="CR15" s="1031" t="s">
        <v>462</v>
      </c>
      <c r="CS15" s="1033" t="s">
        <v>466</v>
      </c>
      <c r="CT15" s="1032" t="s">
        <v>466</v>
      </c>
      <c r="CU15" s="1031" t="s">
        <v>462</v>
      </c>
      <c r="CV15" s="1033" t="s">
        <v>466</v>
      </c>
      <c r="CW15" s="1032" t="s">
        <v>466</v>
      </c>
      <c r="CX15" s="1031" t="s">
        <v>462</v>
      </c>
      <c r="CY15" s="1033" t="s">
        <v>466</v>
      </c>
      <c r="CZ15" s="1032" t="s">
        <v>466</v>
      </c>
      <c r="DA15" s="1031" t="s">
        <v>462</v>
      </c>
      <c r="DB15" s="1033" t="s">
        <v>466</v>
      </c>
      <c r="DC15" s="1032" t="s">
        <v>466</v>
      </c>
      <c r="DD15" s="1031" t="s">
        <v>462</v>
      </c>
      <c r="DE15" s="1033" t="s">
        <v>466</v>
      </c>
      <c r="DF15" s="1032" t="s">
        <v>466</v>
      </c>
      <c r="DG15" s="1031" t="s">
        <v>462</v>
      </c>
      <c r="DH15" s="1033" t="s">
        <v>466</v>
      </c>
      <c r="DI15" s="1032" t="s">
        <v>466</v>
      </c>
      <c r="DJ15" s="1031" t="s">
        <v>462</v>
      </c>
      <c r="DK15" s="1033" t="s">
        <v>466</v>
      </c>
      <c r="DL15" s="1032" t="s">
        <v>466</v>
      </c>
      <c r="DM15" s="1031" t="s">
        <v>462</v>
      </c>
      <c r="DN15" s="1033" t="s">
        <v>466</v>
      </c>
      <c r="DO15" s="1032" t="s">
        <v>466</v>
      </c>
      <c r="DP15" s="1031" t="s">
        <v>462</v>
      </c>
      <c r="DQ15" s="1033" t="s">
        <v>466</v>
      </c>
      <c r="DR15" s="1032" t="s">
        <v>466</v>
      </c>
      <c r="DS15" s="1031" t="s">
        <v>462</v>
      </c>
      <c r="DT15" s="1033" t="s">
        <v>466</v>
      </c>
      <c r="DU15" s="1032" t="s">
        <v>466</v>
      </c>
      <c r="DV15" s="1031" t="s">
        <v>462</v>
      </c>
      <c r="DW15" s="1033" t="s">
        <v>466</v>
      </c>
      <c r="DX15" s="1032" t="s">
        <v>466</v>
      </c>
      <c r="DY15" s="1031" t="s">
        <v>462</v>
      </c>
      <c r="DZ15" s="1033" t="s">
        <v>466</v>
      </c>
      <c r="EA15" s="1032" t="s">
        <v>466</v>
      </c>
      <c r="EB15" s="1031" t="s">
        <v>462</v>
      </c>
      <c r="EC15" s="1033" t="s">
        <v>466</v>
      </c>
      <c r="ED15" s="68"/>
      <c r="EE15" s="68"/>
      <c r="EF15" s="68"/>
    </row>
    <row r="16" ht="15.0" customHeight="1" outlineLevel="1">
      <c r="A16" s="60">
        <v>16.0</v>
      </c>
      <c r="B16" s="747" t="s">
        <v>112</v>
      </c>
      <c r="C16" s="747" t="s">
        <v>113</v>
      </c>
      <c r="D16" s="71" t="s">
        <v>85</v>
      </c>
      <c r="E16" s="138" t="s">
        <v>114</v>
      </c>
      <c r="F16" s="754">
        <v>1106.0</v>
      </c>
      <c r="G16" s="139" t="s">
        <v>115</v>
      </c>
      <c r="H16" s="150">
        <v>0.0</v>
      </c>
      <c r="I16" s="126" t="str">
        <f>IFERROR(VLOOKUP(C13:C155,'R22 RELATÓRIO ACC'!B:F,5,FALSE),"NOT PUBLISHED")</f>
        <v>NOT PUBLISHED</v>
      </c>
      <c r="J16" s="126" t="str">
        <f>IFERROR(VLOOKUP(C13:C155,'R22 RELATÓRIO ACC'!B:P,15,FALSE),"NOT PUBLISHED")</f>
        <v>NOT PUBLISHED</v>
      </c>
      <c r="K16" s="746" t="str">
        <f>IFERROR(VLOOKUP(B13:B155,'RELATÓRIO ACC'!B:F,5,FALSE),"NOT PUBLISHED")</f>
        <v>NOT PUBLISHED</v>
      </c>
      <c r="L16" s="748" t="str">
        <f>IFERROR(VLOOKUP(B13:B155,'RELATÓRIO ACC'!B:P,15,FALSE),"NOT PUBLISHED")</f>
        <v>NOT PUBLISHED</v>
      </c>
      <c r="M16" s="141" t="s">
        <v>595</v>
      </c>
      <c r="N16" s="141" t="s">
        <v>595</v>
      </c>
      <c r="O16" s="1042" t="s">
        <v>466</v>
      </c>
      <c r="P16" s="1043"/>
      <c r="Q16" s="746" t="s">
        <v>466</v>
      </c>
      <c r="R16" s="74" t="s">
        <v>462</v>
      </c>
      <c r="S16" s="746" t="s">
        <v>466</v>
      </c>
      <c r="T16" s="746" t="s">
        <v>466</v>
      </c>
      <c r="U16" s="74" t="s">
        <v>462</v>
      </c>
      <c r="V16" s="746" t="s">
        <v>466</v>
      </c>
      <c r="W16" s="746" t="s">
        <v>466</v>
      </c>
      <c r="X16" s="74" t="s">
        <v>462</v>
      </c>
      <c r="Y16" s="749" t="s">
        <v>466</v>
      </c>
      <c r="Z16" s="746" t="s">
        <v>466</v>
      </c>
      <c r="AA16" s="74" t="s">
        <v>462</v>
      </c>
      <c r="AB16" s="750" t="s">
        <v>466</v>
      </c>
      <c r="AC16" s="746" t="s">
        <v>466</v>
      </c>
      <c r="AD16" s="74" t="s">
        <v>462</v>
      </c>
      <c r="AE16" s="750" t="s">
        <v>466</v>
      </c>
      <c r="AF16" s="746" t="s">
        <v>466</v>
      </c>
      <c r="AG16" s="74" t="s">
        <v>462</v>
      </c>
      <c r="AH16" s="750" t="s">
        <v>466</v>
      </c>
      <c r="AI16" s="746" t="s">
        <v>466</v>
      </c>
      <c r="AJ16" s="74" t="s">
        <v>462</v>
      </c>
      <c r="AK16" s="750" t="s">
        <v>466</v>
      </c>
      <c r="AL16" s="746" t="s">
        <v>466</v>
      </c>
      <c r="AM16" s="74" t="s">
        <v>462</v>
      </c>
      <c r="AN16" s="750" t="s">
        <v>466</v>
      </c>
      <c r="AO16" s="746" t="s">
        <v>466</v>
      </c>
      <c r="AP16" s="74" t="s">
        <v>462</v>
      </c>
      <c r="AQ16" s="750" t="s">
        <v>466</v>
      </c>
      <c r="AR16" s="746" t="s">
        <v>466</v>
      </c>
      <c r="AS16" s="74" t="s">
        <v>462</v>
      </c>
      <c r="AT16" s="750" t="s">
        <v>466</v>
      </c>
      <c r="AU16" s="746" t="s">
        <v>466</v>
      </c>
      <c r="AV16" s="74" t="s">
        <v>462</v>
      </c>
      <c r="AW16" s="750" t="s">
        <v>466</v>
      </c>
      <c r="AX16" s="746" t="s">
        <v>466</v>
      </c>
      <c r="AY16" s="74" t="s">
        <v>462</v>
      </c>
      <c r="AZ16" s="750" t="s">
        <v>466</v>
      </c>
      <c r="BA16" s="1032" t="s">
        <v>466</v>
      </c>
      <c r="BB16" s="1031" t="s">
        <v>462</v>
      </c>
      <c r="BC16" s="1033" t="s">
        <v>466</v>
      </c>
      <c r="BD16" s="1032" t="s">
        <v>466</v>
      </c>
      <c r="BE16" s="1031" t="s">
        <v>462</v>
      </c>
      <c r="BF16" s="1033" t="s">
        <v>466</v>
      </c>
      <c r="BG16" s="1032" t="s">
        <v>466</v>
      </c>
      <c r="BH16" s="1031" t="s">
        <v>462</v>
      </c>
      <c r="BI16" s="1033" t="s">
        <v>466</v>
      </c>
      <c r="BJ16" s="1032" t="s">
        <v>466</v>
      </c>
      <c r="BK16" s="1031" t="s">
        <v>462</v>
      </c>
      <c r="BL16" s="1033" t="s">
        <v>466</v>
      </c>
      <c r="BM16" s="1032" t="s">
        <v>466</v>
      </c>
      <c r="BN16" s="1031" t="s">
        <v>462</v>
      </c>
      <c r="BO16" s="1033" t="s">
        <v>466</v>
      </c>
      <c r="BP16" s="1032" t="s">
        <v>466</v>
      </c>
      <c r="BQ16" s="1031" t="s">
        <v>462</v>
      </c>
      <c r="BR16" s="1033" t="s">
        <v>466</v>
      </c>
      <c r="BS16" s="1032" t="s">
        <v>466</v>
      </c>
      <c r="BT16" s="1031" t="s">
        <v>462</v>
      </c>
      <c r="BU16" s="1033" t="s">
        <v>466</v>
      </c>
      <c r="BV16" s="1032" t="s">
        <v>466</v>
      </c>
      <c r="BW16" s="1031" t="s">
        <v>462</v>
      </c>
      <c r="BX16" s="1033" t="s">
        <v>466</v>
      </c>
      <c r="BY16" s="1032" t="s">
        <v>466</v>
      </c>
      <c r="BZ16" s="1031" t="s">
        <v>462</v>
      </c>
      <c r="CA16" s="1033" t="s">
        <v>466</v>
      </c>
      <c r="CB16" s="1032" t="s">
        <v>466</v>
      </c>
      <c r="CC16" s="1031" t="s">
        <v>462</v>
      </c>
      <c r="CD16" s="1033" t="s">
        <v>466</v>
      </c>
      <c r="CE16" s="1032" t="s">
        <v>466</v>
      </c>
      <c r="CF16" s="1031" t="s">
        <v>462</v>
      </c>
      <c r="CG16" s="1033" t="s">
        <v>466</v>
      </c>
      <c r="CH16" s="1032" t="s">
        <v>466</v>
      </c>
      <c r="CI16" s="1031" t="s">
        <v>462</v>
      </c>
      <c r="CJ16" s="1033" t="s">
        <v>466</v>
      </c>
      <c r="CK16" s="1032" t="s">
        <v>466</v>
      </c>
      <c r="CL16" s="1031" t="s">
        <v>462</v>
      </c>
      <c r="CM16" s="1033" t="s">
        <v>466</v>
      </c>
      <c r="CN16" s="1032" t="s">
        <v>466</v>
      </c>
      <c r="CO16" s="1031" t="s">
        <v>462</v>
      </c>
      <c r="CP16" s="1033" t="s">
        <v>466</v>
      </c>
      <c r="CQ16" s="1032" t="s">
        <v>466</v>
      </c>
      <c r="CR16" s="1031" t="s">
        <v>462</v>
      </c>
      <c r="CS16" s="1033" t="s">
        <v>466</v>
      </c>
      <c r="CT16" s="1032" t="s">
        <v>466</v>
      </c>
      <c r="CU16" s="1031" t="s">
        <v>462</v>
      </c>
      <c r="CV16" s="1033" t="s">
        <v>466</v>
      </c>
      <c r="CW16" s="1032" t="s">
        <v>466</v>
      </c>
      <c r="CX16" s="1031" t="s">
        <v>462</v>
      </c>
      <c r="CY16" s="1033" t="s">
        <v>466</v>
      </c>
      <c r="CZ16" s="1032" t="s">
        <v>466</v>
      </c>
      <c r="DA16" s="1031" t="s">
        <v>462</v>
      </c>
      <c r="DB16" s="1033" t="s">
        <v>466</v>
      </c>
      <c r="DC16" s="1032" t="s">
        <v>466</v>
      </c>
      <c r="DD16" s="1031" t="s">
        <v>462</v>
      </c>
      <c r="DE16" s="1033" t="s">
        <v>466</v>
      </c>
      <c r="DF16" s="1032" t="s">
        <v>466</v>
      </c>
      <c r="DG16" s="1031" t="s">
        <v>462</v>
      </c>
      <c r="DH16" s="1033" t="s">
        <v>466</v>
      </c>
      <c r="DI16" s="1032" t="s">
        <v>466</v>
      </c>
      <c r="DJ16" s="1031" t="s">
        <v>462</v>
      </c>
      <c r="DK16" s="1033" t="s">
        <v>466</v>
      </c>
      <c r="DL16" s="1032" t="s">
        <v>466</v>
      </c>
      <c r="DM16" s="1031" t="s">
        <v>462</v>
      </c>
      <c r="DN16" s="1033" t="s">
        <v>466</v>
      </c>
      <c r="DO16" s="1032" t="s">
        <v>466</v>
      </c>
      <c r="DP16" s="1031" t="s">
        <v>462</v>
      </c>
      <c r="DQ16" s="1033" t="s">
        <v>466</v>
      </c>
      <c r="DR16" s="1032" t="s">
        <v>466</v>
      </c>
      <c r="DS16" s="1031" t="s">
        <v>462</v>
      </c>
      <c r="DT16" s="1033" t="s">
        <v>466</v>
      </c>
      <c r="DU16" s="1032" t="s">
        <v>466</v>
      </c>
      <c r="DV16" s="1031" t="s">
        <v>462</v>
      </c>
      <c r="DW16" s="1033" t="s">
        <v>466</v>
      </c>
      <c r="DX16" s="1032" t="s">
        <v>466</v>
      </c>
      <c r="DY16" s="1031" t="s">
        <v>462</v>
      </c>
      <c r="DZ16" s="1033" t="s">
        <v>466</v>
      </c>
      <c r="EA16" s="1032" t="s">
        <v>466</v>
      </c>
      <c r="EB16" s="1031" t="s">
        <v>462</v>
      </c>
      <c r="EC16" s="1033" t="s">
        <v>466</v>
      </c>
      <c r="ED16" s="68"/>
      <c r="EE16" s="68"/>
      <c r="EF16" s="68"/>
    </row>
    <row r="17" ht="15.0" customHeight="1" outlineLevel="1">
      <c r="A17" s="60">
        <v>18.0</v>
      </c>
      <c r="B17" s="747" t="s">
        <v>116</v>
      </c>
      <c r="C17" s="747" t="s">
        <v>117</v>
      </c>
      <c r="D17" s="71" t="s">
        <v>85</v>
      </c>
      <c r="E17" s="146" t="s">
        <v>118</v>
      </c>
      <c r="F17" s="754">
        <v>1107.0</v>
      </c>
      <c r="G17" s="147" t="s">
        <v>119</v>
      </c>
      <c r="H17" s="150">
        <v>0.0</v>
      </c>
      <c r="I17" s="126" t="str">
        <f>IFERROR(VLOOKUP(C14:C156,'R22 RELATÓRIO ACC'!B:F,5,FALSE),"NOT PUBLISHED")</f>
        <v>NOT PUBLISHED</v>
      </c>
      <c r="J17" s="126" t="str">
        <f>IFERROR(VLOOKUP(C14:C156,'R22 RELATÓRIO ACC'!B:P,15,FALSE),"NOT PUBLISHED")</f>
        <v>NOT PUBLISHED</v>
      </c>
      <c r="K17" s="746" t="str">
        <f>IFERROR(VLOOKUP(B14:B156,'RELATÓRIO ACC'!B:F,5,FALSE),"NOT PUBLISHED")</f>
        <v>NOT PUBLISHED</v>
      </c>
      <c r="L17" s="748" t="str">
        <f>IFERROR(VLOOKUP(B14:B156,'RELATÓRIO ACC'!B:P,15,FALSE),"NOT PUBLISHED")</f>
        <v>NOT PUBLISHED</v>
      </c>
      <c r="M17" s="141" t="s">
        <v>595</v>
      </c>
      <c r="N17" s="749" t="s">
        <v>595</v>
      </c>
      <c r="O17" s="1042" t="s">
        <v>466</v>
      </c>
      <c r="P17" s="1043"/>
      <c r="Q17" s="746" t="s">
        <v>466</v>
      </c>
      <c r="R17" s="74" t="s">
        <v>462</v>
      </c>
      <c r="S17" s="749" t="s">
        <v>466</v>
      </c>
      <c r="T17" s="746" t="s">
        <v>466</v>
      </c>
      <c r="U17" s="74" t="s">
        <v>462</v>
      </c>
      <c r="V17" s="749" t="s">
        <v>466</v>
      </c>
      <c r="W17" s="746" t="s">
        <v>466</v>
      </c>
      <c r="X17" s="74" t="s">
        <v>462</v>
      </c>
      <c r="Y17" s="749" t="s">
        <v>466</v>
      </c>
      <c r="Z17" s="746" t="s">
        <v>466</v>
      </c>
      <c r="AA17" s="74" t="s">
        <v>462</v>
      </c>
      <c r="AB17" s="753" t="s">
        <v>466</v>
      </c>
      <c r="AC17" s="746" t="s">
        <v>466</v>
      </c>
      <c r="AD17" s="74" t="s">
        <v>462</v>
      </c>
      <c r="AE17" s="749" t="s">
        <v>466</v>
      </c>
      <c r="AF17" s="746" t="s">
        <v>466</v>
      </c>
      <c r="AG17" s="74" t="s">
        <v>462</v>
      </c>
      <c r="AH17" s="749" t="s">
        <v>466</v>
      </c>
      <c r="AI17" s="746" t="s">
        <v>466</v>
      </c>
      <c r="AJ17" s="74" t="s">
        <v>462</v>
      </c>
      <c r="AK17" s="749" t="s">
        <v>466</v>
      </c>
      <c r="AL17" s="746" t="s">
        <v>466</v>
      </c>
      <c r="AM17" s="74" t="s">
        <v>462</v>
      </c>
      <c r="AN17" s="749" t="s">
        <v>466</v>
      </c>
      <c r="AO17" s="1037" t="s">
        <v>466</v>
      </c>
      <c r="AP17" s="74" t="s">
        <v>462</v>
      </c>
      <c r="AQ17" s="1037" t="s">
        <v>466</v>
      </c>
      <c r="AR17" s="1037" t="s">
        <v>466</v>
      </c>
      <c r="AS17" s="74" t="s">
        <v>462</v>
      </c>
      <c r="AT17" s="1037" t="s">
        <v>466</v>
      </c>
      <c r="AU17" s="1037" t="s">
        <v>466</v>
      </c>
      <c r="AV17" s="74" t="s">
        <v>462</v>
      </c>
      <c r="AW17" s="1037" t="s">
        <v>466</v>
      </c>
      <c r="AX17" s="1037" t="s">
        <v>466</v>
      </c>
      <c r="AY17" s="74" t="s">
        <v>462</v>
      </c>
      <c r="AZ17" s="1037" t="s">
        <v>466</v>
      </c>
      <c r="BA17" s="1039" t="s">
        <v>466</v>
      </c>
      <c r="BB17" s="1031" t="s">
        <v>462</v>
      </c>
      <c r="BC17" s="1039" t="s">
        <v>466</v>
      </c>
      <c r="BD17" s="1039" t="s">
        <v>466</v>
      </c>
      <c r="BE17" s="1031" t="s">
        <v>462</v>
      </c>
      <c r="BF17" s="1039" t="s">
        <v>466</v>
      </c>
      <c r="BG17" s="1039" t="s">
        <v>466</v>
      </c>
      <c r="BH17" s="1031" t="s">
        <v>462</v>
      </c>
      <c r="BI17" s="1039" t="s">
        <v>466</v>
      </c>
      <c r="BJ17" s="1039" t="s">
        <v>466</v>
      </c>
      <c r="BK17" s="1031" t="s">
        <v>462</v>
      </c>
      <c r="BL17" s="1039" t="s">
        <v>466</v>
      </c>
      <c r="BM17" s="1039" t="s">
        <v>466</v>
      </c>
      <c r="BN17" s="1031" t="s">
        <v>462</v>
      </c>
      <c r="BO17" s="1039" t="s">
        <v>466</v>
      </c>
      <c r="BP17" s="1039" t="s">
        <v>466</v>
      </c>
      <c r="BQ17" s="1031" t="s">
        <v>462</v>
      </c>
      <c r="BR17" s="1039" t="s">
        <v>466</v>
      </c>
      <c r="BS17" s="1039" t="s">
        <v>466</v>
      </c>
      <c r="BT17" s="1031" t="s">
        <v>462</v>
      </c>
      <c r="BU17" s="1039" t="s">
        <v>466</v>
      </c>
      <c r="BV17" s="1039" t="s">
        <v>466</v>
      </c>
      <c r="BW17" s="1031" t="s">
        <v>462</v>
      </c>
      <c r="BX17" s="1039" t="s">
        <v>466</v>
      </c>
      <c r="BY17" s="1039" t="s">
        <v>466</v>
      </c>
      <c r="BZ17" s="1031" t="s">
        <v>462</v>
      </c>
      <c r="CA17" s="1039" t="s">
        <v>466</v>
      </c>
      <c r="CB17" s="1039" t="s">
        <v>466</v>
      </c>
      <c r="CC17" s="1031" t="s">
        <v>462</v>
      </c>
      <c r="CD17" s="1039" t="s">
        <v>466</v>
      </c>
      <c r="CE17" s="1039" t="s">
        <v>466</v>
      </c>
      <c r="CF17" s="1031" t="s">
        <v>462</v>
      </c>
      <c r="CG17" s="1039" t="s">
        <v>466</v>
      </c>
      <c r="CH17" s="1039" t="s">
        <v>466</v>
      </c>
      <c r="CI17" s="1031" t="s">
        <v>462</v>
      </c>
      <c r="CJ17" s="1039" t="s">
        <v>466</v>
      </c>
      <c r="CK17" s="1039" t="s">
        <v>466</v>
      </c>
      <c r="CL17" s="1031" t="s">
        <v>462</v>
      </c>
      <c r="CM17" s="1039" t="s">
        <v>466</v>
      </c>
      <c r="CN17" s="1039" t="s">
        <v>466</v>
      </c>
      <c r="CO17" s="1031" t="s">
        <v>462</v>
      </c>
      <c r="CP17" s="1039" t="s">
        <v>466</v>
      </c>
      <c r="CQ17" s="1039" t="s">
        <v>466</v>
      </c>
      <c r="CR17" s="1031" t="s">
        <v>462</v>
      </c>
      <c r="CS17" s="1039" t="s">
        <v>466</v>
      </c>
      <c r="CT17" s="1039" t="s">
        <v>466</v>
      </c>
      <c r="CU17" s="1031" t="s">
        <v>462</v>
      </c>
      <c r="CV17" s="1039" t="s">
        <v>466</v>
      </c>
      <c r="CW17" s="1039" t="s">
        <v>466</v>
      </c>
      <c r="CX17" s="1031" t="s">
        <v>462</v>
      </c>
      <c r="CY17" s="1039" t="s">
        <v>466</v>
      </c>
      <c r="CZ17" s="1039" t="s">
        <v>466</v>
      </c>
      <c r="DA17" s="1031" t="s">
        <v>462</v>
      </c>
      <c r="DB17" s="1039" t="s">
        <v>466</v>
      </c>
      <c r="DC17" s="1039" t="s">
        <v>466</v>
      </c>
      <c r="DD17" s="1031" t="s">
        <v>462</v>
      </c>
      <c r="DE17" s="1039" t="s">
        <v>466</v>
      </c>
      <c r="DF17" s="1039" t="s">
        <v>466</v>
      </c>
      <c r="DG17" s="1031" t="s">
        <v>462</v>
      </c>
      <c r="DH17" s="1039" t="s">
        <v>466</v>
      </c>
      <c r="DI17" s="1039" t="s">
        <v>466</v>
      </c>
      <c r="DJ17" s="1031" t="s">
        <v>462</v>
      </c>
      <c r="DK17" s="1039" t="s">
        <v>466</v>
      </c>
      <c r="DL17" s="1039" t="s">
        <v>466</v>
      </c>
      <c r="DM17" s="1031" t="s">
        <v>462</v>
      </c>
      <c r="DN17" s="1039" t="s">
        <v>466</v>
      </c>
      <c r="DO17" s="1039" t="s">
        <v>466</v>
      </c>
      <c r="DP17" s="1031" t="s">
        <v>462</v>
      </c>
      <c r="DQ17" s="1039" t="s">
        <v>466</v>
      </c>
      <c r="DR17" s="1039" t="s">
        <v>466</v>
      </c>
      <c r="DS17" s="1031" t="s">
        <v>462</v>
      </c>
      <c r="DT17" s="1039" t="s">
        <v>466</v>
      </c>
      <c r="DU17" s="1039" t="s">
        <v>466</v>
      </c>
      <c r="DV17" s="1031" t="s">
        <v>462</v>
      </c>
      <c r="DW17" s="1039" t="s">
        <v>466</v>
      </c>
      <c r="DX17" s="1039" t="s">
        <v>466</v>
      </c>
      <c r="DY17" s="1031" t="s">
        <v>462</v>
      </c>
      <c r="DZ17" s="1039" t="s">
        <v>466</v>
      </c>
      <c r="EA17" s="1039" t="s">
        <v>466</v>
      </c>
      <c r="EB17" s="1031" t="s">
        <v>462</v>
      </c>
      <c r="EC17" s="1039" t="s">
        <v>466</v>
      </c>
      <c r="ED17" s="68"/>
      <c r="EE17" s="68"/>
      <c r="EF17" s="68"/>
    </row>
    <row r="18" ht="15.0" customHeight="1" outlineLevel="1">
      <c r="A18" s="60">
        <v>27.0</v>
      </c>
      <c r="B18" s="747" t="s">
        <v>147</v>
      </c>
      <c r="C18" s="747" t="s">
        <v>148</v>
      </c>
      <c r="D18" s="71" t="s">
        <v>85</v>
      </c>
      <c r="E18" s="146" t="s">
        <v>115</v>
      </c>
      <c r="F18" s="754">
        <v>0.0</v>
      </c>
      <c r="G18" s="150" t="s">
        <v>115</v>
      </c>
      <c r="H18" s="150">
        <v>0.0</v>
      </c>
      <c r="I18" s="126" t="str">
        <f>IFERROR(VLOOKUP(C15:C157,'R22 RELATÓRIO ACC'!B:F,5,FALSE),"NOT PUBLISHED")</f>
        <v>NOT PUBLISHED</v>
      </c>
      <c r="J18" s="126" t="str">
        <f>IFERROR(VLOOKUP(C15:C157,'R22 RELATÓRIO ACC'!B:P,15,FALSE),"NOT PUBLISHED")</f>
        <v>NOT PUBLISHED</v>
      </c>
      <c r="K18" s="746" t="str">
        <f>IFERROR(VLOOKUP(B15:B157,'RELATÓRIO ACC'!B:F,5,FALSE),"NOT PUBLISHED")</f>
        <v>NOT PUBLISHED</v>
      </c>
      <c r="L18" s="748" t="str">
        <f>IFERROR(VLOOKUP(B15:B157,'RELATÓRIO ACC'!B:P,15,FALSE),"NOT PUBLISHED")</f>
        <v>NOT PUBLISHED</v>
      </c>
      <c r="M18" s="141" t="s">
        <v>595</v>
      </c>
      <c r="N18" s="749" t="s">
        <v>595</v>
      </c>
      <c r="O18" s="1042" t="s">
        <v>466</v>
      </c>
      <c r="P18" s="1043"/>
      <c r="Q18" s="746" t="s">
        <v>466</v>
      </c>
      <c r="R18" s="74" t="s">
        <v>462</v>
      </c>
      <c r="S18" s="749" t="s">
        <v>466</v>
      </c>
      <c r="T18" s="746" t="s">
        <v>466</v>
      </c>
      <c r="U18" s="74" t="s">
        <v>462</v>
      </c>
      <c r="V18" s="749" t="s">
        <v>466</v>
      </c>
      <c r="W18" s="746" t="s">
        <v>466</v>
      </c>
      <c r="X18" s="749" t="s">
        <v>462</v>
      </c>
      <c r="Y18" s="749" t="s">
        <v>466</v>
      </c>
      <c r="Z18" s="746" t="s">
        <v>466</v>
      </c>
      <c r="AA18" s="749" t="s">
        <v>462</v>
      </c>
      <c r="AB18" s="750" t="s">
        <v>466</v>
      </c>
      <c r="AC18" s="746" t="s">
        <v>466</v>
      </c>
      <c r="AD18" s="74" t="s">
        <v>462</v>
      </c>
      <c r="AE18" s="746" t="s">
        <v>466</v>
      </c>
      <c r="AF18" s="746" t="s">
        <v>466</v>
      </c>
      <c r="AG18" s="74" t="s">
        <v>462</v>
      </c>
      <c r="AH18" s="746" t="s">
        <v>466</v>
      </c>
      <c r="AI18" s="746" t="s">
        <v>466</v>
      </c>
      <c r="AJ18" s="74" t="s">
        <v>462</v>
      </c>
      <c r="AK18" s="753" t="s">
        <v>466</v>
      </c>
      <c r="AL18" s="746" t="s">
        <v>466</v>
      </c>
      <c r="AM18" s="74" t="s">
        <v>462</v>
      </c>
      <c r="AN18" s="746" t="s">
        <v>466</v>
      </c>
      <c r="AO18" s="746" t="s">
        <v>466</v>
      </c>
      <c r="AP18" s="74" t="s">
        <v>462</v>
      </c>
      <c r="AQ18" s="746" t="s">
        <v>466</v>
      </c>
      <c r="AR18" s="746" t="s">
        <v>466</v>
      </c>
      <c r="AS18" s="74" t="s">
        <v>462</v>
      </c>
      <c r="AT18" s="750" t="s">
        <v>466</v>
      </c>
      <c r="AU18" s="746" t="s">
        <v>466</v>
      </c>
      <c r="AV18" s="74" t="s">
        <v>462</v>
      </c>
      <c r="AW18" s="750" t="s">
        <v>466</v>
      </c>
      <c r="AX18" s="746" t="s">
        <v>466</v>
      </c>
      <c r="AY18" s="74" t="s">
        <v>462</v>
      </c>
      <c r="AZ18" s="750" t="s">
        <v>466</v>
      </c>
      <c r="BA18" s="1032" t="s">
        <v>466</v>
      </c>
      <c r="BB18" s="1031" t="s">
        <v>462</v>
      </c>
      <c r="BC18" s="1033" t="s">
        <v>466</v>
      </c>
      <c r="BD18" s="1032" t="s">
        <v>466</v>
      </c>
      <c r="BE18" s="1031" t="s">
        <v>462</v>
      </c>
      <c r="BF18" s="1033" t="s">
        <v>466</v>
      </c>
      <c r="BG18" s="1032" t="s">
        <v>466</v>
      </c>
      <c r="BH18" s="1031" t="s">
        <v>462</v>
      </c>
      <c r="BI18" s="1033" t="s">
        <v>466</v>
      </c>
      <c r="BJ18" s="1032" t="s">
        <v>466</v>
      </c>
      <c r="BK18" s="1031" t="s">
        <v>462</v>
      </c>
      <c r="BL18" s="1033" t="s">
        <v>466</v>
      </c>
      <c r="BM18" s="1032" t="s">
        <v>466</v>
      </c>
      <c r="BN18" s="1031" t="s">
        <v>462</v>
      </c>
      <c r="BO18" s="1033" t="s">
        <v>466</v>
      </c>
      <c r="BP18" s="1032" t="s">
        <v>466</v>
      </c>
      <c r="BQ18" s="1031" t="s">
        <v>462</v>
      </c>
      <c r="BR18" s="1033" t="s">
        <v>466</v>
      </c>
      <c r="BS18" s="1032" t="s">
        <v>466</v>
      </c>
      <c r="BT18" s="1031" t="s">
        <v>462</v>
      </c>
      <c r="BU18" s="1033" t="s">
        <v>466</v>
      </c>
      <c r="BV18" s="1032" t="s">
        <v>466</v>
      </c>
      <c r="BW18" s="1031" t="s">
        <v>462</v>
      </c>
      <c r="BX18" s="1033" t="s">
        <v>466</v>
      </c>
      <c r="BY18" s="1032" t="s">
        <v>466</v>
      </c>
      <c r="BZ18" s="1031" t="s">
        <v>462</v>
      </c>
      <c r="CA18" s="1033" t="s">
        <v>466</v>
      </c>
      <c r="CB18" s="1032" t="s">
        <v>466</v>
      </c>
      <c r="CC18" s="1031" t="s">
        <v>462</v>
      </c>
      <c r="CD18" s="1033" t="s">
        <v>466</v>
      </c>
      <c r="CE18" s="1032" t="s">
        <v>466</v>
      </c>
      <c r="CF18" s="1031" t="s">
        <v>462</v>
      </c>
      <c r="CG18" s="1033" t="s">
        <v>466</v>
      </c>
      <c r="CH18" s="1032" t="s">
        <v>466</v>
      </c>
      <c r="CI18" s="1031" t="s">
        <v>462</v>
      </c>
      <c r="CJ18" s="1033" t="s">
        <v>466</v>
      </c>
      <c r="CK18" s="1032" t="s">
        <v>466</v>
      </c>
      <c r="CL18" s="1031" t="s">
        <v>462</v>
      </c>
      <c r="CM18" s="1033" t="s">
        <v>466</v>
      </c>
      <c r="CN18" s="1032" t="s">
        <v>466</v>
      </c>
      <c r="CO18" s="1031" t="s">
        <v>462</v>
      </c>
      <c r="CP18" s="1033" t="s">
        <v>466</v>
      </c>
      <c r="CQ18" s="1032" t="s">
        <v>466</v>
      </c>
      <c r="CR18" s="1031" t="s">
        <v>462</v>
      </c>
      <c r="CS18" s="1033" t="s">
        <v>466</v>
      </c>
      <c r="CT18" s="1032" t="s">
        <v>466</v>
      </c>
      <c r="CU18" s="1031" t="s">
        <v>462</v>
      </c>
      <c r="CV18" s="1033" t="s">
        <v>466</v>
      </c>
      <c r="CW18" s="1032" t="s">
        <v>466</v>
      </c>
      <c r="CX18" s="1031" t="s">
        <v>462</v>
      </c>
      <c r="CY18" s="1033" t="s">
        <v>466</v>
      </c>
      <c r="CZ18" s="1032" t="s">
        <v>466</v>
      </c>
      <c r="DA18" s="1031" t="s">
        <v>462</v>
      </c>
      <c r="DB18" s="1033" t="s">
        <v>466</v>
      </c>
      <c r="DC18" s="1032" t="s">
        <v>466</v>
      </c>
      <c r="DD18" s="1031" t="s">
        <v>462</v>
      </c>
      <c r="DE18" s="1033" t="s">
        <v>466</v>
      </c>
      <c r="DF18" s="1032" t="s">
        <v>466</v>
      </c>
      <c r="DG18" s="1031" t="s">
        <v>462</v>
      </c>
      <c r="DH18" s="1033" t="s">
        <v>466</v>
      </c>
      <c r="DI18" s="1032" t="s">
        <v>466</v>
      </c>
      <c r="DJ18" s="1031" t="s">
        <v>462</v>
      </c>
      <c r="DK18" s="1033" t="s">
        <v>466</v>
      </c>
      <c r="DL18" s="1032" t="s">
        <v>466</v>
      </c>
      <c r="DM18" s="1031" t="s">
        <v>462</v>
      </c>
      <c r="DN18" s="1033" t="s">
        <v>466</v>
      </c>
      <c r="DO18" s="1032" t="s">
        <v>466</v>
      </c>
      <c r="DP18" s="1031" t="s">
        <v>462</v>
      </c>
      <c r="DQ18" s="1033" t="s">
        <v>466</v>
      </c>
      <c r="DR18" s="1032" t="s">
        <v>466</v>
      </c>
      <c r="DS18" s="1031" t="s">
        <v>462</v>
      </c>
      <c r="DT18" s="1033" t="s">
        <v>466</v>
      </c>
      <c r="DU18" s="1032" t="s">
        <v>466</v>
      </c>
      <c r="DV18" s="1031" t="s">
        <v>462</v>
      </c>
      <c r="DW18" s="1033" t="s">
        <v>466</v>
      </c>
      <c r="DX18" s="1032" t="s">
        <v>466</v>
      </c>
      <c r="DY18" s="1031" t="s">
        <v>462</v>
      </c>
      <c r="DZ18" s="1033" t="s">
        <v>466</v>
      </c>
      <c r="EA18" s="1032" t="s">
        <v>466</v>
      </c>
      <c r="EB18" s="1031" t="s">
        <v>462</v>
      </c>
      <c r="EC18" s="1033" t="s">
        <v>466</v>
      </c>
      <c r="ED18" s="68"/>
      <c r="EE18" s="68"/>
      <c r="EF18" s="68"/>
    </row>
    <row r="19" ht="15.0" customHeight="1" outlineLevel="1">
      <c r="A19" s="60">
        <v>100.0</v>
      </c>
      <c r="B19" s="747" t="s">
        <v>304</v>
      </c>
      <c r="C19" s="747" t="s">
        <v>305</v>
      </c>
      <c r="D19" s="71" t="s">
        <v>85</v>
      </c>
      <c r="E19" s="146" t="s">
        <v>303</v>
      </c>
      <c r="F19" s="72">
        <v>1122.0</v>
      </c>
      <c r="G19" s="147" t="s">
        <v>288</v>
      </c>
      <c r="H19" s="150">
        <v>0.0</v>
      </c>
      <c r="I19" s="126" t="str">
        <f>IFERROR(VLOOKUP(C16:C158,'R22 RELATÓRIO ACC'!B:F,5,FALSE),"NOT PUBLISHED")</f>
        <v>NOT PUBLISHED</v>
      </c>
      <c r="J19" s="126" t="str">
        <f>IFERROR(VLOOKUP(C16:C158,'R22 RELATÓRIO ACC'!B:P,15,FALSE),"NOT PUBLISHED")</f>
        <v>NOT PUBLISHED</v>
      </c>
      <c r="K19" s="746" t="str">
        <f>IFERROR(VLOOKUP(B16:B158,'RELATÓRIO ACC'!B:F,5,FALSE),"NOT PUBLISHED")</f>
        <v>NOT PUBLISHED</v>
      </c>
      <c r="L19" s="748" t="str">
        <f>IFERROR(VLOOKUP(B16:B158,'RELATÓRIO ACC'!B:P,15,FALSE),"NOT PUBLISHED")</f>
        <v>NOT PUBLISHED</v>
      </c>
      <c r="M19" s="141" t="s">
        <v>595</v>
      </c>
      <c r="N19" s="141" t="s">
        <v>595</v>
      </c>
      <c r="O19" s="1042" t="s">
        <v>466</v>
      </c>
      <c r="P19" s="1043"/>
      <c r="Q19" s="746" t="s">
        <v>466</v>
      </c>
      <c r="R19" s="74" t="s">
        <v>462</v>
      </c>
      <c r="S19" s="746" t="s">
        <v>466</v>
      </c>
      <c r="T19" s="746" t="s">
        <v>466</v>
      </c>
      <c r="U19" s="74" t="s">
        <v>462</v>
      </c>
      <c r="V19" s="746" t="s">
        <v>466</v>
      </c>
      <c r="W19" s="746" t="s">
        <v>466</v>
      </c>
      <c r="X19" s="74" t="s">
        <v>462</v>
      </c>
      <c r="Y19" s="746" t="s">
        <v>466</v>
      </c>
      <c r="Z19" s="746" t="s">
        <v>466</v>
      </c>
      <c r="AA19" s="74" t="s">
        <v>462</v>
      </c>
      <c r="AB19" s="746" t="s">
        <v>466</v>
      </c>
      <c r="AC19" s="746" t="s">
        <v>466</v>
      </c>
      <c r="AD19" s="74" t="s">
        <v>462</v>
      </c>
      <c r="AE19" s="746" t="s">
        <v>466</v>
      </c>
      <c r="AF19" s="746" t="s">
        <v>466</v>
      </c>
      <c r="AG19" s="74" t="s">
        <v>462</v>
      </c>
      <c r="AH19" s="746" t="s">
        <v>466</v>
      </c>
      <c r="AI19" s="746" t="s">
        <v>466</v>
      </c>
      <c r="AJ19" s="74" t="s">
        <v>462</v>
      </c>
      <c r="AK19" s="746" t="s">
        <v>466</v>
      </c>
      <c r="AL19" s="746" t="s">
        <v>466</v>
      </c>
      <c r="AM19" s="74" t="s">
        <v>462</v>
      </c>
      <c r="AN19" s="746" t="s">
        <v>466</v>
      </c>
      <c r="AO19" s="746" t="s">
        <v>466</v>
      </c>
      <c r="AP19" s="74" t="s">
        <v>462</v>
      </c>
      <c r="AQ19" s="746" t="s">
        <v>466</v>
      </c>
      <c r="AR19" s="746" t="s">
        <v>466</v>
      </c>
      <c r="AS19" s="74" t="s">
        <v>462</v>
      </c>
      <c r="AT19" s="746" t="s">
        <v>466</v>
      </c>
      <c r="AU19" s="746" t="s">
        <v>466</v>
      </c>
      <c r="AV19" s="74" t="s">
        <v>462</v>
      </c>
      <c r="AW19" s="746" t="s">
        <v>466</v>
      </c>
      <c r="AX19" s="746" t="s">
        <v>466</v>
      </c>
      <c r="AY19" s="74" t="s">
        <v>462</v>
      </c>
      <c r="AZ19" s="746" t="s">
        <v>466</v>
      </c>
      <c r="BA19" s="1032" t="s">
        <v>466</v>
      </c>
      <c r="BB19" s="1031" t="s">
        <v>462</v>
      </c>
      <c r="BC19" s="1032" t="s">
        <v>466</v>
      </c>
      <c r="BD19" s="1032" t="s">
        <v>466</v>
      </c>
      <c r="BE19" s="1031" t="s">
        <v>462</v>
      </c>
      <c r="BF19" s="1040" t="s">
        <v>466</v>
      </c>
      <c r="BG19" s="1032" t="s">
        <v>466</v>
      </c>
      <c r="BH19" s="1031" t="s">
        <v>462</v>
      </c>
      <c r="BI19" s="1040" t="s">
        <v>466</v>
      </c>
      <c r="BJ19" s="1032" t="s">
        <v>466</v>
      </c>
      <c r="BK19" s="1031" t="s">
        <v>462</v>
      </c>
      <c r="BL19" s="1040" t="s">
        <v>466</v>
      </c>
      <c r="BM19" s="1032" t="s">
        <v>466</v>
      </c>
      <c r="BN19" s="1031" t="s">
        <v>462</v>
      </c>
      <c r="BO19" s="1040" t="s">
        <v>466</v>
      </c>
      <c r="BP19" s="1032" t="s">
        <v>466</v>
      </c>
      <c r="BQ19" s="1031" t="s">
        <v>462</v>
      </c>
      <c r="BR19" s="1040" t="s">
        <v>466</v>
      </c>
      <c r="BS19" s="1032" t="s">
        <v>466</v>
      </c>
      <c r="BT19" s="1031" t="s">
        <v>462</v>
      </c>
      <c r="BU19" s="1040" t="s">
        <v>466</v>
      </c>
      <c r="BV19" s="1032" t="s">
        <v>466</v>
      </c>
      <c r="BW19" s="1031" t="s">
        <v>462</v>
      </c>
      <c r="BX19" s="1040" t="s">
        <v>466</v>
      </c>
      <c r="BY19" s="1032" t="s">
        <v>466</v>
      </c>
      <c r="BZ19" s="1031" t="s">
        <v>462</v>
      </c>
      <c r="CA19" s="1040" t="s">
        <v>466</v>
      </c>
      <c r="CB19" s="1032" t="s">
        <v>466</v>
      </c>
      <c r="CC19" s="1031" t="s">
        <v>462</v>
      </c>
      <c r="CD19" s="1040" t="s">
        <v>466</v>
      </c>
      <c r="CE19" s="1032" t="s">
        <v>466</v>
      </c>
      <c r="CF19" s="1031" t="s">
        <v>462</v>
      </c>
      <c r="CG19" s="1040" t="s">
        <v>466</v>
      </c>
      <c r="CH19" s="1032" t="s">
        <v>466</v>
      </c>
      <c r="CI19" s="1031" t="s">
        <v>462</v>
      </c>
      <c r="CJ19" s="1040" t="s">
        <v>466</v>
      </c>
      <c r="CK19" s="1032" t="s">
        <v>466</v>
      </c>
      <c r="CL19" s="1031" t="s">
        <v>462</v>
      </c>
      <c r="CM19" s="1040" t="s">
        <v>466</v>
      </c>
      <c r="CN19" s="1032" t="s">
        <v>466</v>
      </c>
      <c r="CO19" s="1031" t="s">
        <v>462</v>
      </c>
      <c r="CP19" s="1040" t="s">
        <v>466</v>
      </c>
      <c r="CQ19" s="1032" t="s">
        <v>466</v>
      </c>
      <c r="CR19" s="1031" t="s">
        <v>462</v>
      </c>
      <c r="CS19" s="1040" t="s">
        <v>466</v>
      </c>
      <c r="CT19" s="1032" t="s">
        <v>466</v>
      </c>
      <c r="CU19" s="1031" t="s">
        <v>462</v>
      </c>
      <c r="CV19" s="1040" t="s">
        <v>466</v>
      </c>
      <c r="CW19" s="1032" t="s">
        <v>466</v>
      </c>
      <c r="CX19" s="1031" t="s">
        <v>462</v>
      </c>
      <c r="CY19" s="1040" t="s">
        <v>466</v>
      </c>
      <c r="CZ19" s="1032" t="s">
        <v>466</v>
      </c>
      <c r="DA19" s="1031" t="s">
        <v>462</v>
      </c>
      <c r="DB19" s="1040" t="s">
        <v>466</v>
      </c>
      <c r="DC19" s="1032" t="s">
        <v>466</v>
      </c>
      <c r="DD19" s="1031" t="s">
        <v>462</v>
      </c>
      <c r="DE19" s="1040" t="s">
        <v>466</v>
      </c>
      <c r="DF19" s="1032" t="s">
        <v>466</v>
      </c>
      <c r="DG19" s="1031" t="s">
        <v>462</v>
      </c>
      <c r="DH19" s="1040" t="s">
        <v>466</v>
      </c>
      <c r="DI19" s="1032" t="s">
        <v>466</v>
      </c>
      <c r="DJ19" s="1031" t="s">
        <v>462</v>
      </c>
      <c r="DK19" s="1040" t="s">
        <v>466</v>
      </c>
      <c r="DL19" s="1032" t="s">
        <v>466</v>
      </c>
      <c r="DM19" s="1031" t="s">
        <v>462</v>
      </c>
      <c r="DN19" s="1040" t="s">
        <v>466</v>
      </c>
      <c r="DO19" s="1032" t="s">
        <v>466</v>
      </c>
      <c r="DP19" s="1031" t="s">
        <v>462</v>
      </c>
      <c r="DQ19" s="1040" t="s">
        <v>466</v>
      </c>
      <c r="DR19" s="1032" t="s">
        <v>466</v>
      </c>
      <c r="DS19" s="1031" t="s">
        <v>462</v>
      </c>
      <c r="DT19" s="1040" t="s">
        <v>466</v>
      </c>
      <c r="DU19" s="1032" t="s">
        <v>466</v>
      </c>
      <c r="DV19" s="1031" t="s">
        <v>462</v>
      </c>
      <c r="DW19" s="1040" t="s">
        <v>466</v>
      </c>
      <c r="DX19" s="1032" t="s">
        <v>466</v>
      </c>
      <c r="DY19" s="1031" t="s">
        <v>462</v>
      </c>
      <c r="DZ19" s="1040" t="s">
        <v>466</v>
      </c>
      <c r="EA19" s="1032" t="s">
        <v>466</v>
      </c>
      <c r="EB19" s="1031" t="s">
        <v>462</v>
      </c>
      <c r="EC19" s="1040" t="s">
        <v>466</v>
      </c>
      <c r="ED19" s="68"/>
      <c r="EE19" s="68"/>
      <c r="EF19" s="68"/>
    </row>
    <row r="20" ht="15.0" customHeight="1" outlineLevel="1">
      <c r="A20" s="60">
        <v>102.0</v>
      </c>
      <c r="B20" s="747" t="s">
        <v>309</v>
      </c>
      <c r="C20" s="747" t="s">
        <v>310</v>
      </c>
      <c r="D20" s="71" t="s">
        <v>85</v>
      </c>
      <c r="E20" s="146" t="s">
        <v>308</v>
      </c>
      <c r="F20" s="72">
        <v>1123.0</v>
      </c>
      <c r="G20" s="147" t="s">
        <v>288</v>
      </c>
      <c r="H20" s="150">
        <v>0.0</v>
      </c>
      <c r="I20" s="126" t="str">
        <f>IFERROR(VLOOKUP(C17:C159,'R22 RELATÓRIO ACC'!B:F,5,FALSE),"NOT PUBLISHED")</f>
        <v>NOT PUBLISHED</v>
      </c>
      <c r="J20" s="126" t="str">
        <f>IFERROR(VLOOKUP(C17:C159,'R22 RELATÓRIO ACC'!B:P,15,FALSE),"NOT PUBLISHED")</f>
        <v>NOT PUBLISHED</v>
      </c>
      <c r="K20" s="746" t="str">
        <f>IFERROR(VLOOKUP(B17:B159,'RELATÓRIO ACC'!B:F,5,FALSE),"NOT PUBLISHED")</f>
        <v>NOT PUBLISHED</v>
      </c>
      <c r="L20" s="748" t="str">
        <f>IFERROR(VLOOKUP(B17:B159,'RELATÓRIO ACC'!B:P,15,FALSE),"NOT PUBLISHED")</f>
        <v>NOT PUBLISHED</v>
      </c>
      <c r="M20" s="141" t="s">
        <v>595</v>
      </c>
      <c r="N20" s="141" t="s">
        <v>595</v>
      </c>
      <c r="O20" s="1042" t="s">
        <v>466</v>
      </c>
      <c r="P20" s="1043"/>
      <c r="Q20" s="746" t="s">
        <v>466</v>
      </c>
      <c r="R20" s="74" t="s">
        <v>462</v>
      </c>
      <c r="S20" s="746" t="s">
        <v>466</v>
      </c>
      <c r="T20" s="746" t="s">
        <v>466</v>
      </c>
      <c r="U20" s="74" t="s">
        <v>462</v>
      </c>
      <c r="V20" s="746" t="s">
        <v>466</v>
      </c>
      <c r="W20" s="746" t="s">
        <v>466</v>
      </c>
      <c r="X20" s="74" t="s">
        <v>462</v>
      </c>
      <c r="Y20" s="746" t="s">
        <v>466</v>
      </c>
      <c r="Z20" s="746" t="s">
        <v>466</v>
      </c>
      <c r="AA20" s="74" t="s">
        <v>462</v>
      </c>
      <c r="AB20" s="746" t="s">
        <v>466</v>
      </c>
      <c r="AC20" s="746" t="s">
        <v>466</v>
      </c>
      <c r="AD20" s="74" t="s">
        <v>462</v>
      </c>
      <c r="AE20" s="746" t="s">
        <v>466</v>
      </c>
      <c r="AF20" s="746" t="s">
        <v>466</v>
      </c>
      <c r="AG20" s="74" t="s">
        <v>462</v>
      </c>
      <c r="AH20" s="746" t="s">
        <v>466</v>
      </c>
      <c r="AI20" s="746" t="s">
        <v>466</v>
      </c>
      <c r="AJ20" s="74" t="s">
        <v>462</v>
      </c>
      <c r="AK20" s="746" t="s">
        <v>466</v>
      </c>
      <c r="AL20" s="746" t="s">
        <v>466</v>
      </c>
      <c r="AM20" s="74" t="s">
        <v>462</v>
      </c>
      <c r="AN20" s="746" t="s">
        <v>466</v>
      </c>
      <c r="AO20" s="746" t="s">
        <v>466</v>
      </c>
      <c r="AP20" s="74" t="s">
        <v>462</v>
      </c>
      <c r="AQ20" s="746" t="s">
        <v>466</v>
      </c>
      <c r="AR20" s="746" t="s">
        <v>466</v>
      </c>
      <c r="AS20" s="74" t="s">
        <v>462</v>
      </c>
      <c r="AT20" s="746" t="s">
        <v>466</v>
      </c>
      <c r="AU20" s="746" t="s">
        <v>466</v>
      </c>
      <c r="AV20" s="74" t="s">
        <v>462</v>
      </c>
      <c r="AW20" s="746" t="s">
        <v>466</v>
      </c>
      <c r="AX20" s="746" t="s">
        <v>466</v>
      </c>
      <c r="AY20" s="74" t="s">
        <v>462</v>
      </c>
      <c r="AZ20" s="746" t="s">
        <v>466</v>
      </c>
      <c r="BA20" s="1032" t="s">
        <v>466</v>
      </c>
      <c r="BB20" s="1031" t="s">
        <v>462</v>
      </c>
      <c r="BC20" s="1032" t="s">
        <v>466</v>
      </c>
      <c r="BD20" s="1032" t="s">
        <v>466</v>
      </c>
      <c r="BE20" s="1031" t="s">
        <v>462</v>
      </c>
      <c r="BF20" s="1032" t="s">
        <v>466</v>
      </c>
      <c r="BG20" s="1032" t="s">
        <v>466</v>
      </c>
      <c r="BH20" s="1031" t="s">
        <v>462</v>
      </c>
      <c r="BI20" s="1032" t="s">
        <v>466</v>
      </c>
      <c r="BJ20" s="1032" t="s">
        <v>466</v>
      </c>
      <c r="BK20" s="1031" t="s">
        <v>462</v>
      </c>
      <c r="BL20" s="1032" t="s">
        <v>466</v>
      </c>
      <c r="BM20" s="1032" t="s">
        <v>466</v>
      </c>
      <c r="BN20" s="1031" t="s">
        <v>462</v>
      </c>
      <c r="BO20" s="1032" t="s">
        <v>466</v>
      </c>
      <c r="BP20" s="1032" t="s">
        <v>466</v>
      </c>
      <c r="BQ20" s="1031" t="s">
        <v>462</v>
      </c>
      <c r="BR20" s="1032" t="s">
        <v>466</v>
      </c>
      <c r="BS20" s="1032" t="s">
        <v>466</v>
      </c>
      <c r="BT20" s="1031" t="s">
        <v>462</v>
      </c>
      <c r="BU20" s="1032" t="s">
        <v>466</v>
      </c>
      <c r="BV20" s="1032" t="s">
        <v>466</v>
      </c>
      <c r="BW20" s="1031" t="s">
        <v>462</v>
      </c>
      <c r="BX20" s="1032" t="s">
        <v>466</v>
      </c>
      <c r="BY20" s="1032" t="s">
        <v>466</v>
      </c>
      <c r="BZ20" s="1031" t="s">
        <v>462</v>
      </c>
      <c r="CA20" s="1032" t="s">
        <v>466</v>
      </c>
      <c r="CB20" s="1032" t="s">
        <v>466</v>
      </c>
      <c r="CC20" s="1031" t="s">
        <v>462</v>
      </c>
      <c r="CD20" s="1032" t="s">
        <v>466</v>
      </c>
      <c r="CE20" s="1032" t="s">
        <v>466</v>
      </c>
      <c r="CF20" s="1031" t="s">
        <v>462</v>
      </c>
      <c r="CG20" s="1032" t="s">
        <v>466</v>
      </c>
      <c r="CH20" s="1032" t="s">
        <v>466</v>
      </c>
      <c r="CI20" s="1031" t="s">
        <v>462</v>
      </c>
      <c r="CJ20" s="1032" t="s">
        <v>466</v>
      </c>
      <c r="CK20" s="1032" t="s">
        <v>466</v>
      </c>
      <c r="CL20" s="1031" t="s">
        <v>462</v>
      </c>
      <c r="CM20" s="1032" t="s">
        <v>466</v>
      </c>
      <c r="CN20" s="1032" t="s">
        <v>466</v>
      </c>
      <c r="CO20" s="1031" t="s">
        <v>462</v>
      </c>
      <c r="CP20" s="1032" t="s">
        <v>466</v>
      </c>
      <c r="CQ20" s="1032" t="s">
        <v>466</v>
      </c>
      <c r="CR20" s="1031" t="s">
        <v>462</v>
      </c>
      <c r="CS20" s="1032" t="s">
        <v>466</v>
      </c>
      <c r="CT20" s="1032" t="s">
        <v>466</v>
      </c>
      <c r="CU20" s="1031" t="s">
        <v>462</v>
      </c>
      <c r="CV20" s="1032" t="s">
        <v>466</v>
      </c>
      <c r="CW20" s="1032" t="s">
        <v>466</v>
      </c>
      <c r="CX20" s="1031" t="s">
        <v>462</v>
      </c>
      <c r="CY20" s="1032" t="s">
        <v>466</v>
      </c>
      <c r="CZ20" s="1032" t="s">
        <v>466</v>
      </c>
      <c r="DA20" s="1031" t="s">
        <v>462</v>
      </c>
      <c r="DB20" s="1032" t="s">
        <v>466</v>
      </c>
      <c r="DC20" s="1032" t="s">
        <v>466</v>
      </c>
      <c r="DD20" s="1031" t="s">
        <v>462</v>
      </c>
      <c r="DE20" s="1032" t="s">
        <v>466</v>
      </c>
      <c r="DF20" s="1032" t="s">
        <v>466</v>
      </c>
      <c r="DG20" s="1031" t="s">
        <v>462</v>
      </c>
      <c r="DH20" s="1032" t="s">
        <v>466</v>
      </c>
      <c r="DI20" s="1032" t="s">
        <v>466</v>
      </c>
      <c r="DJ20" s="1031" t="s">
        <v>462</v>
      </c>
      <c r="DK20" s="1032" t="s">
        <v>466</v>
      </c>
      <c r="DL20" s="1032" t="s">
        <v>466</v>
      </c>
      <c r="DM20" s="1031" t="s">
        <v>462</v>
      </c>
      <c r="DN20" s="1032" t="s">
        <v>466</v>
      </c>
      <c r="DO20" s="1032" t="s">
        <v>466</v>
      </c>
      <c r="DP20" s="1031" t="s">
        <v>462</v>
      </c>
      <c r="DQ20" s="1032" t="s">
        <v>466</v>
      </c>
      <c r="DR20" s="1032" t="s">
        <v>466</v>
      </c>
      <c r="DS20" s="1031" t="s">
        <v>462</v>
      </c>
      <c r="DT20" s="1032" t="s">
        <v>466</v>
      </c>
      <c r="DU20" s="1032" t="s">
        <v>466</v>
      </c>
      <c r="DV20" s="1031" t="s">
        <v>462</v>
      </c>
      <c r="DW20" s="1032" t="s">
        <v>466</v>
      </c>
      <c r="DX20" s="1032" t="s">
        <v>466</v>
      </c>
      <c r="DY20" s="1031" t="s">
        <v>462</v>
      </c>
      <c r="DZ20" s="1032" t="s">
        <v>466</v>
      </c>
      <c r="EA20" s="1032" t="s">
        <v>466</v>
      </c>
      <c r="EB20" s="1031" t="s">
        <v>462</v>
      </c>
      <c r="EC20" s="1032" t="s">
        <v>466</v>
      </c>
      <c r="ED20" s="68"/>
      <c r="EE20" s="68"/>
      <c r="EF20" s="68"/>
    </row>
    <row r="21" ht="15.0" customHeight="1" outlineLevel="1">
      <c r="A21" s="60">
        <v>30.0</v>
      </c>
      <c r="B21" s="747" t="s">
        <v>154</v>
      </c>
      <c r="C21" s="747" t="s">
        <v>155</v>
      </c>
      <c r="D21" s="71" t="s">
        <v>85</v>
      </c>
      <c r="E21" s="138" t="s">
        <v>156</v>
      </c>
      <c r="F21" s="1044">
        <v>0.0</v>
      </c>
      <c r="G21" s="1045" t="s">
        <v>157</v>
      </c>
      <c r="H21" s="150"/>
      <c r="I21" s="126" t="str">
        <f>IFERROR(VLOOKUP(C18:C160,'R22 RELATÓRIO ACC'!B:F,5,FALSE),"NOT PUBLISHED")</f>
        <v>V4</v>
      </c>
      <c r="J21" s="126" t="str">
        <f>IFERROR(VLOOKUP(C18:C160,'R22 RELATÓRIO ACC'!B:P,15,FALSE),"NOT PUBLISHED")</f>
        <v>29/04/2026</v>
      </c>
      <c r="K21" s="746" t="str">
        <f>IFERROR(VLOOKUP(B18:B160,'RELATÓRIO ACC'!B:F,5,FALSE),"NOT PUBLISHED")</f>
        <v>V1</v>
      </c>
      <c r="L21" s="748" t="str">
        <f>IFERROR(VLOOKUP(B18:B160,'RELATÓRIO ACC'!B:P,15,FALSE),"NOT PUBLISHED")</f>
        <v>04/06/2026</v>
      </c>
      <c r="M21" s="141" t="s">
        <v>470</v>
      </c>
      <c r="N21" s="843" t="s">
        <v>471</v>
      </c>
      <c r="O21" s="1042" t="s">
        <v>472</v>
      </c>
      <c r="P21" s="1043"/>
      <c r="Q21" s="746" t="s">
        <v>466</v>
      </c>
      <c r="R21" s="74" t="s">
        <v>462</v>
      </c>
      <c r="S21" s="746" t="s">
        <v>466</v>
      </c>
      <c r="T21" s="746" t="s">
        <v>466</v>
      </c>
      <c r="U21" s="74" t="s">
        <v>462</v>
      </c>
      <c r="V21" s="746" t="s">
        <v>466</v>
      </c>
      <c r="W21" s="746" t="s">
        <v>466</v>
      </c>
      <c r="X21" s="74" t="s">
        <v>462</v>
      </c>
      <c r="Y21" s="746" t="s">
        <v>466</v>
      </c>
      <c r="Z21" s="746" t="s">
        <v>466</v>
      </c>
      <c r="AA21" s="74" t="s">
        <v>462</v>
      </c>
      <c r="AB21" s="746" t="s">
        <v>466</v>
      </c>
      <c r="AC21" s="746" t="s">
        <v>466</v>
      </c>
      <c r="AD21" s="74" t="s">
        <v>462</v>
      </c>
      <c r="AE21" s="746" t="s">
        <v>466</v>
      </c>
      <c r="AF21" s="746" t="s">
        <v>466</v>
      </c>
      <c r="AG21" s="74" t="s">
        <v>462</v>
      </c>
      <c r="AH21" s="746" t="s">
        <v>466</v>
      </c>
      <c r="AI21" s="746" t="s">
        <v>466</v>
      </c>
      <c r="AJ21" s="74" t="s">
        <v>462</v>
      </c>
      <c r="AK21" s="746" t="s">
        <v>466</v>
      </c>
      <c r="AL21" s="746" t="s">
        <v>466</v>
      </c>
      <c r="AM21" s="74" t="s">
        <v>462</v>
      </c>
      <c r="AN21" s="746" t="s">
        <v>466</v>
      </c>
      <c r="AO21" s="746" t="s">
        <v>466</v>
      </c>
      <c r="AP21" s="74" t="s">
        <v>462</v>
      </c>
      <c r="AQ21" s="746" t="s">
        <v>466</v>
      </c>
      <c r="AR21" s="746" t="s">
        <v>466</v>
      </c>
      <c r="AS21" s="74" t="s">
        <v>462</v>
      </c>
      <c r="AT21" s="746" t="s">
        <v>466</v>
      </c>
      <c r="AU21" s="746" t="s">
        <v>474</v>
      </c>
      <c r="AV21" s="74" t="s">
        <v>462</v>
      </c>
      <c r="AW21" s="746" t="s">
        <v>474</v>
      </c>
      <c r="AX21" s="746" t="s">
        <v>477</v>
      </c>
      <c r="AY21" s="766" t="s">
        <v>476</v>
      </c>
      <c r="AZ21" s="764">
        <v>0.77</v>
      </c>
      <c r="BA21" s="758" t="s">
        <v>478</v>
      </c>
      <c r="BB21" s="1046" t="s">
        <v>476</v>
      </c>
      <c r="BC21" s="758" t="s">
        <v>478</v>
      </c>
      <c r="BD21" s="758" t="s">
        <v>478</v>
      </c>
      <c r="BE21" s="1046" t="s">
        <v>476</v>
      </c>
      <c r="BF21" s="1047" t="s">
        <v>478</v>
      </c>
      <c r="BG21" s="758" t="s">
        <v>478</v>
      </c>
      <c r="BH21" s="1046" t="s">
        <v>476</v>
      </c>
      <c r="BI21" s="1047" t="s">
        <v>478</v>
      </c>
      <c r="BJ21" s="758" t="s">
        <v>478</v>
      </c>
      <c r="BK21" s="1046" t="s">
        <v>476</v>
      </c>
      <c r="BL21" s="1047" t="s">
        <v>478</v>
      </c>
      <c r="BM21" s="758" t="s">
        <v>478</v>
      </c>
      <c r="BN21" s="1046" t="s">
        <v>476</v>
      </c>
      <c r="BO21" s="1047" t="s">
        <v>478</v>
      </c>
      <c r="BP21" s="758" t="s">
        <v>478</v>
      </c>
      <c r="BQ21" s="1046" t="s">
        <v>476</v>
      </c>
      <c r="BR21" s="1047" t="s">
        <v>478</v>
      </c>
      <c r="BS21" s="758" t="s">
        <v>478</v>
      </c>
      <c r="BT21" s="1046" t="s">
        <v>476</v>
      </c>
      <c r="BU21" s="1047" t="s">
        <v>478</v>
      </c>
      <c r="BV21" s="1048" t="s">
        <v>474</v>
      </c>
      <c r="BW21" s="1046" t="s">
        <v>476</v>
      </c>
      <c r="BX21" s="767" t="s">
        <v>474</v>
      </c>
      <c r="BY21" s="755" t="s">
        <v>474</v>
      </c>
      <c r="BZ21" s="1046" t="s">
        <v>476</v>
      </c>
      <c r="CA21" s="767" t="s">
        <v>474</v>
      </c>
      <c r="CB21" s="1048" t="s">
        <v>474</v>
      </c>
      <c r="CC21" s="1046" t="s">
        <v>476</v>
      </c>
      <c r="CD21" s="1049" t="s">
        <v>474</v>
      </c>
      <c r="CE21" s="1048" t="s">
        <v>477</v>
      </c>
      <c r="CF21" s="1046" t="s">
        <v>476</v>
      </c>
      <c r="CG21" s="1050">
        <v>0.5</v>
      </c>
      <c r="CH21" s="755" t="s">
        <v>478</v>
      </c>
      <c r="CI21" s="759" t="s">
        <v>476</v>
      </c>
      <c r="CJ21" s="767" t="s">
        <v>478</v>
      </c>
      <c r="CK21" s="755" t="s">
        <v>478</v>
      </c>
      <c r="CL21" s="759" t="s">
        <v>476</v>
      </c>
      <c r="CM21" s="767" t="s">
        <v>478</v>
      </c>
      <c r="CN21" s="755" t="s">
        <v>478</v>
      </c>
      <c r="CO21" s="759" t="s">
        <v>476</v>
      </c>
      <c r="CP21" s="767" t="s">
        <v>478</v>
      </c>
      <c r="CQ21" s="755" t="s">
        <v>478</v>
      </c>
      <c r="CR21" s="759" t="s">
        <v>476</v>
      </c>
      <c r="CS21" s="767" t="s">
        <v>478</v>
      </c>
      <c r="CT21" s="755" t="s">
        <v>474</v>
      </c>
      <c r="CU21" s="759"/>
      <c r="CV21" s="767" t="s">
        <v>474</v>
      </c>
      <c r="CW21" s="755" t="s">
        <v>475</v>
      </c>
      <c r="CX21" s="759" t="s">
        <v>479</v>
      </c>
      <c r="CY21" s="767" t="s">
        <v>475</v>
      </c>
      <c r="CZ21" s="755" t="s">
        <v>478</v>
      </c>
      <c r="DA21" s="759" t="s">
        <v>479</v>
      </c>
      <c r="DB21" s="767" t="s">
        <v>478</v>
      </c>
      <c r="DC21" s="755" t="s">
        <v>474</v>
      </c>
      <c r="DD21" s="759" t="s">
        <v>479</v>
      </c>
      <c r="DE21" s="767" t="s">
        <v>474</v>
      </c>
      <c r="DF21" s="755" t="s">
        <v>475</v>
      </c>
      <c r="DG21" s="759" t="s">
        <v>479</v>
      </c>
      <c r="DH21" s="767" t="s">
        <v>475</v>
      </c>
      <c r="DI21" s="755" t="s">
        <v>474</v>
      </c>
      <c r="DJ21" s="759" t="s">
        <v>479</v>
      </c>
      <c r="DK21" s="767" t="s">
        <v>474</v>
      </c>
      <c r="DL21" s="755" t="s">
        <v>475</v>
      </c>
      <c r="DM21" s="759" t="s">
        <v>479</v>
      </c>
      <c r="DN21" s="767" t="s">
        <v>475</v>
      </c>
      <c r="DO21" s="755" t="s">
        <v>478</v>
      </c>
      <c r="DP21" s="759" t="s">
        <v>479</v>
      </c>
      <c r="DQ21" s="767" t="s">
        <v>478</v>
      </c>
      <c r="DR21" s="755" t="s">
        <v>478</v>
      </c>
      <c r="DS21" s="759" t="s">
        <v>479</v>
      </c>
      <c r="DT21" s="767" t="s">
        <v>478</v>
      </c>
      <c r="DU21" s="755" t="s">
        <v>478</v>
      </c>
      <c r="DV21" s="759" t="s">
        <v>479</v>
      </c>
      <c r="DW21" s="767" t="s">
        <v>478</v>
      </c>
      <c r="DX21" s="755" t="s">
        <v>478</v>
      </c>
      <c r="DY21" s="759" t="s">
        <v>479</v>
      </c>
      <c r="DZ21" s="767" t="s">
        <v>478</v>
      </c>
      <c r="EA21" s="755" t="s">
        <v>478</v>
      </c>
      <c r="EB21" s="759" t="s">
        <v>479</v>
      </c>
      <c r="EC21" s="767" t="s">
        <v>478</v>
      </c>
      <c r="ED21" s="68"/>
      <c r="EE21" s="68"/>
      <c r="EF21" s="68"/>
    </row>
    <row r="22" ht="15.0" hidden="1" customHeight="1">
      <c r="A22" s="60">
        <v>33.0</v>
      </c>
      <c r="B22" s="816" t="s">
        <v>166</v>
      </c>
      <c r="C22" s="159"/>
      <c r="D22" s="160"/>
      <c r="E22" s="160"/>
      <c r="F22" s="160"/>
      <c r="G22" s="160"/>
      <c r="H22" s="161"/>
      <c r="I22" s="160"/>
      <c r="J22" s="160"/>
      <c r="K22" s="990"/>
      <c r="L22" s="1051"/>
      <c r="M22" s="160"/>
      <c r="N22" s="160"/>
      <c r="O22" s="73"/>
      <c r="P22" s="1051"/>
      <c r="Q22" s="968"/>
      <c r="R22" s="966"/>
      <c r="S22" s="967"/>
      <c r="T22" s="962"/>
      <c r="U22" s="966"/>
      <c r="V22" s="967"/>
      <c r="W22" s="968"/>
      <c r="X22" s="966"/>
      <c r="Y22" s="967"/>
      <c r="Z22" s="1052"/>
      <c r="AA22" s="1053"/>
      <c r="AB22" s="1054"/>
      <c r="AC22" s="970"/>
      <c r="AD22" s="970"/>
      <c r="AE22" s="970"/>
      <c r="AF22" s="970"/>
      <c r="AG22" s="970"/>
      <c r="AH22" s="970"/>
      <c r="AI22" s="970"/>
      <c r="AJ22" s="970"/>
      <c r="AK22" s="970"/>
      <c r="AL22" s="970"/>
      <c r="AM22" s="970"/>
      <c r="AN22" s="970"/>
      <c r="AO22" s="970"/>
      <c r="AP22" s="970"/>
      <c r="AQ22" s="970"/>
      <c r="AR22" s="970"/>
      <c r="AS22" s="970"/>
      <c r="AT22" s="970"/>
      <c r="AU22" s="970"/>
      <c r="AV22" s="970"/>
      <c r="AW22" s="970"/>
      <c r="AX22" s="970"/>
      <c r="AY22" s="970"/>
      <c r="AZ22" s="970"/>
      <c r="BA22" s="1055"/>
      <c r="BB22" s="1055"/>
      <c r="BC22" s="1055"/>
      <c r="BD22" s="1055"/>
      <c r="BE22" s="1055"/>
      <c r="BF22" s="1055"/>
      <c r="BG22" s="1055"/>
      <c r="BH22" s="1055"/>
      <c r="BI22" s="1055"/>
      <c r="BJ22" s="1055"/>
      <c r="BK22" s="1055"/>
      <c r="BL22" s="1055"/>
      <c r="BM22" s="1055"/>
      <c r="BN22" s="1055"/>
      <c r="BO22" s="1055"/>
      <c r="BP22" s="1055"/>
      <c r="BQ22" s="1055"/>
      <c r="BR22" s="1055"/>
      <c r="BS22" s="1055"/>
      <c r="BT22" s="1055"/>
      <c r="BU22" s="1055"/>
      <c r="BV22" s="1055"/>
      <c r="BW22" s="1055"/>
      <c r="BX22" s="1055"/>
      <c r="BY22" s="1055"/>
      <c r="BZ22" s="1055"/>
      <c r="CA22" s="1055"/>
      <c r="CB22" s="1055"/>
      <c r="CC22" s="1055"/>
      <c r="CD22" s="1055"/>
      <c r="CE22" s="1055"/>
      <c r="CF22" s="1055"/>
      <c r="CG22" s="1055"/>
      <c r="CH22" s="1055"/>
      <c r="CI22" s="1055"/>
      <c r="CJ22" s="1055"/>
      <c r="CK22" s="1055"/>
      <c r="CL22" s="1055"/>
      <c r="CM22" s="1055"/>
      <c r="CN22" s="1055"/>
      <c r="CO22" s="1055"/>
      <c r="CP22" s="1055"/>
      <c r="CQ22" s="1055"/>
      <c r="CR22" s="1055"/>
      <c r="CS22" s="1055"/>
      <c r="CT22" s="1055"/>
      <c r="CU22" s="1055"/>
      <c r="CV22" s="1055"/>
      <c r="CW22" s="1055"/>
      <c r="CX22" s="1055"/>
      <c r="CY22" s="1055"/>
      <c r="CZ22" s="1055"/>
      <c r="DA22" s="1055"/>
      <c r="DB22" s="1055"/>
      <c r="DC22" s="1055"/>
      <c r="DD22" s="1055"/>
      <c r="DE22" s="1055"/>
      <c r="DF22" s="1055"/>
      <c r="DG22" s="1055"/>
      <c r="DH22" s="1055"/>
      <c r="DI22" s="1055"/>
      <c r="DJ22" s="1055"/>
      <c r="DK22" s="1055"/>
      <c r="DL22" s="1055"/>
      <c r="DM22" s="1055"/>
      <c r="DN22" s="1055"/>
      <c r="DO22" s="1055"/>
      <c r="DP22" s="1055"/>
      <c r="DQ22" s="1055"/>
      <c r="DR22" s="1055"/>
      <c r="DS22" s="1055"/>
      <c r="DT22" s="1055"/>
      <c r="DU22" s="1055"/>
      <c r="DV22" s="1055"/>
      <c r="DW22" s="1055"/>
      <c r="DX22" s="1055"/>
      <c r="DY22" s="1055"/>
      <c r="DZ22" s="1055"/>
      <c r="EA22" s="1055"/>
      <c r="EB22" s="1055"/>
      <c r="EC22" s="1055"/>
      <c r="ED22" s="186"/>
      <c r="EE22" s="186"/>
      <c r="EF22" s="186"/>
    </row>
    <row r="23" ht="15.0" customHeight="1" outlineLevel="1">
      <c r="A23" s="60">
        <v>97.0</v>
      </c>
      <c r="B23" s="747" t="s">
        <v>296</v>
      </c>
      <c r="C23" s="747" t="s">
        <v>297</v>
      </c>
      <c r="D23" s="71" t="s">
        <v>85</v>
      </c>
      <c r="E23" s="138" t="s">
        <v>298</v>
      </c>
      <c r="F23" s="72">
        <v>1121.0</v>
      </c>
      <c r="G23" s="147" t="s">
        <v>298</v>
      </c>
      <c r="H23" s="150">
        <v>0.0</v>
      </c>
      <c r="I23" s="126" t="str">
        <f>IFERROR(VLOOKUP(C20:C162,'R22 RELATÓRIO ACC'!B:F,5,FALSE),"NOT PUBLISHED")</f>
        <v>V1</v>
      </c>
      <c r="J23" s="126" t="str">
        <f>IFERROR(VLOOKUP(C20:C162,'R22 RELATÓRIO ACC'!B:P,15,FALSE),"NOT PUBLISHED")</f>
        <v>05/05/2026</v>
      </c>
      <c r="K23" s="746" t="str">
        <f>IFERROR(VLOOKUP(B20:B162,'RELATÓRIO ACC'!B:F,5,FALSE),"NOT PUBLISHED")</f>
        <v>V3</v>
      </c>
      <c r="L23" s="748" t="str">
        <f>IFERROR(VLOOKUP(B20:B162,'RELATÓRIO ACC'!B:P,15,FALSE),"NOT PUBLISHED")</f>
        <v>20/06/2026</v>
      </c>
      <c r="M23" s="141" t="s">
        <v>480</v>
      </c>
      <c r="N23" s="782">
        <v>46193.0</v>
      </c>
      <c r="O23" s="1042" t="s">
        <v>472</v>
      </c>
      <c r="P23" s="1043"/>
      <c r="Q23" s="746" t="s">
        <v>466</v>
      </c>
      <c r="R23" s="74" t="s">
        <v>462</v>
      </c>
      <c r="S23" s="749" t="s">
        <v>466</v>
      </c>
      <c r="T23" s="746" t="s">
        <v>466</v>
      </c>
      <c r="U23" s="74" t="s">
        <v>462</v>
      </c>
      <c r="V23" s="749" t="s">
        <v>466</v>
      </c>
      <c r="W23" s="746" t="s">
        <v>466</v>
      </c>
      <c r="X23" s="74" t="s">
        <v>462</v>
      </c>
      <c r="Y23" s="749" t="s">
        <v>466</v>
      </c>
      <c r="Z23" s="746" t="s">
        <v>466</v>
      </c>
      <c r="AA23" s="76" t="s">
        <v>462</v>
      </c>
      <c r="AB23" s="750" t="s">
        <v>466</v>
      </c>
      <c r="AC23" s="746" t="s">
        <v>466</v>
      </c>
      <c r="AD23" s="76" t="s">
        <v>462</v>
      </c>
      <c r="AE23" s="1041" t="s">
        <v>466</v>
      </c>
      <c r="AF23" s="746" t="s">
        <v>466</v>
      </c>
      <c r="AG23" s="76" t="s">
        <v>462</v>
      </c>
      <c r="AH23" s="1041" t="s">
        <v>466</v>
      </c>
      <c r="AI23" s="746" t="s">
        <v>466</v>
      </c>
      <c r="AJ23" s="76" t="s">
        <v>462</v>
      </c>
      <c r="AK23" s="1041" t="s">
        <v>466</v>
      </c>
      <c r="AL23" s="746" t="s">
        <v>466</v>
      </c>
      <c r="AM23" s="76" t="s">
        <v>462</v>
      </c>
      <c r="AN23" s="68" t="s">
        <v>466</v>
      </c>
      <c r="AO23" s="1037" t="s">
        <v>466</v>
      </c>
      <c r="AP23" s="68" t="s">
        <v>462</v>
      </c>
      <c r="AQ23" s="1037" t="s">
        <v>466</v>
      </c>
      <c r="AR23" s="1037" t="s">
        <v>466</v>
      </c>
      <c r="AS23" s="68" t="s">
        <v>462</v>
      </c>
      <c r="AT23" s="1037" t="s">
        <v>466</v>
      </c>
      <c r="AU23" s="1037" t="s">
        <v>466</v>
      </c>
      <c r="AV23" s="68" t="s">
        <v>462</v>
      </c>
      <c r="AW23" s="1037" t="s">
        <v>466</v>
      </c>
      <c r="AX23" s="1037" t="s">
        <v>466</v>
      </c>
      <c r="AY23" s="68" t="s">
        <v>462</v>
      </c>
      <c r="AZ23" s="1037" t="s">
        <v>466</v>
      </c>
      <c r="BA23" s="1039" t="s">
        <v>466</v>
      </c>
      <c r="BB23" s="1030" t="s">
        <v>462</v>
      </c>
      <c r="BC23" s="1039" t="s">
        <v>466</v>
      </c>
      <c r="BD23" s="1039" t="s">
        <v>466</v>
      </c>
      <c r="BE23" s="1030" t="s">
        <v>462</v>
      </c>
      <c r="BF23" s="1039" t="s">
        <v>466</v>
      </c>
      <c r="BG23" s="1039" t="s">
        <v>466</v>
      </c>
      <c r="BH23" s="1030" t="s">
        <v>462</v>
      </c>
      <c r="BI23" s="1039" t="s">
        <v>466</v>
      </c>
      <c r="BJ23" s="1039" t="s">
        <v>466</v>
      </c>
      <c r="BK23" s="1030" t="s">
        <v>462</v>
      </c>
      <c r="BL23" s="1039" t="s">
        <v>466</v>
      </c>
      <c r="BM23" s="1039" t="s">
        <v>466</v>
      </c>
      <c r="BN23" s="1030" t="s">
        <v>462</v>
      </c>
      <c r="BO23" s="1039" t="s">
        <v>466</v>
      </c>
      <c r="BP23" s="1039" t="s">
        <v>466</v>
      </c>
      <c r="BQ23" s="1030" t="s">
        <v>462</v>
      </c>
      <c r="BR23" s="1039" t="s">
        <v>466</v>
      </c>
      <c r="BS23" s="1039" t="s">
        <v>466</v>
      </c>
      <c r="BT23" s="1030" t="s">
        <v>462</v>
      </c>
      <c r="BU23" s="1039" t="s">
        <v>466</v>
      </c>
      <c r="BV23" s="1039" t="s">
        <v>466</v>
      </c>
      <c r="BW23" s="1030" t="s">
        <v>462</v>
      </c>
      <c r="BX23" s="1039" t="s">
        <v>466</v>
      </c>
      <c r="BY23" s="1039" t="s">
        <v>466</v>
      </c>
      <c r="BZ23" s="1030" t="s">
        <v>462</v>
      </c>
      <c r="CA23" s="1039" t="s">
        <v>466</v>
      </c>
      <c r="CB23" s="1039" t="s">
        <v>466</v>
      </c>
      <c r="CC23" s="1030" t="s">
        <v>462</v>
      </c>
      <c r="CD23" s="1039" t="s">
        <v>466</v>
      </c>
      <c r="CE23" s="1039" t="s">
        <v>466</v>
      </c>
      <c r="CF23" s="1030" t="s">
        <v>462</v>
      </c>
      <c r="CG23" s="1039" t="s">
        <v>466</v>
      </c>
      <c r="CH23" s="1039" t="s">
        <v>466</v>
      </c>
      <c r="CI23" s="1030" t="s">
        <v>462</v>
      </c>
      <c r="CJ23" s="1039" t="s">
        <v>466</v>
      </c>
      <c r="CK23" s="1039" t="s">
        <v>466</v>
      </c>
      <c r="CL23" s="1030" t="s">
        <v>462</v>
      </c>
      <c r="CM23" s="1039" t="s">
        <v>466</v>
      </c>
      <c r="CN23" s="1039" t="s">
        <v>466</v>
      </c>
      <c r="CO23" s="1030" t="s">
        <v>462</v>
      </c>
      <c r="CP23" s="1039" t="s">
        <v>466</v>
      </c>
      <c r="CQ23" s="1039" t="s">
        <v>466</v>
      </c>
      <c r="CR23" s="1030" t="s">
        <v>462</v>
      </c>
      <c r="CS23" s="1039" t="s">
        <v>466</v>
      </c>
      <c r="CT23" s="1039" t="s">
        <v>466</v>
      </c>
      <c r="CU23" s="1030" t="s">
        <v>462</v>
      </c>
      <c r="CV23" s="1039" t="s">
        <v>466</v>
      </c>
      <c r="CW23" s="1039" t="s">
        <v>466</v>
      </c>
      <c r="CX23" s="1030" t="s">
        <v>462</v>
      </c>
      <c r="CY23" s="1039" t="s">
        <v>466</v>
      </c>
      <c r="CZ23" s="1039" t="s">
        <v>462</v>
      </c>
      <c r="DA23" s="1030" t="s">
        <v>462</v>
      </c>
      <c r="DB23" s="1039" t="s">
        <v>462</v>
      </c>
      <c r="DC23" s="1039" t="s">
        <v>462</v>
      </c>
      <c r="DD23" s="1030" t="s">
        <v>462</v>
      </c>
      <c r="DE23" s="1039" t="s">
        <v>462</v>
      </c>
      <c r="DF23" s="1039" t="s">
        <v>462</v>
      </c>
      <c r="DG23" s="1030" t="s">
        <v>462</v>
      </c>
      <c r="DH23" s="1039" t="s">
        <v>462</v>
      </c>
      <c r="DI23" s="1056" t="s">
        <v>474</v>
      </c>
      <c r="DJ23" s="1030" t="s">
        <v>462</v>
      </c>
      <c r="DK23" s="1057">
        <v>0.0</v>
      </c>
      <c r="DL23" s="1056" t="s">
        <v>477</v>
      </c>
      <c r="DM23" s="1036" t="s">
        <v>596</v>
      </c>
      <c r="DN23" s="1058">
        <v>0.34</v>
      </c>
      <c r="DO23" s="755" t="s">
        <v>474</v>
      </c>
      <c r="DP23" s="1036" t="s">
        <v>596</v>
      </c>
      <c r="DQ23" s="755" t="s">
        <v>474</v>
      </c>
      <c r="DR23" s="755" t="s">
        <v>477</v>
      </c>
      <c r="DS23" s="1036" t="s">
        <v>480</v>
      </c>
      <c r="DT23" s="1059">
        <v>0.89</v>
      </c>
      <c r="DU23" s="755" t="s">
        <v>478</v>
      </c>
      <c r="DV23" s="1036" t="s">
        <v>480</v>
      </c>
      <c r="DW23" s="755" t="s">
        <v>478</v>
      </c>
      <c r="DX23" s="755" t="s">
        <v>478</v>
      </c>
      <c r="DY23" s="1036" t="s">
        <v>480</v>
      </c>
      <c r="DZ23" s="755" t="s">
        <v>478</v>
      </c>
      <c r="EA23" s="755" t="s">
        <v>478</v>
      </c>
      <c r="EB23" s="1036" t="s">
        <v>480</v>
      </c>
      <c r="EC23" s="755" t="s">
        <v>478</v>
      </c>
      <c r="ED23" s="68"/>
      <c r="EE23" s="68"/>
      <c r="EF23" s="68"/>
    </row>
    <row r="24" ht="15.0" hidden="1" customHeight="1">
      <c r="A24" s="60">
        <v>36.0</v>
      </c>
      <c r="B24" s="895" t="s">
        <v>173</v>
      </c>
      <c r="C24" s="188"/>
      <c r="D24" s="189"/>
      <c r="E24" s="189"/>
      <c r="F24" s="189"/>
      <c r="G24" s="189"/>
      <c r="H24" s="190"/>
      <c r="I24" s="189"/>
      <c r="J24" s="189"/>
      <c r="K24" s="260"/>
      <c r="L24" s="248"/>
      <c r="M24" s="189"/>
      <c r="N24" s="189"/>
      <c r="O24" s="73"/>
      <c r="P24" s="248"/>
      <c r="Q24" s="813"/>
      <c r="R24" s="876"/>
      <c r="S24" s="877"/>
      <c r="T24" s="813"/>
      <c r="U24" s="876"/>
      <c r="V24" s="877"/>
      <c r="W24" s="813"/>
      <c r="X24" s="876"/>
      <c r="Y24" s="877"/>
      <c r="Z24" s="896"/>
      <c r="AA24" s="897"/>
      <c r="AB24" s="879"/>
      <c r="AC24" s="880"/>
      <c r="AD24" s="880"/>
      <c r="AE24" s="880"/>
      <c r="AF24" s="880"/>
      <c r="AG24" s="880"/>
      <c r="AH24" s="880"/>
      <c r="AI24" s="880"/>
      <c r="AJ24" s="880"/>
      <c r="AK24" s="880"/>
      <c r="AL24" s="880"/>
      <c r="AM24" s="880"/>
      <c r="AN24" s="880"/>
      <c r="AO24" s="880"/>
      <c r="AP24" s="880"/>
      <c r="AQ24" s="880"/>
      <c r="AR24" s="880"/>
      <c r="AS24" s="880"/>
      <c r="AT24" s="880"/>
      <c r="AU24" s="880"/>
      <c r="AV24" s="880"/>
      <c r="AW24" s="880"/>
      <c r="AX24" s="880"/>
      <c r="AY24" s="880"/>
      <c r="AZ24" s="880"/>
      <c r="BA24" s="1060"/>
      <c r="BB24" s="1060"/>
      <c r="BC24" s="1060"/>
      <c r="BD24" s="1060"/>
      <c r="BE24" s="1060"/>
      <c r="BF24" s="1060"/>
      <c r="BG24" s="1060"/>
      <c r="BH24" s="1060"/>
      <c r="BI24" s="1060"/>
      <c r="BJ24" s="1060"/>
      <c r="BK24" s="1060"/>
      <c r="BL24" s="1060"/>
      <c r="BM24" s="1060"/>
      <c r="BN24" s="1060"/>
      <c r="BO24" s="1060"/>
      <c r="BP24" s="1060"/>
      <c r="BQ24" s="1060"/>
      <c r="BR24" s="1060"/>
      <c r="BS24" s="1060"/>
      <c r="BT24" s="1060"/>
      <c r="BU24" s="1060"/>
      <c r="BV24" s="1060"/>
      <c r="BW24" s="1060"/>
      <c r="BX24" s="1060"/>
      <c r="BY24" s="1060"/>
      <c r="BZ24" s="1060"/>
      <c r="CA24" s="1060"/>
      <c r="CB24" s="1060"/>
      <c r="CC24" s="1060"/>
      <c r="CD24" s="1060"/>
      <c r="CE24" s="1060"/>
      <c r="CF24" s="1060"/>
      <c r="CG24" s="1060"/>
      <c r="CH24" s="1060"/>
      <c r="CI24" s="1060"/>
      <c r="CJ24" s="1060"/>
      <c r="CK24" s="1060"/>
      <c r="CL24" s="1060"/>
      <c r="CM24" s="1060"/>
      <c r="CN24" s="1060"/>
      <c r="CO24" s="1060"/>
      <c r="CP24" s="1060"/>
      <c r="CQ24" s="1060"/>
      <c r="CR24" s="1060"/>
      <c r="CS24" s="1060"/>
      <c r="CT24" s="1060"/>
      <c r="CU24" s="1060"/>
      <c r="CV24" s="1060"/>
      <c r="CW24" s="1060"/>
      <c r="CX24" s="1060"/>
      <c r="CY24" s="1060"/>
      <c r="CZ24" s="1060"/>
      <c r="DA24" s="1060"/>
      <c r="DB24" s="1060"/>
      <c r="DC24" s="1060"/>
      <c r="DD24" s="1060"/>
      <c r="DE24" s="1060"/>
      <c r="DF24" s="1060"/>
      <c r="DG24" s="1060"/>
      <c r="DH24" s="1060"/>
      <c r="DI24" s="1060"/>
      <c r="DJ24" s="1060"/>
      <c r="DK24" s="1060"/>
      <c r="DL24" s="1060"/>
      <c r="DM24" s="1060"/>
      <c r="DN24" s="1060"/>
      <c r="DO24" s="1060"/>
      <c r="DP24" s="1060"/>
      <c r="DQ24" s="1060"/>
      <c r="DR24" s="1060"/>
      <c r="DS24" s="1060"/>
      <c r="DT24" s="1060"/>
      <c r="DU24" s="1060"/>
      <c r="DV24" s="1060"/>
      <c r="DW24" s="1060"/>
      <c r="DX24" s="1060"/>
      <c r="DY24" s="1060"/>
      <c r="DZ24" s="1060"/>
      <c r="EA24" s="1060"/>
      <c r="EB24" s="1060"/>
      <c r="EC24" s="1060"/>
      <c r="ED24" s="215"/>
      <c r="EE24" s="215"/>
      <c r="EF24" s="215"/>
    </row>
    <row r="25" ht="15.0" customHeight="1" outlineLevel="1">
      <c r="A25" s="60">
        <v>2.0</v>
      </c>
      <c r="B25" s="747" t="s">
        <v>83</v>
      </c>
      <c r="C25" s="747" t="s">
        <v>84</v>
      </c>
      <c r="D25" s="71" t="s">
        <v>85</v>
      </c>
      <c r="E25" s="146" t="s">
        <v>86</v>
      </c>
      <c r="F25" s="72">
        <v>1130.0</v>
      </c>
      <c r="G25" s="139" t="s">
        <v>86</v>
      </c>
      <c r="H25" s="139">
        <v>1130.0</v>
      </c>
      <c r="I25" s="126" t="str">
        <f>IFERROR(VLOOKUP(C22:C164,'R22 RELATÓRIO ACC'!B:F,5,FALSE),"NOT PUBLISHED")</f>
        <v>V29</v>
      </c>
      <c r="J25" s="126" t="str">
        <f>IFERROR(VLOOKUP(C22:C164,'R22 RELATÓRIO ACC'!B:P,15,FALSE),"NOT PUBLISHED")</f>
        <v>13/04/2026</v>
      </c>
      <c r="K25" s="746" t="str">
        <f>IFERROR(VLOOKUP(B22:B164,'RELATÓRIO ACC'!B:F,5,FALSE),"NOT PUBLISHED")</f>
        <v>V3</v>
      </c>
      <c r="L25" s="748" t="str">
        <f>IFERROR(VLOOKUP(B22:B164,'RELATÓRIO ACC'!B:P,15,FALSE),"NOT PUBLISHED")</f>
        <v>03/06/2026</v>
      </c>
      <c r="M25" s="141" t="s">
        <v>481</v>
      </c>
      <c r="N25" s="756" t="s">
        <v>461</v>
      </c>
      <c r="O25" s="1042" t="s">
        <v>482</v>
      </c>
      <c r="P25" s="1043" t="s">
        <v>87</v>
      </c>
      <c r="Q25" s="746" t="s">
        <v>477</v>
      </c>
      <c r="R25" s="766" t="s">
        <v>476</v>
      </c>
      <c r="S25" s="773">
        <v>0.6</v>
      </c>
      <c r="T25" s="746" t="s">
        <v>478</v>
      </c>
      <c r="U25" s="466" t="s">
        <v>483</v>
      </c>
      <c r="V25" s="767" t="s">
        <v>478</v>
      </c>
      <c r="W25" s="746" t="s">
        <v>477</v>
      </c>
      <c r="X25" s="766" t="s">
        <v>476</v>
      </c>
      <c r="Y25" s="1061">
        <v>0.78</v>
      </c>
      <c r="Z25" s="746" t="s">
        <v>477</v>
      </c>
      <c r="AA25" s="759" t="s">
        <v>476</v>
      </c>
      <c r="AB25" s="768">
        <v>0.78</v>
      </c>
      <c r="AC25" s="755" t="s">
        <v>478</v>
      </c>
      <c r="AD25" s="766" t="s">
        <v>476</v>
      </c>
      <c r="AE25" s="1062" t="s">
        <v>478</v>
      </c>
      <c r="AF25" s="755" t="s">
        <v>478</v>
      </c>
      <c r="AG25" s="766" t="s">
        <v>476</v>
      </c>
      <c r="AH25" s="1062" t="s">
        <v>478</v>
      </c>
      <c r="AI25" s="755" t="s">
        <v>478</v>
      </c>
      <c r="AJ25" s="766" t="s">
        <v>476</v>
      </c>
      <c r="AK25" s="1062" t="s">
        <v>478</v>
      </c>
      <c r="AL25" s="755" t="s">
        <v>477</v>
      </c>
      <c r="AM25" s="759" t="s">
        <v>476</v>
      </c>
      <c r="AN25" s="1063">
        <v>0.93</v>
      </c>
      <c r="AO25" s="763" t="s">
        <v>478</v>
      </c>
      <c r="AP25" s="791" t="s">
        <v>476</v>
      </c>
      <c r="AQ25" s="763" t="s">
        <v>478</v>
      </c>
      <c r="AR25" s="763" t="s">
        <v>474</v>
      </c>
      <c r="AS25" s="791" t="s">
        <v>476</v>
      </c>
      <c r="AT25" s="763" t="s">
        <v>474</v>
      </c>
      <c r="AU25" s="763" t="s">
        <v>484</v>
      </c>
      <c r="AV25" s="791" t="s">
        <v>476</v>
      </c>
      <c r="AW25" s="135">
        <v>1.0</v>
      </c>
      <c r="AX25" s="68" t="s">
        <v>485</v>
      </c>
      <c r="AY25" s="791" t="s">
        <v>476</v>
      </c>
      <c r="AZ25" s="135">
        <v>1.0</v>
      </c>
      <c r="BA25" s="1064" t="s">
        <v>485</v>
      </c>
      <c r="BB25" s="1065" t="s">
        <v>476</v>
      </c>
      <c r="BC25" s="1066">
        <v>1.0</v>
      </c>
      <c r="BD25" s="1064" t="s">
        <v>485</v>
      </c>
      <c r="BE25" s="1065" t="s">
        <v>476</v>
      </c>
      <c r="BF25" s="1066">
        <v>1.0</v>
      </c>
      <c r="BG25" s="1064" t="s">
        <v>485</v>
      </c>
      <c r="BH25" s="1065" t="s">
        <v>476</v>
      </c>
      <c r="BI25" s="1066">
        <v>1.0</v>
      </c>
      <c r="BJ25" s="1064" t="s">
        <v>485</v>
      </c>
      <c r="BK25" s="1065" t="s">
        <v>476</v>
      </c>
      <c r="BL25" s="1066">
        <v>1.0</v>
      </c>
      <c r="BM25" s="1064" t="s">
        <v>485</v>
      </c>
      <c r="BN25" s="1065" t="s">
        <v>476</v>
      </c>
      <c r="BO25" s="1066">
        <v>1.0</v>
      </c>
      <c r="BP25" s="1064" t="s">
        <v>485</v>
      </c>
      <c r="BQ25" s="1065" t="s">
        <v>476</v>
      </c>
      <c r="BR25" s="1066">
        <v>1.0</v>
      </c>
      <c r="BS25" s="1064" t="s">
        <v>485</v>
      </c>
      <c r="BT25" s="1065" t="s">
        <v>476</v>
      </c>
      <c r="BU25" s="1066">
        <v>1.0</v>
      </c>
      <c r="BV25" s="1064" t="s">
        <v>485</v>
      </c>
      <c r="BW25" s="1065" t="s">
        <v>476</v>
      </c>
      <c r="BX25" s="1066">
        <v>1.0</v>
      </c>
      <c r="BY25" s="1064" t="s">
        <v>485</v>
      </c>
      <c r="BZ25" s="1065" t="s">
        <v>476</v>
      </c>
      <c r="CA25" s="1066">
        <v>1.0</v>
      </c>
      <c r="CB25" s="1064" t="s">
        <v>485</v>
      </c>
      <c r="CC25" s="1065" t="s">
        <v>476</v>
      </c>
      <c r="CD25" s="1066">
        <v>1.0</v>
      </c>
      <c r="CE25" s="1064" t="s">
        <v>485</v>
      </c>
      <c r="CF25" s="1065" t="s">
        <v>476</v>
      </c>
      <c r="CG25" s="1066">
        <v>1.0</v>
      </c>
      <c r="CH25" s="1064" t="s">
        <v>485</v>
      </c>
      <c r="CI25" s="1065" t="s">
        <v>476</v>
      </c>
      <c r="CJ25" s="1066">
        <v>1.0</v>
      </c>
      <c r="CK25" s="1064" t="s">
        <v>485</v>
      </c>
      <c r="CL25" s="1065" t="s">
        <v>476</v>
      </c>
      <c r="CM25" s="1059">
        <v>1.0</v>
      </c>
      <c r="CN25" s="1064" t="s">
        <v>485</v>
      </c>
      <c r="CO25" s="1065" t="s">
        <v>476</v>
      </c>
      <c r="CP25" s="1059">
        <v>1.0</v>
      </c>
      <c r="CQ25" s="1064" t="s">
        <v>485</v>
      </c>
      <c r="CR25" s="1065" t="s">
        <v>476</v>
      </c>
      <c r="CS25" s="1059">
        <v>1.0</v>
      </c>
      <c r="CT25" s="1064" t="s">
        <v>485</v>
      </c>
      <c r="CU25" s="1065" t="s">
        <v>476</v>
      </c>
      <c r="CV25" s="1066">
        <v>1.0</v>
      </c>
      <c r="CW25" s="1064" t="s">
        <v>485</v>
      </c>
      <c r="CX25" s="1065" t="s">
        <v>476</v>
      </c>
      <c r="CY25" s="1066">
        <v>1.0</v>
      </c>
      <c r="CZ25" s="1064" t="s">
        <v>485</v>
      </c>
      <c r="DA25" s="1065" t="s">
        <v>476</v>
      </c>
      <c r="DB25" s="1066">
        <v>1.0</v>
      </c>
      <c r="DC25" s="1064" t="s">
        <v>485</v>
      </c>
      <c r="DD25" s="1065" t="s">
        <v>476</v>
      </c>
      <c r="DE25" s="1066">
        <v>1.0</v>
      </c>
      <c r="DF25" s="1064" t="s">
        <v>485</v>
      </c>
      <c r="DG25" s="1065" t="s">
        <v>476</v>
      </c>
      <c r="DH25" s="1066">
        <v>1.0</v>
      </c>
      <c r="DI25" s="1064" t="s">
        <v>485</v>
      </c>
      <c r="DJ25" s="1065" t="s">
        <v>476</v>
      </c>
      <c r="DK25" s="1066">
        <v>1.0</v>
      </c>
      <c r="DL25" s="1064" t="s">
        <v>485</v>
      </c>
      <c r="DM25" s="1065" t="s">
        <v>476</v>
      </c>
      <c r="DN25" s="1066">
        <v>1.0</v>
      </c>
      <c r="DO25" s="1064" t="s">
        <v>485</v>
      </c>
      <c r="DP25" s="1065" t="s">
        <v>476</v>
      </c>
      <c r="DQ25" s="1066">
        <v>1.0</v>
      </c>
      <c r="DR25" s="1064" t="s">
        <v>485</v>
      </c>
      <c r="DS25" s="1065" t="s">
        <v>476</v>
      </c>
      <c r="DT25" s="1066">
        <v>1.0</v>
      </c>
      <c r="DU25" s="1064" t="s">
        <v>485</v>
      </c>
      <c r="DV25" s="1065" t="s">
        <v>476</v>
      </c>
      <c r="DW25" s="1066">
        <v>1.0</v>
      </c>
      <c r="DX25" s="1064" t="s">
        <v>485</v>
      </c>
      <c r="DY25" s="1065" t="s">
        <v>476</v>
      </c>
      <c r="DZ25" s="1066">
        <v>1.0</v>
      </c>
      <c r="EA25" s="1064" t="s">
        <v>485</v>
      </c>
      <c r="EB25" s="1065" t="s">
        <v>476</v>
      </c>
      <c r="EC25" s="1066">
        <v>1.0</v>
      </c>
      <c r="ED25" s="111"/>
      <c r="EE25" s="111"/>
      <c r="EF25" s="111"/>
    </row>
    <row r="26" ht="13.5" hidden="1" customHeight="1">
      <c r="A26" s="60">
        <v>38.0</v>
      </c>
      <c r="B26" s="895" t="s">
        <v>177</v>
      </c>
      <c r="C26" s="188"/>
      <c r="D26" s="189"/>
      <c r="E26" s="189"/>
      <c r="F26" s="189"/>
      <c r="G26" s="189"/>
      <c r="H26" s="190"/>
      <c r="I26" s="189"/>
      <c r="J26" s="189"/>
      <c r="K26" s="260"/>
      <c r="L26" s="248"/>
      <c r="M26" s="189"/>
      <c r="N26" s="189"/>
      <c r="O26" s="73"/>
      <c r="P26" s="248"/>
      <c r="Q26" s="813"/>
      <c r="R26" s="876"/>
      <c r="S26" s="877"/>
      <c r="T26" s="813"/>
      <c r="U26" s="876"/>
      <c r="V26" s="877"/>
      <c r="W26" s="813"/>
      <c r="X26" s="876"/>
      <c r="Y26" s="877"/>
      <c r="Z26" s="896"/>
      <c r="AA26" s="897"/>
      <c r="AB26" s="879"/>
      <c r="AC26" s="880"/>
      <c r="AD26" s="880"/>
      <c r="AE26" s="1067"/>
      <c r="AF26" s="880"/>
      <c r="AG26" s="880"/>
      <c r="AH26" s="1067"/>
      <c r="AI26" s="880"/>
      <c r="AJ26" s="880"/>
      <c r="AK26" s="1067"/>
      <c r="AL26" s="880"/>
      <c r="AM26" s="880"/>
      <c r="AN26" s="1067"/>
      <c r="AO26" s="880"/>
      <c r="AP26" s="880"/>
      <c r="AQ26" s="1067"/>
      <c r="AR26" s="880"/>
      <c r="AS26" s="880"/>
      <c r="AT26" s="880"/>
      <c r="AU26" s="880"/>
      <c r="AV26" s="880"/>
      <c r="AW26" s="880"/>
      <c r="AX26" s="880"/>
      <c r="AY26" s="880"/>
      <c r="AZ26" s="880"/>
      <c r="BA26" s="1060"/>
      <c r="BB26" s="1060"/>
      <c r="BC26" s="1060"/>
      <c r="BD26" s="1060"/>
      <c r="BE26" s="1060"/>
      <c r="BF26" s="1060"/>
      <c r="BG26" s="1060"/>
      <c r="BH26" s="1060"/>
      <c r="BI26" s="1060"/>
      <c r="BJ26" s="1060"/>
      <c r="BK26" s="1060"/>
      <c r="BL26" s="1060"/>
      <c r="BM26" s="1060"/>
      <c r="BN26" s="1060"/>
      <c r="BO26" s="1060"/>
      <c r="BP26" s="1060"/>
      <c r="BQ26" s="1060"/>
      <c r="BR26" s="1060"/>
      <c r="BS26" s="1060"/>
      <c r="BT26" s="1060"/>
      <c r="BU26" s="1060"/>
      <c r="BV26" s="1060"/>
      <c r="BW26" s="1060"/>
      <c r="BX26" s="1060"/>
      <c r="BY26" s="1060"/>
      <c r="BZ26" s="1060"/>
      <c r="CA26" s="1060"/>
      <c r="CB26" s="1060"/>
      <c r="CC26" s="1060"/>
      <c r="CD26" s="1060"/>
      <c r="CE26" s="1060"/>
      <c r="CF26" s="1060"/>
      <c r="CG26" s="1060"/>
      <c r="CH26" s="1060"/>
      <c r="CI26" s="1060"/>
      <c r="CJ26" s="1060"/>
      <c r="CK26" s="1060"/>
      <c r="CL26" s="1060"/>
      <c r="CM26" s="1060"/>
      <c r="CN26" s="1060"/>
      <c r="CO26" s="1060"/>
      <c r="CP26" s="1060"/>
      <c r="CQ26" s="1060"/>
      <c r="CR26" s="1060"/>
      <c r="CS26" s="1060"/>
      <c r="CT26" s="1060"/>
      <c r="CU26" s="1060"/>
      <c r="CV26" s="1060"/>
      <c r="CW26" s="1060"/>
      <c r="CX26" s="1060"/>
      <c r="CY26" s="1060"/>
      <c r="CZ26" s="1060"/>
      <c r="DA26" s="1060"/>
      <c r="DB26" s="1060"/>
      <c r="DC26" s="1060"/>
      <c r="DD26" s="1060"/>
      <c r="DE26" s="1060"/>
      <c r="DF26" s="1060"/>
      <c r="DG26" s="1060"/>
      <c r="DH26" s="1060"/>
      <c r="DI26" s="1060"/>
      <c r="DJ26" s="1060"/>
      <c r="DK26" s="1060"/>
      <c r="DL26" s="1060"/>
      <c r="DM26" s="1060"/>
      <c r="DN26" s="1060"/>
      <c r="DO26" s="1060"/>
      <c r="DP26" s="1060"/>
      <c r="DQ26" s="1060"/>
      <c r="DR26" s="1060"/>
      <c r="DS26" s="1060"/>
      <c r="DT26" s="1060"/>
      <c r="DU26" s="1060"/>
      <c r="DV26" s="1060"/>
      <c r="DW26" s="1060"/>
      <c r="DX26" s="1060"/>
      <c r="DY26" s="1060"/>
      <c r="DZ26" s="1060"/>
      <c r="EA26" s="1060"/>
      <c r="EB26" s="1060"/>
      <c r="EC26" s="1060"/>
      <c r="ED26" s="186"/>
      <c r="EE26" s="186"/>
      <c r="EF26" s="186"/>
    </row>
    <row r="27" ht="15.0" customHeight="1" outlineLevel="1">
      <c r="A27" s="60">
        <v>11.0</v>
      </c>
      <c r="B27" s="747" t="s">
        <v>98</v>
      </c>
      <c r="C27" s="747" t="s">
        <v>99</v>
      </c>
      <c r="D27" s="71" t="s">
        <v>85</v>
      </c>
      <c r="E27" s="138" t="s">
        <v>100</v>
      </c>
      <c r="F27" s="72">
        <v>1104.0</v>
      </c>
      <c r="G27" s="139" t="s">
        <v>101</v>
      </c>
      <c r="H27" s="139">
        <v>1127.0</v>
      </c>
      <c r="I27" s="126" t="str">
        <f>IFERROR(VLOOKUP(C24:C166,'R22 RELATÓRIO ACC'!B:F,5,FALSE),"NOT PUBLISHED")</f>
        <v>V12</v>
      </c>
      <c r="J27" s="126" t="str">
        <f>IFERROR(VLOOKUP(C24:C166,'R22 RELATÓRIO ACC'!B:P,15,FALSE),"NOT PUBLISHED")</f>
        <v>08/04/2026</v>
      </c>
      <c r="K27" s="746" t="str">
        <f>IFERROR(VLOOKUP(B24:B166,'RELATÓRIO ACC'!B:F,5,FALSE),"NOT PUBLISHED")</f>
        <v>V1</v>
      </c>
      <c r="L27" s="748" t="str">
        <f>IFERROR(VLOOKUP(B24:B166,'RELATÓRIO ACC'!B:P,15,FALSE),"NOT PUBLISHED")</f>
        <v>15/05/2026</v>
      </c>
      <c r="M27" s="141" t="s">
        <v>486</v>
      </c>
      <c r="N27" s="756" t="s">
        <v>487</v>
      </c>
      <c r="O27" s="1042" t="s">
        <v>482</v>
      </c>
      <c r="P27" s="1043" t="s">
        <v>102</v>
      </c>
      <c r="Q27" s="746" t="s">
        <v>466</v>
      </c>
      <c r="R27" s="74" t="s">
        <v>462</v>
      </c>
      <c r="S27" s="749" t="s">
        <v>466</v>
      </c>
      <c r="T27" s="746" t="s">
        <v>466</v>
      </c>
      <c r="U27" s="74" t="s">
        <v>462</v>
      </c>
      <c r="V27" s="749" t="s">
        <v>466</v>
      </c>
      <c r="W27" s="746" t="s">
        <v>484</v>
      </c>
      <c r="X27" s="766" t="s">
        <v>476</v>
      </c>
      <c r="Y27" s="773">
        <v>1.0</v>
      </c>
      <c r="Z27" s="746" t="s">
        <v>484</v>
      </c>
      <c r="AA27" s="766" t="s">
        <v>476</v>
      </c>
      <c r="AB27" s="768">
        <v>1.0</v>
      </c>
      <c r="AC27" s="746" t="s">
        <v>484</v>
      </c>
      <c r="AD27" s="766" t="s">
        <v>476</v>
      </c>
      <c r="AE27" s="1068">
        <v>1.0</v>
      </c>
      <c r="AF27" s="746" t="s">
        <v>485</v>
      </c>
      <c r="AG27" s="766" t="s">
        <v>476</v>
      </c>
      <c r="AH27" s="1068">
        <v>1.0</v>
      </c>
      <c r="AI27" s="746" t="s">
        <v>485</v>
      </c>
      <c r="AJ27" s="766" t="s">
        <v>476</v>
      </c>
      <c r="AK27" s="1068">
        <v>1.0</v>
      </c>
      <c r="AL27" s="746" t="s">
        <v>485</v>
      </c>
      <c r="AM27" s="766" t="s">
        <v>476</v>
      </c>
      <c r="AN27" s="1068">
        <v>1.0</v>
      </c>
      <c r="AO27" s="746" t="s">
        <v>485</v>
      </c>
      <c r="AP27" s="766" t="s">
        <v>476</v>
      </c>
      <c r="AQ27" s="1068">
        <v>1.0</v>
      </c>
      <c r="AR27" s="746" t="s">
        <v>485</v>
      </c>
      <c r="AS27" s="766" t="s">
        <v>476</v>
      </c>
      <c r="AT27" s="1068">
        <v>1.0</v>
      </c>
      <c r="AU27" s="746" t="s">
        <v>485</v>
      </c>
      <c r="AV27" s="766" t="s">
        <v>476</v>
      </c>
      <c r="AW27" s="1068">
        <v>1.0</v>
      </c>
      <c r="AX27" s="746" t="s">
        <v>485</v>
      </c>
      <c r="AY27" s="766" t="s">
        <v>476</v>
      </c>
      <c r="AZ27" s="1068">
        <v>1.0</v>
      </c>
      <c r="BA27" s="1069" t="s">
        <v>485</v>
      </c>
      <c r="BB27" s="1046" t="s">
        <v>476</v>
      </c>
      <c r="BC27" s="1070">
        <v>1.0</v>
      </c>
      <c r="BD27" s="1069" t="s">
        <v>485</v>
      </c>
      <c r="BE27" s="1046" t="s">
        <v>476</v>
      </c>
      <c r="BF27" s="1070">
        <v>1.0</v>
      </c>
      <c r="BG27" s="1069" t="s">
        <v>485</v>
      </c>
      <c r="BH27" s="1046" t="s">
        <v>476</v>
      </c>
      <c r="BI27" s="1070">
        <v>1.0</v>
      </c>
      <c r="BJ27" s="1069" t="s">
        <v>485</v>
      </c>
      <c r="BK27" s="1046" t="s">
        <v>476</v>
      </c>
      <c r="BL27" s="1070">
        <v>1.0</v>
      </c>
      <c r="BM27" s="1069" t="s">
        <v>485</v>
      </c>
      <c r="BN27" s="1046" t="s">
        <v>476</v>
      </c>
      <c r="BO27" s="1070">
        <v>1.0</v>
      </c>
      <c r="BP27" s="1069" t="s">
        <v>485</v>
      </c>
      <c r="BQ27" s="1046" t="s">
        <v>476</v>
      </c>
      <c r="BR27" s="1070">
        <v>1.0</v>
      </c>
      <c r="BS27" s="1069" t="s">
        <v>485</v>
      </c>
      <c r="BT27" s="1046" t="s">
        <v>476</v>
      </c>
      <c r="BU27" s="1070">
        <v>1.0</v>
      </c>
      <c r="BV27" s="1069" t="s">
        <v>485</v>
      </c>
      <c r="BW27" s="1046" t="s">
        <v>476</v>
      </c>
      <c r="BX27" s="1070">
        <v>1.0</v>
      </c>
      <c r="BY27" s="1069" t="s">
        <v>485</v>
      </c>
      <c r="BZ27" s="1046" t="s">
        <v>476</v>
      </c>
      <c r="CA27" s="1070">
        <v>1.0</v>
      </c>
      <c r="CB27" s="1069" t="s">
        <v>485</v>
      </c>
      <c r="CC27" s="1046" t="s">
        <v>476</v>
      </c>
      <c r="CD27" s="1070">
        <v>1.0</v>
      </c>
      <c r="CE27" s="1069" t="s">
        <v>485</v>
      </c>
      <c r="CF27" s="1046" t="s">
        <v>476</v>
      </c>
      <c r="CG27" s="1070">
        <v>1.0</v>
      </c>
      <c r="CH27" s="1069" t="s">
        <v>485</v>
      </c>
      <c r="CI27" s="1046" t="s">
        <v>476</v>
      </c>
      <c r="CJ27" s="1070">
        <v>1.0</v>
      </c>
      <c r="CK27" s="1069" t="s">
        <v>485</v>
      </c>
      <c r="CL27" s="1046" t="s">
        <v>476</v>
      </c>
      <c r="CM27" s="1070">
        <v>1.0</v>
      </c>
      <c r="CN27" s="1069" t="s">
        <v>485</v>
      </c>
      <c r="CO27" s="1046" t="s">
        <v>476</v>
      </c>
      <c r="CP27" s="1070">
        <v>1.0</v>
      </c>
      <c r="CQ27" s="1069" t="s">
        <v>485</v>
      </c>
      <c r="CR27" s="1046" t="s">
        <v>476</v>
      </c>
      <c r="CS27" s="1070">
        <v>1.0</v>
      </c>
      <c r="CT27" s="1069" t="s">
        <v>485</v>
      </c>
      <c r="CU27" s="1046" t="s">
        <v>476</v>
      </c>
      <c r="CV27" s="1070">
        <v>1.0</v>
      </c>
      <c r="CW27" s="1069" t="s">
        <v>485</v>
      </c>
      <c r="CX27" s="1046" t="s">
        <v>476</v>
      </c>
      <c r="CY27" s="1070">
        <v>1.0</v>
      </c>
      <c r="CZ27" s="1069" t="s">
        <v>485</v>
      </c>
      <c r="DA27" s="1046" t="s">
        <v>476</v>
      </c>
      <c r="DB27" s="1070">
        <v>1.0</v>
      </c>
      <c r="DC27" s="1069" t="s">
        <v>485</v>
      </c>
      <c r="DD27" s="1046" t="s">
        <v>476</v>
      </c>
      <c r="DE27" s="1070">
        <v>1.0</v>
      </c>
      <c r="DF27" s="1069" t="s">
        <v>485</v>
      </c>
      <c r="DG27" s="1046" t="s">
        <v>476</v>
      </c>
      <c r="DH27" s="1070">
        <v>1.0</v>
      </c>
      <c r="DI27" s="1069" t="s">
        <v>485</v>
      </c>
      <c r="DJ27" s="1046" t="s">
        <v>476</v>
      </c>
      <c r="DK27" s="1070">
        <v>1.0</v>
      </c>
      <c r="DL27" s="1069" t="s">
        <v>485</v>
      </c>
      <c r="DM27" s="1046" t="s">
        <v>476</v>
      </c>
      <c r="DN27" s="1070">
        <v>1.0</v>
      </c>
      <c r="DO27" s="1069" t="s">
        <v>485</v>
      </c>
      <c r="DP27" s="1046" t="s">
        <v>476</v>
      </c>
      <c r="DQ27" s="1070">
        <v>1.0</v>
      </c>
      <c r="DR27" s="1069" t="s">
        <v>485</v>
      </c>
      <c r="DS27" s="1046" t="s">
        <v>476</v>
      </c>
      <c r="DT27" s="1070">
        <v>1.0</v>
      </c>
      <c r="DU27" s="1069" t="s">
        <v>485</v>
      </c>
      <c r="DV27" s="1046" t="s">
        <v>476</v>
      </c>
      <c r="DW27" s="1070">
        <v>1.0</v>
      </c>
      <c r="DX27" s="1069" t="s">
        <v>485</v>
      </c>
      <c r="DY27" s="1046" t="s">
        <v>476</v>
      </c>
      <c r="DZ27" s="1070">
        <v>1.0</v>
      </c>
      <c r="EA27" s="1069" t="s">
        <v>485</v>
      </c>
      <c r="EB27" s="1046" t="s">
        <v>476</v>
      </c>
      <c r="EC27" s="1070">
        <v>1.0</v>
      </c>
      <c r="ED27" s="111"/>
      <c r="EE27" s="111"/>
      <c r="EF27" s="111"/>
    </row>
    <row r="28" ht="15.0" hidden="1" customHeight="1">
      <c r="A28" s="60">
        <v>41.0</v>
      </c>
      <c r="B28" s="895" t="s">
        <v>183</v>
      </c>
      <c r="C28" s="188"/>
      <c r="D28" s="189"/>
      <c r="E28" s="189"/>
      <c r="F28" s="189"/>
      <c r="G28" s="189"/>
      <c r="H28" s="190"/>
      <c r="I28" s="189"/>
      <c r="J28" s="189"/>
      <c r="K28" s="813"/>
      <c r="L28" s="812"/>
      <c r="M28" s="811"/>
      <c r="N28" s="811"/>
      <c r="O28" s="73"/>
      <c r="P28" s="248"/>
      <c r="Q28" s="878"/>
      <c r="R28" s="876"/>
      <c r="S28" s="878"/>
      <c r="T28" s="813"/>
      <c r="U28" s="876"/>
      <c r="V28" s="878"/>
      <c r="W28" s="813"/>
      <c r="X28" s="876"/>
      <c r="Y28" s="878"/>
      <c r="Z28" s="896"/>
      <c r="AA28" s="897"/>
      <c r="AB28" s="878"/>
      <c r="AC28" s="880"/>
      <c r="AD28" s="880"/>
      <c r="AE28" s="878"/>
      <c r="AF28" s="880"/>
      <c r="AG28" s="880"/>
      <c r="AH28" s="878"/>
      <c r="AI28" s="880"/>
      <c r="AJ28" s="880"/>
      <c r="AK28" s="878"/>
      <c r="AL28" s="880"/>
      <c r="AM28" s="880"/>
      <c r="AN28" s="878"/>
      <c r="AO28" s="880"/>
      <c r="AP28" s="880"/>
      <c r="AQ28" s="878"/>
      <c r="AR28" s="880"/>
      <c r="AS28" s="880"/>
      <c r="AT28" s="880"/>
      <c r="AU28" s="880"/>
      <c r="AV28" s="880"/>
      <c r="AW28" s="880"/>
      <c r="AX28" s="880"/>
      <c r="AY28" s="880"/>
      <c r="AZ28" s="880"/>
      <c r="BA28" s="1060"/>
      <c r="BB28" s="1060"/>
      <c r="BC28" s="1060"/>
      <c r="BD28" s="1060"/>
      <c r="BE28" s="1060"/>
      <c r="BF28" s="1060"/>
      <c r="BG28" s="1060"/>
      <c r="BH28" s="1060"/>
      <c r="BI28" s="1060"/>
      <c r="BJ28" s="1060"/>
      <c r="BK28" s="1060"/>
      <c r="BL28" s="1060"/>
      <c r="BM28" s="1060"/>
      <c r="BN28" s="1060"/>
      <c r="BO28" s="1060"/>
      <c r="BP28" s="1060"/>
      <c r="BQ28" s="1060"/>
      <c r="BR28" s="1060"/>
      <c r="BS28" s="1060"/>
      <c r="BT28" s="1060"/>
      <c r="BU28" s="1060"/>
      <c r="BV28" s="1060"/>
      <c r="BW28" s="1060"/>
      <c r="BX28" s="1060"/>
      <c r="BY28" s="1060"/>
      <c r="BZ28" s="1060"/>
      <c r="CA28" s="1060"/>
      <c r="CB28" s="1060"/>
      <c r="CC28" s="1060"/>
      <c r="CD28" s="1060"/>
      <c r="CE28" s="1060"/>
      <c r="CF28" s="1060"/>
      <c r="CG28" s="1060"/>
      <c r="CH28" s="1060"/>
      <c r="CI28" s="1060"/>
      <c r="CJ28" s="1060"/>
      <c r="CK28" s="1060"/>
      <c r="CL28" s="1060"/>
      <c r="CM28" s="1060"/>
      <c r="CN28" s="1060"/>
      <c r="CO28" s="1060"/>
      <c r="CP28" s="1060"/>
      <c r="CQ28" s="1060"/>
      <c r="CR28" s="1060"/>
      <c r="CS28" s="1060"/>
      <c r="CT28" s="1060"/>
      <c r="CU28" s="1060"/>
      <c r="CV28" s="1060"/>
      <c r="CW28" s="1060"/>
      <c r="CX28" s="1060"/>
      <c r="CY28" s="1060"/>
      <c r="CZ28" s="1060"/>
      <c r="DA28" s="1060"/>
      <c r="DB28" s="1060"/>
      <c r="DC28" s="1060"/>
      <c r="DD28" s="1060"/>
      <c r="DE28" s="1060"/>
      <c r="DF28" s="1060"/>
      <c r="DG28" s="1060"/>
      <c r="DH28" s="1060"/>
      <c r="DI28" s="1060"/>
      <c r="DJ28" s="1060"/>
      <c r="DK28" s="1060"/>
      <c r="DL28" s="1060"/>
      <c r="DM28" s="1060"/>
      <c r="DN28" s="1060"/>
      <c r="DO28" s="1060"/>
      <c r="DP28" s="1060"/>
      <c r="DQ28" s="1060"/>
      <c r="DR28" s="1060"/>
      <c r="DS28" s="1060"/>
      <c r="DT28" s="1060"/>
      <c r="DU28" s="1060"/>
      <c r="DV28" s="1060"/>
      <c r="DW28" s="1060"/>
      <c r="DX28" s="1060"/>
      <c r="DY28" s="1060"/>
      <c r="DZ28" s="1060"/>
      <c r="EA28" s="1060"/>
      <c r="EB28" s="1060"/>
      <c r="EC28" s="1060"/>
      <c r="ED28" s="215"/>
      <c r="EE28" s="215"/>
      <c r="EF28" s="215"/>
    </row>
    <row r="29" ht="15.0" customHeight="1" outlineLevel="1">
      <c r="A29" s="60">
        <v>13.0</v>
      </c>
      <c r="B29" s="747" t="s">
        <v>105</v>
      </c>
      <c r="C29" s="747" t="s">
        <v>106</v>
      </c>
      <c r="D29" s="71" t="s">
        <v>85</v>
      </c>
      <c r="E29" s="146" t="s">
        <v>107</v>
      </c>
      <c r="F29" s="72">
        <v>1105.0</v>
      </c>
      <c r="G29" s="147" t="s">
        <v>101</v>
      </c>
      <c r="H29" s="139">
        <v>1105.0</v>
      </c>
      <c r="I29" s="126" t="str">
        <f>IFERROR(VLOOKUP(C26:C168,'R22 RELATÓRIO ACC'!B:F,5,FALSE),"NOT PUBLISHED")</f>
        <v>V9</v>
      </c>
      <c r="J29" s="126" t="str">
        <f>IFERROR(VLOOKUP(C26:C168,'R22 RELATÓRIO ACC'!B:P,15,FALSE),"NOT PUBLISHED")</f>
        <v>27/03/2026</v>
      </c>
      <c r="K29" s="746" t="str">
        <f>IFERROR(VLOOKUP(B26:B168,'RELATÓRIO ACC'!B:F,5,FALSE),"NOT PUBLISHED")</f>
        <v>V2</v>
      </c>
      <c r="L29" s="748" t="str">
        <f>IFERROR(VLOOKUP(B26:B168,'RELATÓRIO ACC'!B:P,15,FALSE),"NOT PUBLISHED")</f>
        <v>26/06/2026</v>
      </c>
      <c r="M29" s="141" t="s">
        <v>479</v>
      </c>
      <c r="N29" s="843" t="s">
        <v>488</v>
      </c>
      <c r="O29" s="1042" t="s">
        <v>482</v>
      </c>
      <c r="P29" s="1043" t="s">
        <v>102</v>
      </c>
      <c r="Q29" s="746" t="s">
        <v>466</v>
      </c>
      <c r="R29" s="74" t="s">
        <v>462</v>
      </c>
      <c r="S29" s="746" t="s">
        <v>466</v>
      </c>
      <c r="T29" s="746" t="s">
        <v>466</v>
      </c>
      <c r="U29" s="74" t="s">
        <v>462</v>
      </c>
      <c r="V29" s="746" t="s">
        <v>466</v>
      </c>
      <c r="W29" s="746" t="s">
        <v>484</v>
      </c>
      <c r="X29" s="766" t="s">
        <v>476</v>
      </c>
      <c r="Y29" s="773">
        <v>1.0</v>
      </c>
      <c r="Z29" s="746" t="s">
        <v>484</v>
      </c>
      <c r="AA29" s="766" t="s">
        <v>476</v>
      </c>
      <c r="AB29" s="768">
        <v>1.0</v>
      </c>
      <c r="AC29" s="746" t="s">
        <v>484</v>
      </c>
      <c r="AD29" s="766" t="s">
        <v>476</v>
      </c>
      <c r="AE29" s="768">
        <v>1.0</v>
      </c>
      <c r="AF29" s="746" t="s">
        <v>485</v>
      </c>
      <c r="AG29" s="766" t="s">
        <v>476</v>
      </c>
      <c r="AH29" s="768">
        <v>1.0</v>
      </c>
      <c r="AI29" s="746" t="s">
        <v>485</v>
      </c>
      <c r="AJ29" s="766" t="s">
        <v>476</v>
      </c>
      <c r="AK29" s="768">
        <v>1.0</v>
      </c>
      <c r="AL29" s="746" t="s">
        <v>485</v>
      </c>
      <c r="AM29" s="766" t="s">
        <v>476</v>
      </c>
      <c r="AN29" s="768">
        <v>1.0</v>
      </c>
      <c r="AO29" s="746" t="s">
        <v>485</v>
      </c>
      <c r="AP29" s="766" t="s">
        <v>476</v>
      </c>
      <c r="AQ29" s="768">
        <v>1.0</v>
      </c>
      <c r="AR29" s="746" t="s">
        <v>485</v>
      </c>
      <c r="AS29" s="766" t="s">
        <v>476</v>
      </c>
      <c r="AT29" s="768">
        <v>1.0</v>
      </c>
      <c r="AU29" s="746" t="s">
        <v>485</v>
      </c>
      <c r="AV29" s="766" t="s">
        <v>476</v>
      </c>
      <c r="AW29" s="768">
        <v>1.0</v>
      </c>
      <c r="AX29" s="746" t="s">
        <v>485</v>
      </c>
      <c r="AY29" s="766" t="s">
        <v>476</v>
      </c>
      <c r="AZ29" s="768">
        <v>1.0</v>
      </c>
      <c r="BA29" s="1069" t="s">
        <v>485</v>
      </c>
      <c r="BB29" s="1046" t="s">
        <v>476</v>
      </c>
      <c r="BC29" s="1071">
        <v>1.0</v>
      </c>
      <c r="BD29" s="1069" t="s">
        <v>485</v>
      </c>
      <c r="BE29" s="1046" t="s">
        <v>476</v>
      </c>
      <c r="BF29" s="1071">
        <v>1.0</v>
      </c>
      <c r="BG29" s="1069" t="s">
        <v>485</v>
      </c>
      <c r="BH29" s="1046" t="s">
        <v>476</v>
      </c>
      <c r="BI29" s="1071">
        <v>1.0</v>
      </c>
      <c r="BJ29" s="1069" t="s">
        <v>485</v>
      </c>
      <c r="BK29" s="1046" t="s">
        <v>476</v>
      </c>
      <c r="BL29" s="1071">
        <v>1.0</v>
      </c>
      <c r="BM29" s="1069" t="s">
        <v>485</v>
      </c>
      <c r="BN29" s="1046" t="s">
        <v>476</v>
      </c>
      <c r="BO29" s="1071">
        <v>1.0</v>
      </c>
      <c r="BP29" s="1069" t="s">
        <v>485</v>
      </c>
      <c r="BQ29" s="1046" t="s">
        <v>476</v>
      </c>
      <c r="BR29" s="1071">
        <v>1.0</v>
      </c>
      <c r="BS29" s="1069" t="s">
        <v>485</v>
      </c>
      <c r="BT29" s="1046" t="s">
        <v>476</v>
      </c>
      <c r="BU29" s="1071">
        <v>1.0</v>
      </c>
      <c r="BV29" s="1069" t="s">
        <v>485</v>
      </c>
      <c r="BW29" s="1046" t="s">
        <v>476</v>
      </c>
      <c r="BX29" s="1071">
        <v>1.0</v>
      </c>
      <c r="BY29" s="1069" t="s">
        <v>485</v>
      </c>
      <c r="BZ29" s="1046" t="s">
        <v>476</v>
      </c>
      <c r="CA29" s="1071">
        <v>1.0</v>
      </c>
      <c r="CB29" s="1069" t="s">
        <v>485</v>
      </c>
      <c r="CC29" s="1046" t="s">
        <v>476</v>
      </c>
      <c r="CD29" s="1071">
        <v>1.0</v>
      </c>
      <c r="CE29" s="1069" t="s">
        <v>485</v>
      </c>
      <c r="CF29" s="1046" t="s">
        <v>476</v>
      </c>
      <c r="CG29" s="1071">
        <v>1.0</v>
      </c>
      <c r="CH29" s="1069" t="s">
        <v>485</v>
      </c>
      <c r="CI29" s="1046" t="s">
        <v>476</v>
      </c>
      <c r="CJ29" s="1071">
        <v>1.0</v>
      </c>
      <c r="CK29" s="1069" t="s">
        <v>485</v>
      </c>
      <c r="CL29" s="1046" t="s">
        <v>476</v>
      </c>
      <c r="CM29" s="1071">
        <v>1.0</v>
      </c>
      <c r="CN29" s="1069" t="s">
        <v>485</v>
      </c>
      <c r="CO29" s="1046" t="s">
        <v>476</v>
      </c>
      <c r="CP29" s="1066">
        <v>1.0</v>
      </c>
      <c r="CQ29" s="1069" t="s">
        <v>485</v>
      </c>
      <c r="CR29" s="1046" t="s">
        <v>476</v>
      </c>
      <c r="CS29" s="1066">
        <v>1.0</v>
      </c>
      <c r="CT29" s="1069" t="s">
        <v>485</v>
      </c>
      <c r="CU29" s="1046" t="s">
        <v>476</v>
      </c>
      <c r="CV29" s="1066">
        <v>1.0</v>
      </c>
      <c r="CW29" s="1069" t="s">
        <v>485</v>
      </c>
      <c r="CX29" s="1046" t="s">
        <v>476</v>
      </c>
      <c r="CY29" s="1066">
        <v>1.0</v>
      </c>
      <c r="CZ29" s="1069" t="s">
        <v>485</v>
      </c>
      <c r="DA29" s="1046" t="s">
        <v>476</v>
      </c>
      <c r="DB29" s="1066">
        <v>1.0</v>
      </c>
      <c r="DC29" s="1069" t="s">
        <v>485</v>
      </c>
      <c r="DD29" s="1046" t="s">
        <v>476</v>
      </c>
      <c r="DE29" s="1066">
        <v>1.0</v>
      </c>
      <c r="DF29" s="1069" t="s">
        <v>485</v>
      </c>
      <c r="DG29" s="1046" t="s">
        <v>476</v>
      </c>
      <c r="DH29" s="1066">
        <v>1.0</v>
      </c>
      <c r="DI29" s="1069" t="s">
        <v>485</v>
      </c>
      <c r="DJ29" s="1046" t="s">
        <v>476</v>
      </c>
      <c r="DK29" s="1066">
        <v>1.0</v>
      </c>
      <c r="DL29" s="1069" t="s">
        <v>485</v>
      </c>
      <c r="DM29" s="1046" t="s">
        <v>476</v>
      </c>
      <c r="DN29" s="1066">
        <v>1.0</v>
      </c>
      <c r="DO29" s="1069" t="s">
        <v>485</v>
      </c>
      <c r="DP29" s="1046" t="s">
        <v>476</v>
      </c>
      <c r="DQ29" s="1066">
        <v>1.0</v>
      </c>
      <c r="DR29" s="1069" t="s">
        <v>485</v>
      </c>
      <c r="DS29" s="1046" t="s">
        <v>476</v>
      </c>
      <c r="DT29" s="1066">
        <v>1.0</v>
      </c>
      <c r="DU29" s="1069" t="s">
        <v>485</v>
      </c>
      <c r="DV29" s="1046" t="s">
        <v>476</v>
      </c>
      <c r="DW29" s="1066">
        <v>1.0</v>
      </c>
      <c r="DX29" s="1069" t="s">
        <v>485</v>
      </c>
      <c r="DY29" s="1046" t="s">
        <v>476</v>
      </c>
      <c r="DZ29" s="1066">
        <v>1.0</v>
      </c>
      <c r="EA29" s="1069" t="s">
        <v>485</v>
      </c>
      <c r="EB29" s="1046" t="s">
        <v>476</v>
      </c>
      <c r="EC29" s="1066">
        <v>1.0</v>
      </c>
      <c r="ED29" s="111"/>
      <c r="EE29" s="111"/>
      <c r="EF29" s="111"/>
    </row>
    <row r="30" ht="15.0" hidden="1" customHeight="1">
      <c r="A30" s="60">
        <v>44.0</v>
      </c>
      <c r="B30" s="895" t="s">
        <v>189</v>
      </c>
      <c r="C30" s="188"/>
      <c r="D30" s="189"/>
      <c r="E30" s="189"/>
      <c r="F30" s="189"/>
      <c r="G30" s="189"/>
      <c r="H30" s="190"/>
      <c r="I30" s="189"/>
      <c r="J30" s="189"/>
      <c r="K30" s="260"/>
      <c r="L30" s="248"/>
      <c r="M30" s="189"/>
      <c r="N30" s="189"/>
      <c r="O30" s="73"/>
      <c r="P30" s="248"/>
      <c r="Q30" s="813"/>
      <c r="R30" s="876"/>
      <c r="S30" s="877"/>
      <c r="T30" s="813"/>
      <c r="U30" s="876"/>
      <c r="V30" s="877"/>
      <c r="W30" s="813"/>
      <c r="X30" s="876"/>
      <c r="Y30" s="877"/>
      <c r="Z30" s="896"/>
      <c r="AA30" s="897"/>
      <c r="AB30" s="879"/>
      <c r="AC30" s="880"/>
      <c r="AD30" s="880"/>
      <c r="AE30" s="1067"/>
      <c r="AF30" s="880"/>
      <c r="AG30" s="880"/>
      <c r="AH30" s="1067"/>
      <c r="AI30" s="880"/>
      <c r="AJ30" s="880"/>
      <c r="AK30" s="1067"/>
      <c r="AL30" s="880"/>
      <c r="AM30" s="880"/>
      <c r="AN30" s="1067"/>
      <c r="AO30" s="880"/>
      <c r="AP30" s="880"/>
      <c r="AQ30" s="1067"/>
      <c r="AR30" s="880"/>
      <c r="AS30" s="880"/>
      <c r="AT30" s="880"/>
      <c r="AU30" s="880"/>
      <c r="AV30" s="880"/>
      <c r="AW30" s="880"/>
      <c r="AX30" s="880"/>
      <c r="AY30" s="880"/>
      <c r="AZ30" s="880"/>
      <c r="BA30" s="1060"/>
      <c r="BB30" s="1060"/>
      <c r="BC30" s="1060"/>
      <c r="BD30" s="1060"/>
      <c r="BE30" s="1060"/>
      <c r="BF30" s="1060"/>
      <c r="BG30" s="1060"/>
      <c r="BH30" s="1060"/>
      <c r="BI30" s="1060"/>
      <c r="BJ30" s="1060"/>
      <c r="BK30" s="1060"/>
      <c r="BL30" s="1060"/>
      <c r="BM30" s="1060"/>
      <c r="BN30" s="1060"/>
      <c r="BO30" s="1060"/>
      <c r="BP30" s="1060"/>
      <c r="BQ30" s="1060"/>
      <c r="BR30" s="1060"/>
      <c r="BS30" s="1060"/>
      <c r="BT30" s="1060"/>
      <c r="BU30" s="1060"/>
      <c r="BV30" s="1060"/>
      <c r="BW30" s="1060"/>
      <c r="BX30" s="1060"/>
      <c r="BY30" s="1060"/>
      <c r="BZ30" s="1060"/>
      <c r="CA30" s="1060"/>
      <c r="CB30" s="1060"/>
      <c r="CC30" s="1060"/>
      <c r="CD30" s="1060"/>
      <c r="CE30" s="1060"/>
      <c r="CF30" s="1060"/>
      <c r="CG30" s="1060"/>
      <c r="CH30" s="1060"/>
      <c r="CI30" s="1060"/>
      <c r="CJ30" s="1060"/>
      <c r="CK30" s="1060"/>
      <c r="CL30" s="1060"/>
      <c r="CM30" s="1060"/>
      <c r="CN30" s="1060"/>
      <c r="CO30" s="1060"/>
      <c r="CP30" s="1060"/>
      <c r="CQ30" s="1060"/>
      <c r="CR30" s="1060"/>
      <c r="CS30" s="1060"/>
      <c r="CT30" s="1060"/>
      <c r="CU30" s="1060"/>
      <c r="CV30" s="1060"/>
      <c r="CW30" s="1060"/>
      <c r="CX30" s="1060"/>
      <c r="CY30" s="1060"/>
      <c r="CZ30" s="1060"/>
      <c r="DA30" s="1060"/>
      <c r="DB30" s="1060"/>
      <c r="DC30" s="1060"/>
      <c r="DD30" s="1060"/>
      <c r="DE30" s="1060"/>
      <c r="DF30" s="1060"/>
      <c r="DG30" s="1060"/>
      <c r="DH30" s="1060"/>
      <c r="DI30" s="1060"/>
      <c r="DJ30" s="1060"/>
      <c r="DK30" s="1060"/>
      <c r="DL30" s="1060"/>
      <c r="DM30" s="1060"/>
      <c r="DN30" s="1060"/>
      <c r="DO30" s="1060"/>
      <c r="DP30" s="1060"/>
      <c r="DQ30" s="1060"/>
      <c r="DR30" s="1060"/>
      <c r="DS30" s="1060"/>
      <c r="DT30" s="1060"/>
      <c r="DU30" s="1060"/>
      <c r="DV30" s="1060"/>
      <c r="DW30" s="1060"/>
      <c r="DX30" s="1060"/>
      <c r="DY30" s="1060"/>
      <c r="DZ30" s="1060"/>
      <c r="EA30" s="1060"/>
      <c r="EB30" s="1060"/>
      <c r="EC30" s="1060"/>
      <c r="ED30" s="186"/>
      <c r="EE30" s="186"/>
      <c r="EF30" s="186"/>
    </row>
    <row r="31" ht="15.0" customHeight="1" outlineLevel="1">
      <c r="A31" s="60">
        <v>14.0</v>
      </c>
      <c r="B31" s="747" t="s">
        <v>108</v>
      </c>
      <c r="C31" s="747" t="s">
        <v>109</v>
      </c>
      <c r="D31" s="71" t="s">
        <v>85</v>
      </c>
      <c r="E31" s="138" t="s">
        <v>100</v>
      </c>
      <c r="F31" s="72">
        <v>1104.0</v>
      </c>
      <c r="G31" s="139" t="s">
        <v>101</v>
      </c>
      <c r="H31" s="139">
        <v>1127.0</v>
      </c>
      <c r="I31" s="126" t="str">
        <f>IFERROR(VLOOKUP(C28:C170,'R22 RELATÓRIO ACC'!B:F,5,FALSE),"NOT PUBLISHED")</f>
        <v>V13</v>
      </c>
      <c r="J31" s="126" t="str">
        <f>IFERROR(VLOOKUP(C28:C170,'R22 RELATÓRIO ACC'!B:P,15,FALSE),"NOT PUBLISHED")</f>
        <v>02/03/2026</v>
      </c>
      <c r="K31" s="746" t="str">
        <f>IFERROR(VLOOKUP(B28:B170,'RELATÓRIO ACC'!B:F,5,FALSE),"NOT PUBLISHED")</f>
        <v>V3</v>
      </c>
      <c r="L31" s="748" t="str">
        <f>IFERROR(VLOOKUP(B28:B170,'RELATÓRIO ACC'!B:P,15,FALSE),"NOT PUBLISHED")</f>
        <v>24/06/2026</v>
      </c>
      <c r="M31" s="141" t="s">
        <v>489</v>
      </c>
      <c r="N31" s="756" t="s">
        <v>488</v>
      </c>
      <c r="O31" s="1042" t="s">
        <v>482</v>
      </c>
      <c r="P31" s="1043" t="s">
        <v>102</v>
      </c>
      <c r="Q31" s="746" t="s">
        <v>477</v>
      </c>
      <c r="R31" s="766" t="s">
        <v>476</v>
      </c>
      <c r="S31" s="773">
        <v>0.78</v>
      </c>
      <c r="T31" s="746" t="s">
        <v>484</v>
      </c>
      <c r="U31" s="766" t="s">
        <v>476</v>
      </c>
      <c r="V31" s="773">
        <v>1.0</v>
      </c>
      <c r="W31" s="746" t="s">
        <v>484</v>
      </c>
      <c r="X31" s="792" t="s">
        <v>476</v>
      </c>
      <c r="Y31" s="773">
        <v>1.0</v>
      </c>
      <c r="Z31" s="746" t="s">
        <v>484</v>
      </c>
      <c r="AA31" s="792" t="s">
        <v>476</v>
      </c>
      <c r="AB31" s="768">
        <v>1.0</v>
      </c>
      <c r="AC31" s="746" t="s">
        <v>484</v>
      </c>
      <c r="AD31" s="792" t="s">
        <v>476</v>
      </c>
      <c r="AE31" s="1068">
        <v>1.0</v>
      </c>
      <c r="AF31" s="746" t="s">
        <v>485</v>
      </c>
      <c r="AG31" s="792" t="s">
        <v>476</v>
      </c>
      <c r="AH31" s="1068">
        <v>1.0</v>
      </c>
      <c r="AI31" s="746" t="s">
        <v>485</v>
      </c>
      <c r="AJ31" s="792" t="s">
        <v>476</v>
      </c>
      <c r="AK31" s="1068">
        <v>1.0</v>
      </c>
      <c r="AL31" s="746" t="s">
        <v>485</v>
      </c>
      <c r="AM31" s="792" t="s">
        <v>476</v>
      </c>
      <c r="AN31" s="1068">
        <v>1.0</v>
      </c>
      <c r="AO31" s="746" t="s">
        <v>485</v>
      </c>
      <c r="AP31" s="792" t="s">
        <v>476</v>
      </c>
      <c r="AQ31" s="1068">
        <v>1.0</v>
      </c>
      <c r="AR31" s="746" t="s">
        <v>485</v>
      </c>
      <c r="AS31" s="792" t="s">
        <v>476</v>
      </c>
      <c r="AT31" s="1068">
        <v>1.0</v>
      </c>
      <c r="AU31" s="746" t="s">
        <v>485</v>
      </c>
      <c r="AV31" s="792" t="s">
        <v>476</v>
      </c>
      <c r="AW31" s="1068">
        <v>1.0</v>
      </c>
      <c r="AX31" s="746" t="s">
        <v>485</v>
      </c>
      <c r="AY31" s="792" t="s">
        <v>476</v>
      </c>
      <c r="AZ31" s="1068">
        <v>1.0</v>
      </c>
      <c r="BA31" s="1069" t="s">
        <v>485</v>
      </c>
      <c r="BB31" s="1072" t="s">
        <v>476</v>
      </c>
      <c r="BC31" s="1073">
        <v>1.0</v>
      </c>
      <c r="BD31" s="1069" t="s">
        <v>485</v>
      </c>
      <c r="BE31" s="1072" t="s">
        <v>476</v>
      </c>
      <c r="BF31" s="1070">
        <v>1.0</v>
      </c>
      <c r="BG31" s="1069" t="s">
        <v>485</v>
      </c>
      <c r="BH31" s="1072" t="s">
        <v>476</v>
      </c>
      <c r="BI31" s="1070">
        <v>1.0</v>
      </c>
      <c r="BJ31" s="1069" t="s">
        <v>485</v>
      </c>
      <c r="BK31" s="1072" t="s">
        <v>476</v>
      </c>
      <c r="BL31" s="1070">
        <v>1.0</v>
      </c>
      <c r="BM31" s="1069" t="s">
        <v>485</v>
      </c>
      <c r="BN31" s="1072" t="s">
        <v>476</v>
      </c>
      <c r="BO31" s="1070">
        <v>1.0</v>
      </c>
      <c r="BP31" s="1069" t="s">
        <v>485</v>
      </c>
      <c r="BQ31" s="1072" t="s">
        <v>476</v>
      </c>
      <c r="BR31" s="1070">
        <v>1.0</v>
      </c>
      <c r="BS31" s="1069" t="s">
        <v>485</v>
      </c>
      <c r="BT31" s="1072" t="s">
        <v>476</v>
      </c>
      <c r="BU31" s="1070">
        <v>1.0</v>
      </c>
      <c r="BV31" s="1069" t="s">
        <v>485</v>
      </c>
      <c r="BW31" s="1072" t="s">
        <v>476</v>
      </c>
      <c r="BX31" s="1070">
        <v>1.0</v>
      </c>
      <c r="BY31" s="1069" t="s">
        <v>485</v>
      </c>
      <c r="BZ31" s="1072" t="s">
        <v>476</v>
      </c>
      <c r="CA31" s="1070">
        <v>1.0</v>
      </c>
      <c r="CB31" s="1069" t="s">
        <v>485</v>
      </c>
      <c r="CC31" s="1072" t="s">
        <v>476</v>
      </c>
      <c r="CD31" s="1070">
        <v>1.0</v>
      </c>
      <c r="CE31" s="1069" t="s">
        <v>485</v>
      </c>
      <c r="CF31" s="1072" t="s">
        <v>476</v>
      </c>
      <c r="CG31" s="1070">
        <v>1.0</v>
      </c>
      <c r="CH31" s="1069" t="s">
        <v>485</v>
      </c>
      <c r="CI31" s="1072" t="s">
        <v>476</v>
      </c>
      <c r="CJ31" s="1070">
        <v>1.0</v>
      </c>
      <c r="CK31" s="1069" t="s">
        <v>485</v>
      </c>
      <c r="CL31" s="1072" t="s">
        <v>476</v>
      </c>
      <c r="CM31" s="1070">
        <v>1.0</v>
      </c>
      <c r="CN31" s="1069" t="s">
        <v>485</v>
      </c>
      <c r="CO31" s="1072" t="s">
        <v>476</v>
      </c>
      <c r="CP31" s="1070">
        <v>1.0</v>
      </c>
      <c r="CQ31" s="1069" t="s">
        <v>485</v>
      </c>
      <c r="CR31" s="1072" t="s">
        <v>476</v>
      </c>
      <c r="CS31" s="1070">
        <v>1.0</v>
      </c>
      <c r="CT31" s="1069" t="s">
        <v>485</v>
      </c>
      <c r="CU31" s="1072" t="s">
        <v>476</v>
      </c>
      <c r="CV31" s="1070">
        <v>1.0</v>
      </c>
      <c r="CW31" s="1069" t="s">
        <v>485</v>
      </c>
      <c r="CX31" s="1072" t="s">
        <v>476</v>
      </c>
      <c r="CY31" s="1070">
        <v>1.0</v>
      </c>
      <c r="CZ31" s="1069" t="s">
        <v>485</v>
      </c>
      <c r="DA31" s="1072" t="s">
        <v>476</v>
      </c>
      <c r="DB31" s="1070">
        <v>1.0</v>
      </c>
      <c r="DC31" s="1069" t="s">
        <v>485</v>
      </c>
      <c r="DD31" s="1072" t="s">
        <v>476</v>
      </c>
      <c r="DE31" s="1070">
        <v>1.0</v>
      </c>
      <c r="DF31" s="1069" t="s">
        <v>485</v>
      </c>
      <c r="DG31" s="1072" t="s">
        <v>476</v>
      </c>
      <c r="DH31" s="1070">
        <v>1.0</v>
      </c>
      <c r="DI31" s="1069" t="s">
        <v>485</v>
      </c>
      <c r="DJ31" s="1072" t="s">
        <v>476</v>
      </c>
      <c r="DK31" s="1070">
        <v>1.0</v>
      </c>
      <c r="DL31" s="1069" t="s">
        <v>485</v>
      </c>
      <c r="DM31" s="1072" t="s">
        <v>476</v>
      </c>
      <c r="DN31" s="1070">
        <v>1.0</v>
      </c>
      <c r="DO31" s="1069" t="s">
        <v>485</v>
      </c>
      <c r="DP31" s="1072" t="s">
        <v>476</v>
      </c>
      <c r="DQ31" s="1070">
        <v>1.0</v>
      </c>
      <c r="DR31" s="1069" t="s">
        <v>485</v>
      </c>
      <c r="DS31" s="1072" t="s">
        <v>476</v>
      </c>
      <c r="DT31" s="1070">
        <v>1.0</v>
      </c>
      <c r="DU31" s="1069" t="s">
        <v>485</v>
      </c>
      <c r="DV31" s="1072" t="s">
        <v>476</v>
      </c>
      <c r="DW31" s="1070">
        <v>1.0</v>
      </c>
      <c r="DX31" s="1069" t="s">
        <v>485</v>
      </c>
      <c r="DY31" s="1072" t="s">
        <v>476</v>
      </c>
      <c r="DZ31" s="1070">
        <v>1.0</v>
      </c>
      <c r="EA31" s="1069" t="s">
        <v>485</v>
      </c>
      <c r="EB31" s="1072" t="s">
        <v>476</v>
      </c>
      <c r="EC31" s="1070">
        <v>1.0</v>
      </c>
      <c r="ED31" s="111"/>
      <c r="EE31" s="111"/>
      <c r="EF31" s="111"/>
    </row>
    <row r="32" ht="15.0" hidden="1" customHeight="1">
      <c r="A32" s="60">
        <v>47.0</v>
      </c>
      <c r="B32" s="816" t="s">
        <v>195</v>
      </c>
      <c r="C32" s="159"/>
      <c r="D32" s="216"/>
      <c r="E32" s="216"/>
      <c r="F32" s="216"/>
      <c r="G32" s="216"/>
      <c r="H32" s="217"/>
      <c r="I32" s="216"/>
      <c r="J32" s="216"/>
      <c r="K32" s="1074"/>
      <c r="L32" s="1075"/>
      <c r="M32" s="216"/>
      <c r="N32" s="216"/>
      <c r="O32" s="73"/>
      <c r="P32" s="1075"/>
      <c r="Q32" s="1076"/>
      <c r="R32" s="821"/>
      <c r="S32" s="822"/>
      <c r="T32" s="820"/>
      <c r="U32" s="821"/>
      <c r="V32" s="822"/>
      <c r="W32" s="820"/>
      <c r="X32" s="821"/>
      <c r="Y32" s="822"/>
      <c r="Z32" s="823"/>
      <c r="AA32" s="824"/>
      <c r="AB32" s="825"/>
      <c r="AC32" s="829"/>
      <c r="AD32" s="829"/>
      <c r="AE32" s="1077"/>
      <c r="AF32" s="829"/>
      <c r="AG32" s="829"/>
      <c r="AH32" s="1077"/>
      <c r="AI32" s="829"/>
      <c r="AJ32" s="829"/>
      <c r="AK32" s="1077"/>
      <c r="AL32" s="829"/>
      <c r="AM32" s="829"/>
      <c r="AN32" s="1077"/>
      <c r="AO32" s="829"/>
      <c r="AP32" s="829"/>
      <c r="AQ32" s="1077"/>
      <c r="AR32" s="829"/>
      <c r="AS32" s="829"/>
      <c r="AT32" s="829"/>
      <c r="AU32" s="829"/>
      <c r="AV32" s="829"/>
      <c r="AW32" s="829"/>
      <c r="AX32" s="829"/>
      <c r="AY32" s="829"/>
      <c r="AZ32" s="829"/>
      <c r="BA32" s="1055"/>
      <c r="BB32" s="1055"/>
      <c r="BC32" s="1055"/>
      <c r="BD32" s="1055"/>
      <c r="BE32" s="1055"/>
      <c r="BF32" s="1055"/>
      <c r="BG32" s="1055"/>
      <c r="BH32" s="1055"/>
      <c r="BI32" s="1055"/>
      <c r="BJ32" s="1055"/>
      <c r="BK32" s="1055"/>
      <c r="BL32" s="1055"/>
      <c r="BM32" s="1055"/>
      <c r="BN32" s="1055"/>
      <c r="BO32" s="1055"/>
      <c r="BP32" s="1055"/>
      <c r="BQ32" s="1055"/>
      <c r="BR32" s="1055"/>
      <c r="BS32" s="1055"/>
      <c r="BT32" s="1055"/>
      <c r="BU32" s="1055"/>
      <c r="BV32" s="1055"/>
      <c r="BW32" s="1055"/>
      <c r="BX32" s="1055"/>
      <c r="BY32" s="1055"/>
      <c r="BZ32" s="1055"/>
      <c r="CA32" s="1055"/>
      <c r="CB32" s="1055"/>
      <c r="CC32" s="1055"/>
      <c r="CD32" s="1055"/>
      <c r="CE32" s="1055"/>
      <c r="CF32" s="1055"/>
      <c r="CG32" s="1055"/>
      <c r="CH32" s="1055"/>
      <c r="CI32" s="1055"/>
      <c r="CJ32" s="1055"/>
      <c r="CK32" s="1055"/>
      <c r="CL32" s="1055"/>
      <c r="CM32" s="1055"/>
      <c r="CN32" s="1055"/>
      <c r="CO32" s="1055"/>
      <c r="CP32" s="1055"/>
      <c r="CQ32" s="1055"/>
      <c r="CR32" s="1055"/>
      <c r="CS32" s="1055"/>
      <c r="CT32" s="1055"/>
      <c r="CU32" s="1055"/>
      <c r="CV32" s="1055"/>
      <c r="CW32" s="1055"/>
      <c r="CX32" s="1055"/>
      <c r="CY32" s="1055"/>
      <c r="CZ32" s="1055"/>
      <c r="DA32" s="1055"/>
      <c r="DB32" s="1055"/>
      <c r="DC32" s="1055"/>
      <c r="DD32" s="1055"/>
      <c r="DE32" s="1055"/>
      <c r="DF32" s="1055"/>
      <c r="DG32" s="1055"/>
      <c r="DH32" s="1055"/>
      <c r="DI32" s="1055"/>
      <c r="DJ32" s="1055"/>
      <c r="DK32" s="1055"/>
      <c r="DL32" s="1055"/>
      <c r="DM32" s="1055"/>
      <c r="DN32" s="1055"/>
      <c r="DO32" s="1055"/>
      <c r="DP32" s="1055"/>
      <c r="DQ32" s="1055"/>
      <c r="DR32" s="1055"/>
      <c r="DS32" s="1055"/>
      <c r="DT32" s="1055"/>
      <c r="DU32" s="1055"/>
      <c r="DV32" s="1055"/>
      <c r="DW32" s="1055"/>
      <c r="DX32" s="1055"/>
      <c r="DY32" s="1055"/>
      <c r="DZ32" s="1055"/>
      <c r="EA32" s="1055"/>
      <c r="EB32" s="1055"/>
      <c r="EC32" s="1055"/>
      <c r="ED32" s="215"/>
      <c r="EE32" s="215"/>
      <c r="EF32" s="215"/>
    </row>
    <row r="33" ht="15.0" customHeight="1" outlineLevel="1">
      <c r="A33" s="60">
        <v>22.0</v>
      </c>
      <c r="B33" s="747" t="s">
        <v>130</v>
      </c>
      <c r="C33" s="747" t="s">
        <v>131</v>
      </c>
      <c r="D33" s="71" t="s">
        <v>85</v>
      </c>
      <c r="E33" s="146" t="s">
        <v>132</v>
      </c>
      <c r="F33" s="72">
        <v>1110.0</v>
      </c>
      <c r="G33" s="139" t="s">
        <v>133</v>
      </c>
      <c r="H33" s="139">
        <v>1128.0</v>
      </c>
      <c r="I33" s="126" t="str">
        <f>IFERROR(VLOOKUP(C30:C172,'R22 RELATÓRIO ACC'!B:F,5,FALSE),"NOT PUBLISHED")</f>
        <v>V25</v>
      </c>
      <c r="J33" s="126" t="str">
        <f>IFERROR(VLOOKUP(C30:C172,'R22 RELATÓRIO ACC'!B:P,15,FALSE),"NOT PUBLISHED")</f>
        <v>06/05/2026</v>
      </c>
      <c r="K33" s="746" t="str">
        <f>IFERROR(VLOOKUP(B30:B172,'RELATÓRIO ACC'!B:F,5,FALSE),"NOT PUBLISHED")</f>
        <v>V3</v>
      </c>
      <c r="L33" s="748" t="str">
        <f>IFERROR(VLOOKUP(B30:B172,'RELATÓRIO ACC'!B:P,15,FALSE),"NOT PUBLISHED")</f>
        <v>07/07/2026</v>
      </c>
      <c r="M33" s="141" t="s">
        <v>490</v>
      </c>
      <c r="N33" s="782">
        <v>45854.0</v>
      </c>
      <c r="O33" s="1042" t="s">
        <v>482</v>
      </c>
      <c r="P33" s="1043" t="s">
        <v>102</v>
      </c>
      <c r="Q33" s="746" t="s">
        <v>477</v>
      </c>
      <c r="R33" s="766" t="s">
        <v>476</v>
      </c>
      <c r="S33" s="773">
        <v>0.62</v>
      </c>
      <c r="T33" s="746" t="s">
        <v>477</v>
      </c>
      <c r="U33" s="766" t="s">
        <v>476</v>
      </c>
      <c r="V33" s="773">
        <v>0.91</v>
      </c>
      <c r="W33" s="746" t="s">
        <v>484</v>
      </c>
      <c r="X33" s="792" t="s">
        <v>476</v>
      </c>
      <c r="Y33" s="773">
        <v>1.0</v>
      </c>
      <c r="Z33" s="746" t="s">
        <v>484</v>
      </c>
      <c r="AA33" s="792" t="s">
        <v>476</v>
      </c>
      <c r="AB33" s="762">
        <v>1.0</v>
      </c>
      <c r="AC33" s="746" t="s">
        <v>484</v>
      </c>
      <c r="AD33" s="792" t="s">
        <v>476</v>
      </c>
      <c r="AE33" s="1057">
        <v>1.0</v>
      </c>
      <c r="AF33" s="746" t="s">
        <v>485</v>
      </c>
      <c r="AG33" s="792" t="s">
        <v>476</v>
      </c>
      <c r="AH33" s="1057">
        <v>1.0</v>
      </c>
      <c r="AI33" s="746" t="s">
        <v>485</v>
      </c>
      <c r="AJ33" s="792" t="s">
        <v>476</v>
      </c>
      <c r="AK33" s="1057">
        <v>1.0</v>
      </c>
      <c r="AL33" s="746" t="s">
        <v>485</v>
      </c>
      <c r="AM33" s="792" t="s">
        <v>476</v>
      </c>
      <c r="AN33" s="1057">
        <v>1.0</v>
      </c>
      <c r="AO33" s="746" t="s">
        <v>485</v>
      </c>
      <c r="AP33" s="792" t="s">
        <v>476</v>
      </c>
      <c r="AQ33" s="1057">
        <v>1.0</v>
      </c>
      <c r="AR33" s="746" t="s">
        <v>485</v>
      </c>
      <c r="AS33" s="792" t="s">
        <v>476</v>
      </c>
      <c r="AT33" s="1057">
        <v>1.0</v>
      </c>
      <c r="AU33" s="746" t="s">
        <v>485</v>
      </c>
      <c r="AV33" s="792" t="s">
        <v>476</v>
      </c>
      <c r="AW33" s="1057">
        <v>1.0</v>
      </c>
      <c r="AX33" s="746" t="s">
        <v>485</v>
      </c>
      <c r="AY33" s="792" t="s">
        <v>476</v>
      </c>
      <c r="AZ33" s="1057">
        <v>1.0</v>
      </c>
      <c r="BA33" s="1069" t="s">
        <v>485</v>
      </c>
      <c r="BB33" s="1072" t="s">
        <v>476</v>
      </c>
      <c r="BC33" s="1078">
        <v>1.0</v>
      </c>
      <c r="BD33" s="1069" t="s">
        <v>485</v>
      </c>
      <c r="BE33" s="1072" t="s">
        <v>476</v>
      </c>
      <c r="BF33" s="1078">
        <v>1.0</v>
      </c>
      <c r="BG33" s="1069" t="s">
        <v>485</v>
      </c>
      <c r="BH33" s="1072" t="s">
        <v>476</v>
      </c>
      <c r="BI33" s="1078">
        <v>1.0</v>
      </c>
      <c r="BJ33" s="1069" t="s">
        <v>485</v>
      </c>
      <c r="BK33" s="1072" t="s">
        <v>476</v>
      </c>
      <c r="BL33" s="1078">
        <v>1.0</v>
      </c>
      <c r="BM33" s="1069" t="s">
        <v>485</v>
      </c>
      <c r="BN33" s="1072" t="s">
        <v>476</v>
      </c>
      <c r="BO33" s="1078">
        <v>1.0</v>
      </c>
      <c r="BP33" s="1069" t="s">
        <v>485</v>
      </c>
      <c r="BQ33" s="1072" t="s">
        <v>476</v>
      </c>
      <c r="BR33" s="1078">
        <v>1.0</v>
      </c>
      <c r="BS33" s="1069" t="s">
        <v>485</v>
      </c>
      <c r="BT33" s="1072" t="s">
        <v>476</v>
      </c>
      <c r="BU33" s="1078">
        <v>1.0</v>
      </c>
      <c r="BV33" s="1069" t="s">
        <v>485</v>
      </c>
      <c r="BW33" s="1072" t="s">
        <v>476</v>
      </c>
      <c r="BX33" s="1078">
        <v>1.0</v>
      </c>
      <c r="BY33" s="1069" t="s">
        <v>485</v>
      </c>
      <c r="BZ33" s="1072" t="s">
        <v>476</v>
      </c>
      <c r="CA33" s="1078">
        <v>1.0</v>
      </c>
      <c r="CB33" s="1069" t="s">
        <v>485</v>
      </c>
      <c r="CC33" s="1072" t="s">
        <v>476</v>
      </c>
      <c r="CD33" s="1078">
        <v>1.0</v>
      </c>
      <c r="CE33" s="1069" t="s">
        <v>485</v>
      </c>
      <c r="CF33" s="1072" t="s">
        <v>476</v>
      </c>
      <c r="CG33" s="1078">
        <v>1.0</v>
      </c>
      <c r="CH33" s="1069" t="s">
        <v>485</v>
      </c>
      <c r="CI33" s="1072" t="s">
        <v>476</v>
      </c>
      <c r="CJ33" s="1078">
        <v>1.0</v>
      </c>
      <c r="CK33" s="1069" t="s">
        <v>485</v>
      </c>
      <c r="CL33" s="1072" t="s">
        <v>476</v>
      </c>
      <c r="CM33" s="1079">
        <v>1.0</v>
      </c>
      <c r="CN33" s="1069" t="s">
        <v>485</v>
      </c>
      <c r="CO33" s="1072" t="s">
        <v>476</v>
      </c>
      <c r="CP33" s="1079">
        <v>1.0</v>
      </c>
      <c r="CQ33" s="1069" t="s">
        <v>485</v>
      </c>
      <c r="CR33" s="1072" t="s">
        <v>476</v>
      </c>
      <c r="CS33" s="1079">
        <v>1.0</v>
      </c>
      <c r="CT33" s="1069" t="s">
        <v>485</v>
      </c>
      <c r="CU33" s="1072" t="s">
        <v>476</v>
      </c>
      <c r="CV33" s="1079">
        <v>1.0</v>
      </c>
      <c r="CW33" s="1069" t="s">
        <v>485</v>
      </c>
      <c r="CX33" s="1072" t="s">
        <v>476</v>
      </c>
      <c r="CY33" s="1079">
        <v>1.0</v>
      </c>
      <c r="CZ33" s="1069" t="s">
        <v>485</v>
      </c>
      <c r="DA33" s="1072" t="s">
        <v>476</v>
      </c>
      <c r="DB33" s="1079">
        <v>1.0</v>
      </c>
      <c r="DC33" s="1069" t="s">
        <v>485</v>
      </c>
      <c r="DD33" s="1072" t="s">
        <v>476</v>
      </c>
      <c r="DE33" s="1079">
        <v>1.0</v>
      </c>
      <c r="DF33" s="1069" t="s">
        <v>485</v>
      </c>
      <c r="DG33" s="1072" t="s">
        <v>476</v>
      </c>
      <c r="DH33" s="1079">
        <v>1.0</v>
      </c>
      <c r="DI33" s="1069" t="s">
        <v>485</v>
      </c>
      <c r="DJ33" s="1072" t="s">
        <v>476</v>
      </c>
      <c r="DK33" s="1079">
        <v>1.0</v>
      </c>
      <c r="DL33" s="1069" t="s">
        <v>485</v>
      </c>
      <c r="DM33" s="1072" t="s">
        <v>476</v>
      </c>
      <c r="DN33" s="1079">
        <v>1.0</v>
      </c>
      <c r="DO33" s="1069" t="s">
        <v>485</v>
      </c>
      <c r="DP33" s="1072" t="s">
        <v>476</v>
      </c>
      <c r="DQ33" s="1079">
        <v>1.0</v>
      </c>
      <c r="DR33" s="1069" t="s">
        <v>485</v>
      </c>
      <c r="DS33" s="1072" t="s">
        <v>476</v>
      </c>
      <c r="DT33" s="1079">
        <v>1.0</v>
      </c>
      <c r="DU33" s="1069" t="s">
        <v>485</v>
      </c>
      <c r="DV33" s="1072" t="s">
        <v>476</v>
      </c>
      <c r="DW33" s="1079">
        <v>1.0</v>
      </c>
      <c r="DX33" s="1069" t="s">
        <v>485</v>
      </c>
      <c r="DY33" s="1072" t="s">
        <v>476</v>
      </c>
      <c r="DZ33" s="1079">
        <v>1.0</v>
      </c>
      <c r="EA33" s="1069" t="s">
        <v>485</v>
      </c>
      <c r="EB33" s="1072" t="s">
        <v>476</v>
      </c>
      <c r="EC33" s="1079">
        <v>1.0</v>
      </c>
      <c r="ED33" s="111"/>
      <c r="EE33" s="111"/>
      <c r="EF33" s="111"/>
    </row>
    <row r="34" ht="15.0" hidden="1" customHeight="1">
      <c r="A34" s="60">
        <v>50.0</v>
      </c>
      <c r="B34" s="895" t="s">
        <v>201</v>
      </c>
      <c r="C34" s="188"/>
      <c r="D34" s="189"/>
      <c r="E34" s="189"/>
      <c r="F34" s="189"/>
      <c r="G34" s="189"/>
      <c r="H34" s="190"/>
      <c r="I34" s="189"/>
      <c r="J34" s="189"/>
      <c r="K34" s="260"/>
      <c r="L34" s="248"/>
      <c r="M34" s="189"/>
      <c r="N34" s="189"/>
      <c r="O34" s="73"/>
      <c r="P34" s="248"/>
      <c r="Q34" s="813"/>
      <c r="R34" s="191"/>
      <c r="S34" s="190"/>
      <c r="T34" s="813"/>
      <c r="U34" s="191"/>
      <c r="V34" s="190"/>
      <c r="W34" s="813"/>
      <c r="X34" s="191"/>
      <c r="Y34" s="190"/>
      <c r="Z34" s="1080"/>
      <c r="AA34" s="192"/>
      <c r="AB34" s="814"/>
      <c r="AC34" s="815"/>
      <c r="AD34" s="815"/>
      <c r="AE34" s="1081"/>
      <c r="AF34" s="815"/>
      <c r="AG34" s="815"/>
      <c r="AH34" s="1081"/>
      <c r="AI34" s="815"/>
      <c r="AJ34" s="815"/>
      <c r="AK34" s="1081"/>
      <c r="AL34" s="815"/>
      <c r="AM34" s="815"/>
      <c r="AN34" s="1081"/>
      <c r="AO34" s="815"/>
      <c r="AP34" s="815"/>
      <c r="AQ34" s="815"/>
      <c r="AR34" s="815"/>
      <c r="AS34" s="815"/>
      <c r="AT34" s="815"/>
      <c r="AU34" s="815"/>
      <c r="AV34" s="815"/>
      <c r="AW34" s="815"/>
      <c r="AX34" s="815"/>
      <c r="AY34" s="815"/>
      <c r="AZ34" s="815"/>
      <c r="BA34" s="1082"/>
      <c r="BB34" s="1082"/>
      <c r="BC34" s="1082"/>
      <c r="BD34" s="1082"/>
      <c r="BE34" s="1082"/>
      <c r="BF34" s="1082"/>
      <c r="BG34" s="1082"/>
      <c r="BH34" s="1082"/>
      <c r="BI34" s="1082"/>
      <c r="BJ34" s="1082"/>
      <c r="BK34" s="1082"/>
      <c r="BL34" s="1082"/>
      <c r="BM34" s="1082"/>
      <c r="BN34" s="1082"/>
      <c r="BO34" s="1082"/>
      <c r="BP34" s="1082"/>
      <c r="BQ34" s="1082"/>
      <c r="BR34" s="1082"/>
      <c r="BS34" s="1082"/>
      <c r="BT34" s="1082"/>
      <c r="BU34" s="1082"/>
      <c r="BV34" s="1082"/>
      <c r="BW34" s="1082"/>
      <c r="BX34" s="1082"/>
      <c r="BY34" s="1082"/>
      <c r="BZ34" s="1082"/>
      <c r="CA34" s="1082"/>
      <c r="CB34" s="1082"/>
      <c r="CC34" s="1082"/>
      <c r="CD34" s="1082"/>
      <c r="CE34" s="1082"/>
      <c r="CF34" s="1082"/>
      <c r="CG34" s="1082"/>
      <c r="CH34" s="1082"/>
      <c r="CI34" s="1082"/>
      <c r="CJ34" s="1082"/>
      <c r="CK34" s="1082"/>
      <c r="CL34" s="1082"/>
      <c r="CM34" s="1082"/>
      <c r="CN34" s="1082"/>
      <c r="CO34" s="1082"/>
      <c r="CP34" s="1082"/>
      <c r="CQ34" s="1082"/>
      <c r="CR34" s="1082"/>
      <c r="CS34" s="1082"/>
      <c r="CT34" s="1082"/>
      <c r="CU34" s="1082"/>
      <c r="CV34" s="1082"/>
      <c r="CW34" s="1082"/>
      <c r="CX34" s="1082"/>
      <c r="CY34" s="1082"/>
      <c r="CZ34" s="1082"/>
      <c r="DA34" s="1082"/>
      <c r="DB34" s="1082"/>
      <c r="DC34" s="1082"/>
      <c r="DD34" s="1082"/>
      <c r="DE34" s="1082"/>
      <c r="DF34" s="1082"/>
      <c r="DG34" s="1082"/>
      <c r="DH34" s="1082"/>
      <c r="DI34" s="1082"/>
      <c r="DJ34" s="1082"/>
      <c r="DK34" s="1082"/>
      <c r="DL34" s="1082"/>
      <c r="DM34" s="1082"/>
      <c r="DN34" s="1082"/>
      <c r="DO34" s="1082"/>
      <c r="DP34" s="1082"/>
      <c r="DQ34" s="1082"/>
      <c r="DR34" s="1082"/>
      <c r="DS34" s="1082"/>
      <c r="DT34" s="1082"/>
      <c r="DU34" s="1082"/>
      <c r="DV34" s="1082"/>
      <c r="DW34" s="1082"/>
      <c r="DX34" s="1082"/>
      <c r="DY34" s="1082"/>
      <c r="DZ34" s="1082"/>
      <c r="EA34" s="1082"/>
      <c r="EB34" s="1082"/>
      <c r="EC34" s="1082"/>
      <c r="ED34" s="215"/>
      <c r="EE34" s="215"/>
      <c r="EF34" s="215"/>
    </row>
    <row r="35" ht="15.0" customHeight="1" outlineLevel="1">
      <c r="A35" s="60">
        <v>23.0</v>
      </c>
      <c r="B35" s="747" t="s">
        <v>134</v>
      </c>
      <c r="C35" s="747" t="s">
        <v>135</v>
      </c>
      <c r="D35" s="71" t="s">
        <v>85</v>
      </c>
      <c r="E35" s="146" t="s">
        <v>132</v>
      </c>
      <c r="F35" s="72">
        <v>1110.0</v>
      </c>
      <c r="G35" s="139" t="s">
        <v>133</v>
      </c>
      <c r="H35" s="139">
        <v>1128.0</v>
      </c>
      <c r="I35" s="126" t="str">
        <f>IFERROR(VLOOKUP(C32:C174,'R22 RELATÓRIO ACC'!B:F,5,FALSE),"NOT PUBLISHED")</f>
        <v>V30</v>
      </c>
      <c r="J35" s="126" t="str">
        <f>IFERROR(VLOOKUP(C32:C174,'R22 RELATÓRIO ACC'!B:P,15,FALSE),"NOT PUBLISHED")</f>
        <v>26/03/2026</v>
      </c>
      <c r="K35" s="746" t="str">
        <f>IFERROR(VLOOKUP(B32:B174,'RELATÓRIO ACC'!B:F,5,FALSE),"NOT PUBLISHED")</f>
        <v>V2</v>
      </c>
      <c r="L35" s="748" t="str">
        <f>IFERROR(VLOOKUP(B32:B174,'RELATÓRIO ACC'!B:P,15,FALSE),"NOT PUBLISHED")</f>
        <v>20/05/2026</v>
      </c>
      <c r="M35" s="141" t="s">
        <v>481</v>
      </c>
      <c r="N35" s="756" t="s">
        <v>491</v>
      </c>
      <c r="O35" s="1042" t="s">
        <v>482</v>
      </c>
      <c r="P35" s="1083" t="s">
        <v>129</v>
      </c>
      <c r="Q35" s="746" t="s">
        <v>477</v>
      </c>
      <c r="R35" s="766" t="s">
        <v>476</v>
      </c>
      <c r="S35" s="773">
        <v>0.48</v>
      </c>
      <c r="T35" s="746" t="s">
        <v>477</v>
      </c>
      <c r="U35" s="766" t="s">
        <v>476</v>
      </c>
      <c r="V35" s="773">
        <v>0.9</v>
      </c>
      <c r="W35" s="746" t="s">
        <v>477</v>
      </c>
      <c r="X35" s="861" t="s">
        <v>476</v>
      </c>
      <c r="Y35" s="773">
        <v>0.97</v>
      </c>
      <c r="Z35" s="746" t="s">
        <v>484</v>
      </c>
      <c r="AA35" s="775" t="s">
        <v>476</v>
      </c>
      <c r="AB35" s="768">
        <v>1.0</v>
      </c>
      <c r="AC35" s="746" t="s">
        <v>484</v>
      </c>
      <c r="AD35" s="775" t="s">
        <v>476</v>
      </c>
      <c r="AE35" s="1068">
        <v>1.0</v>
      </c>
      <c r="AF35" s="746" t="s">
        <v>485</v>
      </c>
      <c r="AG35" s="775" t="s">
        <v>476</v>
      </c>
      <c r="AH35" s="1068">
        <v>1.0</v>
      </c>
      <c r="AI35" s="746" t="s">
        <v>485</v>
      </c>
      <c r="AJ35" s="775" t="s">
        <v>476</v>
      </c>
      <c r="AK35" s="1068">
        <v>1.0</v>
      </c>
      <c r="AL35" s="746" t="s">
        <v>485</v>
      </c>
      <c r="AM35" s="775" t="s">
        <v>476</v>
      </c>
      <c r="AN35" s="1068">
        <v>1.0</v>
      </c>
      <c r="AO35" s="68" t="s">
        <v>485</v>
      </c>
      <c r="AP35" s="779" t="s">
        <v>476</v>
      </c>
      <c r="AQ35" s="135">
        <v>1.0</v>
      </c>
      <c r="AR35" s="68" t="s">
        <v>485</v>
      </c>
      <c r="AS35" s="779" t="s">
        <v>476</v>
      </c>
      <c r="AT35" s="135">
        <v>1.0</v>
      </c>
      <c r="AU35" s="68" t="s">
        <v>485</v>
      </c>
      <c r="AV35" s="779" t="s">
        <v>476</v>
      </c>
      <c r="AW35" s="135">
        <v>1.0</v>
      </c>
      <c r="AX35" s="68" t="s">
        <v>485</v>
      </c>
      <c r="AY35" s="779" t="s">
        <v>476</v>
      </c>
      <c r="AZ35" s="135">
        <v>1.0</v>
      </c>
      <c r="BA35" s="1064" t="s">
        <v>485</v>
      </c>
      <c r="BB35" s="1084" t="s">
        <v>476</v>
      </c>
      <c r="BC35" s="1064">
        <v>1.0</v>
      </c>
      <c r="BD35" s="1064" t="s">
        <v>485</v>
      </c>
      <c r="BE35" s="1084" t="s">
        <v>476</v>
      </c>
      <c r="BF35" s="1066">
        <v>1.0</v>
      </c>
      <c r="BG35" s="1064" t="s">
        <v>485</v>
      </c>
      <c r="BH35" s="1084" t="s">
        <v>476</v>
      </c>
      <c r="BI35" s="1066">
        <v>1.0</v>
      </c>
      <c r="BJ35" s="1064" t="s">
        <v>485</v>
      </c>
      <c r="BK35" s="1084" t="s">
        <v>476</v>
      </c>
      <c r="BL35" s="1066">
        <v>1.0</v>
      </c>
      <c r="BM35" s="1064" t="s">
        <v>485</v>
      </c>
      <c r="BN35" s="1084" t="s">
        <v>476</v>
      </c>
      <c r="BO35" s="1066">
        <v>1.0</v>
      </c>
      <c r="BP35" s="1064" t="s">
        <v>485</v>
      </c>
      <c r="BQ35" s="1084" t="s">
        <v>476</v>
      </c>
      <c r="BR35" s="1066">
        <v>1.0</v>
      </c>
      <c r="BS35" s="1064" t="s">
        <v>485</v>
      </c>
      <c r="BT35" s="1084" t="s">
        <v>476</v>
      </c>
      <c r="BU35" s="1066">
        <v>1.0</v>
      </c>
      <c r="BV35" s="1064" t="s">
        <v>485</v>
      </c>
      <c r="BW35" s="1084" t="s">
        <v>476</v>
      </c>
      <c r="BX35" s="1066">
        <v>1.0</v>
      </c>
      <c r="BY35" s="1064" t="s">
        <v>485</v>
      </c>
      <c r="BZ35" s="1084" t="s">
        <v>476</v>
      </c>
      <c r="CA35" s="1066">
        <v>1.0</v>
      </c>
      <c r="CB35" s="1064" t="s">
        <v>485</v>
      </c>
      <c r="CC35" s="1084" t="s">
        <v>476</v>
      </c>
      <c r="CD35" s="1066">
        <v>1.0</v>
      </c>
      <c r="CE35" s="1064" t="s">
        <v>485</v>
      </c>
      <c r="CF35" s="1084" t="s">
        <v>476</v>
      </c>
      <c r="CG35" s="1066">
        <v>1.0</v>
      </c>
      <c r="CH35" s="1064" t="s">
        <v>485</v>
      </c>
      <c r="CI35" s="1084" t="s">
        <v>476</v>
      </c>
      <c r="CJ35" s="1066">
        <v>1.0</v>
      </c>
      <c r="CK35" s="1064" t="s">
        <v>485</v>
      </c>
      <c r="CL35" s="1084" t="s">
        <v>476</v>
      </c>
      <c r="CM35" s="1066">
        <v>1.0</v>
      </c>
      <c r="CN35" s="1064" t="s">
        <v>485</v>
      </c>
      <c r="CO35" s="1084" t="s">
        <v>476</v>
      </c>
      <c r="CP35" s="1066">
        <v>1.0</v>
      </c>
      <c r="CQ35" s="1064" t="s">
        <v>485</v>
      </c>
      <c r="CR35" s="1084" t="s">
        <v>476</v>
      </c>
      <c r="CS35" s="1066">
        <v>1.0</v>
      </c>
      <c r="CT35" s="1064" t="s">
        <v>485</v>
      </c>
      <c r="CU35" s="1084" t="s">
        <v>476</v>
      </c>
      <c r="CV35" s="1066">
        <v>1.0</v>
      </c>
      <c r="CW35" s="1064" t="s">
        <v>485</v>
      </c>
      <c r="CX35" s="1084" t="s">
        <v>476</v>
      </c>
      <c r="CY35" s="1066">
        <v>1.0</v>
      </c>
      <c r="CZ35" s="1064" t="s">
        <v>485</v>
      </c>
      <c r="DA35" s="1084" t="s">
        <v>476</v>
      </c>
      <c r="DB35" s="1066">
        <v>1.0</v>
      </c>
      <c r="DC35" s="1064" t="s">
        <v>485</v>
      </c>
      <c r="DD35" s="1084" t="s">
        <v>476</v>
      </c>
      <c r="DE35" s="1066">
        <v>1.0</v>
      </c>
      <c r="DF35" s="1064" t="s">
        <v>485</v>
      </c>
      <c r="DG35" s="1084" t="s">
        <v>476</v>
      </c>
      <c r="DH35" s="1066">
        <v>1.0</v>
      </c>
      <c r="DI35" s="1064" t="s">
        <v>485</v>
      </c>
      <c r="DJ35" s="1084" t="s">
        <v>476</v>
      </c>
      <c r="DK35" s="1066">
        <v>1.0</v>
      </c>
      <c r="DL35" s="1064" t="s">
        <v>485</v>
      </c>
      <c r="DM35" s="1084" t="s">
        <v>476</v>
      </c>
      <c r="DN35" s="1066">
        <v>1.0</v>
      </c>
      <c r="DO35" s="1064" t="s">
        <v>485</v>
      </c>
      <c r="DP35" s="1084" t="s">
        <v>476</v>
      </c>
      <c r="DQ35" s="1066">
        <v>1.0</v>
      </c>
      <c r="DR35" s="1064" t="s">
        <v>485</v>
      </c>
      <c r="DS35" s="1084" t="s">
        <v>476</v>
      </c>
      <c r="DT35" s="1066">
        <v>1.0</v>
      </c>
      <c r="DU35" s="1064" t="s">
        <v>485</v>
      </c>
      <c r="DV35" s="1084" t="s">
        <v>476</v>
      </c>
      <c r="DW35" s="1066">
        <v>1.0</v>
      </c>
      <c r="DX35" s="1064" t="s">
        <v>485</v>
      </c>
      <c r="DY35" s="1084" t="s">
        <v>476</v>
      </c>
      <c r="DZ35" s="1066">
        <v>1.0</v>
      </c>
      <c r="EA35" s="1064" t="s">
        <v>485</v>
      </c>
      <c r="EB35" s="1084" t="s">
        <v>476</v>
      </c>
      <c r="EC35" s="1066">
        <v>1.0</v>
      </c>
      <c r="ED35" s="111"/>
      <c r="EE35" s="111"/>
      <c r="EF35" s="111"/>
    </row>
    <row r="36" ht="15.0" hidden="1" customHeight="1">
      <c r="A36" s="60">
        <v>53.0</v>
      </c>
      <c r="B36" s="816" t="s">
        <v>206</v>
      </c>
      <c r="C36" s="159"/>
      <c r="D36" s="160"/>
      <c r="E36" s="160"/>
      <c r="F36" s="160"/>
      <c r="G36" s="160"/>
      <c r="H36" s="161"/>
      <c r="I36" s="160"/>
      <c r="J36" s="160"/>
      <c r="K36" s="990"/>
      <c r="L36" s="1051"/>
      <c r="M36" s="160"/>
      <c r="N36" s="160"/>
      <c r="O36" s="162"/>
      <c r="P36" s="1051"/>
      <c r="Q36" s="968"/>
      <c r="R36" s="966"/>
      <c r="S36" s="967"/>
      <c r="T36" s="962"/>
      <c r="U36" s="966"/>
      <c r="V36" s="967"/>
      <c r="W36" s="962"/>
      <c r="X36" s="966"/>
      <c r="Y36" s="967"/>
      <c r="Z36" s="1052"/>
      <c r="AA36" s="1053"/>
      <c r="AB36" s="1054"/>
      <c r="AC36" s="970"/>
      <c r="AD36" s="970"/>
      <c r="AE36" s="1085"/>
      <c r="AF36" s="970"/>
      <c r="AG36" s="970"/>
      <c r="AH36" s="1085"/>
      <c r="AI36" s="970"/>
      <c r="AJ36" s="970"/>
      <c r="AK36" s="1085"/>
      <c r="AL36" s="970"/>
      <c r="AM36" s="970"/>
      <c r="AN36" s="1085"/>
      <c r="AO36" s="970"/>
      <c r="AP36" s="970"/>
      <c r="AQ36" s="970"/>
      <c r="AR36" s="970"/>
      <c r="AS36" s="970"/>
      <c r="AT36" s="970"/>
      <c r="AU36" s="970"/>
      <c r="AV36" s="970"/>
      <c r="AW36" s="970"/>
      <c r="AX36" s="970"/>
      <c r="AY36" s="970"/>
      <c r="AZ36" s="970"/>
      <c r="BA36" s="1055"/>
      <c r="BB36" s="1055"/>
      <c r="BC36" s="1055"/>
      <c r="BD36" s="1055"/>
      <c r="BE36" s="1055"/>
      <c r="BF36" s="1055"/>
      <c r="BG36" s="1055"/>
      <c r="BH36" s="1055"/>
      <c r="BI36" s="1055"/>
      <c r="BJ36" s="1055"/>
      <c r="BK36" s="1055"/>
      <c r="BL36" s="1055"/>
      <c r="BM36" s="1055"/>
      <c r="BN36" s="1055"/>
      <c r="BO36" s="1055"/>
      <c r="BP36" s="1055"/>
      <c r="BQ36" s="1055"/>
      <c r="BR36" s="1055"/>
      <c r="BS36" s="1055"/>
      <c r="BT36" s="1055"/>
      <c r="BU36" s="1055"/>
      <c r="BV36" s="1055"/>
      <c r="BW36" s="1055"/>
      <c r="BX36" s="1055"/>
      <c r="BY36" s="1055"/>
      <c r="BZ36" s="1055"/>
      <c r="CA36" s="1055"/>
      <c r="CB36" s="1055"/>
      <c r="CC36" s="1055"/>
      <c r="CD36" s="1055"/>
      <c r="CE36" s="1055"/>
      <c r="CF36" s="1055"/>
      <c r="CG36" s="1055"/>
      <c r="CH36" s="1055"/>
      <c r="CI36" s="1055"/>
      <c r="CJ36" s="1055"/>
      <c r="CK36" s="1055"/>
      <c r="CL36" s="1055"/>
      <c r="CM36" s="1055"/>
      <c r="CN36" s="1055"/>
      <c r="CO36" s="1055"/>
      <c r="CP36" s="1055"/>
      <c r="CQ36" s="1055"/>
      <c r="CR36" s="1055"/>
      <c r="CS36" s="1055"/>
      <c r="CT36" s="1055"/>
      <c r="CU36" s="1055"/>
      <c r="CV36" s="1055"/>
      <c r="CW36" s="1055"/>
      <c r="CX36" s="1055"/>
      <c r="CY36" s="1055"/>
      <c r="CZ36" s="1055"/>
      <c r="DA36" s="1055"/>
      <c r="DB36" s="1055"/>
      <c r="DC36" s="1055"/>
      <c r="DD36" s="1055"/>
      <c r="DE36" s="1055"/>
      <c r="DF36" s="1055"/>
      <c r="DG36" s="1055"/>
      <c r="DH36" s="1055"/>
      <c r="DI36" s="1055"/>
      <c r="DJ36" s="1055"/>
      <c r="DK36" s="1055"/>
      <c r="DL36" s="1055"/>
      <c r="DM36" s="1055"/>
      <c r="DN36" s="1055"/>
      <c r="DO36" s="1055"/>
      <c r="DP36" s="1055"/>
      <c r="DQ36" s="1055"/>
      <c r="DR36" s="1055"/>
      <c r="DS36" s="1055"/>
      <c r="DT36" s="1055"/>
      <c r="DU36" s="1055"/>
      <c r="DV36" s="1055"/>
      <c r="DW36" s="1055"/>
      <c r="DX36" s="1055"/>
      <c r="DY36" s="1055"/>
      <c r="DZ36" s="1055"/>
      <c r="EA36" s="1055"/>
      <c r="EB36" s="1055"/>
      <c r="EC36" s="1055"/>
      <c r="ED36" s="215"/>
      <c r="EE36" s="215"/>
      <c r="EF36" s="215"/>
    </row>
    <row r="37" ht="16.5" customHeight="1" outlineLevel="1">
      <c r="A37" s="60">
        <v>26.0</v>
      </c>
      <c r="B37" s="747" t="s">
        <v>143</v>
      </c>
      <c r="C37" s="747" t="s">
        <v>144</v>
      </c>
      <c r="D37" s="71" t="s">
        <v>145</v>
      </c>
      <c r="E37" s="146" t="s">
        <v>138</v>
      </c>
      <c r="F37" s="125">
        <v>1101.0</v>
      </c>
      <c r="G37" s="139" t="s">
        <v>139</v>
      </c>
      <c r="H37" s="139">
        <v>1126.0</v>
      </c>
      <c r="I37" s="126" t="str">
        <f>IFERROR(VLOOKUP(C34:C176,'R22 RELATÓRIO ACC'!B:F,5,FALSE),"NOT PUBLISHED")</f>
        <v>V24</v>
      </c>
      <c r="J37" s="126" t="str">
        <f>IFERROR(VLOOKUP(C34:C176,'R22 RELATÓRIO ACC'!B:P,15,FALSE),"NOT PUBLISHED")</f>
        <v>07/04/2026</v>
      </c>
      <c r="K37" s="746" t="str">
        <f>IFERROR(VLOOKUP(B34:B176,'RELATÓRIO ACC'!B:F,5,FALSE),"NOT PUBLISHED")</f>
        <v>V2</v>
      </c>
      <c r="L37" s="748" t="str">
        <f>IFERROR(VLOOKUP(B34:B176,'RELATÓRIO ACC'!B:P,15,FALSE),"NOT PUBLISHED")</f>
        <v>27/05/2026</v>
      </c>
      <c r="M37" s="141" t="s">
        <v>492</v>
      </c>
      <c r="N37" s="756" t="s">
        <v>493</v>
      </c>
      <c r="O37" s="1042" t="s">
        <v>482</v>
      </c>
      <c r="P37" s="1043" t="s">
        <v>146</v>
      </c>
      <c r="Q37" s="746" t="s">
        <v>477</v>
      </c>
      <c r="R37" s="766" t="s">
        <v>476</v>
      </c>
      <c r="S37" s="773">
        <v>0.43</v>
      </c>
      <c r="T37" s="746" t="s">
        <v>477</v>
      </c>
      <c r="U37" s="766" t="s">
        <v>476</v>
      </c>
      <c r="V37" s="773">
        <v>0.67</v>
      </c>
      <c r="W37" s="746" t="s">
        <v>477</v>
      </c>
      <c r="X37" s="766" t="s">
        <v>476</v>
      </c>
      <c r="Y37" s="773">
        <v>0.8</v>
      </c>
      <c r="Z37" s="746" t="s">
        <v>477</v>
      </c>
      <c r="AA37" s="775" t="s">
        <v>476</v>
      </c>
      <c r="AB37" s="768">
        <v>0.84</v>
      </c>
      <c r="AC37" s="755" t="s">
        <v>478</v>
      </c>
      <c r="AD37" s="775" t="s">
        <v>476</v>
      </c>
      <c r="AE37" s="1086" t="s">
        <v>478</v>
      </c>
      <c r="AF37" s="755" t="s">
        <v>478</v>
      </c>
      <c r="AG37" s="775" t="s">
        <v>476</v>
      </c>
      <c r="AH37" s="1086" t="s">
        <v>478</v>
      </c>
      <c r="AI37" s="755" t="s">
        <v>477</v>
      </c>
      <c r="AJ37" s="775" t="s">
        <v>476</v>
      </c>
      <c r="AK37" s="1068">
        <v>0.91</v>
      </c>
      <c r="AL37" s="755" t="s">
        <v>478</v>
      </c>
      <c r="AM37" s="775" t="s">
        <v>476</v>
      </c>
      <c r="AN37" s="1086" t="s">
        <v>478</v>
      </c>
      <c r="AO37" s="755" t="s">
        <v>477</v>
      </c>
      <c r="AP37" s="775" t="s">
        <v>476</v>
      </c>
      <c r="AQ37" s="1068">
        <v>0.98</v>
      </c>
      <c r="AR37" s="755" t="s">
        <v>484</v>
      </c>
      <c r="AS37" s="775" t="s">
        <v>476</v>
      </c>
      <c r="AT37" s="1068">
        <v>1.0</v>
      </c>
      <c r="AU37" s="746" t="s">
        <v>485</v>
      </c>
      <c r="AV37" s="775" t="s">
        <v>476</v>
      </c>
      <c r="AW37" s="1068">
        <v>1.0</v>
      </c>
      <c r="AX37" s="746" t="s">
        <v>485</v>
      </c>
      <c r="AY37" s="775" t="s">
        <v>476</v>
      </c>
      <c r="AZ37" s="1068">
        <v>1.0</v>
      </c>
      <c r="BA37" s="1069" t="s">
        <v>485</v>
      </c>
      <c r="BB37" s="1087" t="s">
        <v>476</v>
      </c>
      <c r="BC37" s="1073">
        <v>1.0</v>
      </c>
      <c r="BD37" s="1069" t="s">
        <v>485</v>
      </c>
      <c r="BE37" s="1087" t="s">
        <v>476</v>
      </c>
      <c r="BF37" s="1070">
        <v>1.0</v>
      </c>
      <c r="BG37" s="1069" t="s">
        <v>485</v>
      </c>
      <c r="BH37" s="1087" t="s">
        <v>476</v>
      </c>
      <c r="BI37" s="1070">
        <v>1.0</v>
      </c>
      <c r="BJ37" s="1069" t="s">
        <v>485</v>
      </c>
      <c r="BK37" s="1087" t="s">
        <v>476</v>
      </c>
      <c r="BL37" s="1070">
        <v>1.0</v>
      </c>
      <c r="BM37" s="1069" t="s">
        <v>485</v>
      </c>
      <c r="BN37" s="1087" t="s">
        <v>476</v>
      </c>
      <c r="BO37" s="1070">
        <v>1.0</v>
      </c>
      <c r="BP37" s="1069" t="s">
        <v>485</v>
      </c>
      <c r="BQ37" s="1087" t="s">
        <v>476</v>
      </c>
      <c r="BR37" s="1070">
        <v>1.0</v>
      </c>
      <c r="BS37" s="1069" t="s">
        <v>485</v>
      </c>
      <c r="BT37" s="1087" t="s">
        <v>476</v>
      </c>
      <c r="BU37" s="1070">
        <v>1.0</v>
      </c>
      <c r="BV37" s="1069" t="s">
        <v>485</v>
      </c>
      <c r="BW37" s="1087" t="s">
        <v>476</v>
      </c>
      <c r="BX37" s="1070">
        <v>1.0</v>
      </c>
      <c r="BY37" s="1069" t="s">
        <v>485</v>
      </c>
      <c r="BZ37" s="1087" t="s">
        <v>476</v>
      </c>
      <c r="CA37" s="1070">
        <v>1.0</v>
      </c>
      <c r="CB37" s="1069" t="s">
        <v>485</v>
      </c>
      <c r="CC37" s="1087" t="s">
        <v>476</v>
      </c>
      <c r="CD37" s="1070">
        <v>1.0</v>
      </c>
      <c r="CE37" s="1069" t="s">
        <v>485</v>
      </c>
      <c r="CF37" s="1087" t="s">
        <v>476</v>
      </c>
      <c r="CG37" s="1070">
        <v>1.0</v>
      </c>
      <c r="CH37" s="1069" t="s">
        <v>485</v>
      </c>
      <c r="CI37" s="1087" t="s">
        <v>476</v>
      </c>
      <c r="CJ37" s="1070">
        <v>1.0</v>
      </c>
      <c r="CK37" s="1069" t="s">
        <v>485</v>
      </c>
      <c r="CL37" s="1087" t="s">
        <v>476</v>
      </c>
      <c r="CM37" s="1070">
        <v>1.0</v>
      </c>
      <c r="CN37" s="1069" t="s">
        <v>485</v>
      </c>
      <c r="CO37" s="1087" t="s">
        <v>476</v>
      </c>
      <c r="CP37" s="1070">
        <v>1.0</v>
      </c>
      <c r="CQ37" s="1069" t="s">
        <v>485</v>
      </c>
      <c r="CR37" s="1087" t="s">
        <v>476</v>
      </c>
      <c r="CS37" s="1070">
        <v>1.0</v>
      </c>
      <c r="CT37" s="1069" t="s">
        <v>485</v>
      </c>
      <c r="CU37" s="1087" t="s">
        <v>476</v>
      </c>
      <c r="CV37" s="1070">
        <v>1.0</v>
      </c>
      <c r="CW37" s="1069" t="s">
        <v>485</v>
      </c>
      <c r="CX37" s="1087" t="s">
        <v>476</v>
      </c>
      <c r="CY37" s="1070">
        <v>1.0</v>
      </c>
      <c r="CZ37" s="1069" t="s">
        <v>485</v>
      </c>
      <c r="DA37" s="1087" t="s">
        <v>476</v>
      </c>
      <c r="DB37" s="1070">
        <v>1.0</v>
      </c>
      <c r="DC37" s="1069" t="s">
        <v>485</v>
      </c>
      <c r="DD37" s="1087" t="s">
        <v>476</v>
      </c>
      <c r="DE37" s="1070">
        <v>1.0</v>
      </c>
      <c r="DF37" s="1069" t="s">
        <v>485</v>
      </c>
      <c r="DG37" s="1087" t="s">
        <v>476</v>
      </c>
      <c r="DH37" s="1070">
        <v>1.0</v>
      </c>
      <c r="DI37" s="1069" t="s">
        <v>485</v>
      </c>
      <c r="DJ37" s="1087" t="s">
        <v>476</v>
      </c>
      <c r="DK37" s="1070">
        <v>1.0</v>
      </c>
      <c r="DL37" s="1069" t="s">
        <v>485</v>
      </c>
      <c r="DM37" s="1087" t="s">
        <v>476</v>
      </c>
      <c r="DN37" s="1070">
        <v>1.0</v>
      </c>
      <c r="DO37" s="1069" t="s">
        <v>485</v>
      </c>
      <c r="DP37" s="1087" t="s">
        <v>476</v>
      </c>
      <c r="DQ37" s="1070">
        <v>1.0</v>
      </c>
      <c r="DR37" s="1069" t="s">
        <v>485</v>
      </c>
      <c r="DS37" s="1087" t="s">
        <v>476</v>
      </c>
      <c r="DT37" s="1070">
        <v>1.0</v>
      </c>
      <c r="DU37" s="1069" t="s">
        <v>485</v>
      </c>
      <c r="DV37" s="1087" t="s">
        <v>476</v>
      </c>
      <c r="DW37" s="1070">
        <v>1.0</v>
      </c>
      <c r="DX37" s="1069" t="s">
        <v>485</v>
      </c>
      <c r="DY37" s="1087" t="s">
        <v>476</v>
      </c>
      <c r="DZ37" s="1070">
        <v>1.0</v>
      </c>
      <c r="EA37" s="1069" t="s">
        <v>485</v>
      </c>
      <c r="EB37" s="1087" t="s">
        <v>476</v>
      </c>
      <c r="EC37" s="1070">
        <v>1.0</v>
      </c>
      <c r="ED37" s="111"/>
      <c r="EE37" s="111"/>
      <c r="EF37" s="111"/>
    </row>
    <row r="38" ht="15.0" hidden="1" customHeight="1">
      <c r="A38" s="60">
        <v>56.0</v>
      </c>
      <c r="B38" s="895" t="s">
        <v>211</v>
      </c>
      <c r="C38" s="188"/>
      <c r="D38" s="189"/>
      <c r="E38" s="189"/>
      <c r="F38" s="189"/>
      <c r="G38" s="189"/>
      <c r="H38" s="190"/>
      <c r="I38" s="189"/>
      <c r="J38" s="189"/>
      <c r="K38" s="260"/>
      <c r="L38" s="248"/>
      <c r="M38" s="189"/>
      <c r="N38" s="189"/>
      <c r="O38" s="191"/>
      <c r="P38" s="248"/>
      <c r="Q38" s="878"/>
      <c r="R38" s="876"/>
      <c r="S38" s="877"/>
      <c r="T38" s="813"/>
      <c r="U38" s="876"/>
      <c r="V38" s="877"/>
      <c r="W38" s="813"/>
      <c r="X38" s="876"/>
      <c r="Y38" s="877"/>
      <c r="Z38" s="896"/>
      <c r="AA38" s="897"/>
      <c r="AB38" s="879"/>
      <c r="AC38" s="880"/>
      <c r="AD38" s="880"/>
      <c r="AE38" s="1067"/>
      <c r="AF38" s="880"/>
      <c r="AG38" s="880"/>
      <c r="AH38" s="1067"/>
      <c r="AI38" s="880"/>
      <c r="AJ38" s="880"/>
      <c r="AK38" s="1067"/>
      <c r="AL38" s="880"/>
      <c r="AM38" s="880"/>
      <c r="AN38" s="1067"/>
      <c r="AO38" s="880"/>
      <c r="AP38" s="880"/>
      <c r="AQ38" s="880"/>
      <c r="AR38" s="880"/>
      <c r="AS38" s="880"/>
      <c r="AT38" s="880"/>
      <c r="AU38" s="880"/>
      <c r="AV38" s="880"/>
      <c r="AW38" s="880"/>
      <c r="AX38" s="880"/>
      <c r="AY38" s="880"/>
      <c r="AZ38" s="880"/>
      <c r="BA38" s="1060"/>
      <c r="BB38" s="1060"/>
      <c r="BC38" s="1060"/>
      <c r="BD38" s="1060"/>
      <c r="BE38" s="1060"/>
      <c r="BF38" s="1060"/>
      <c r="BG38" s="1060"/>
      <c r="BH38" s="1060"/>
      <c r="BI38" s="1060"/>
      <c r="BJ38" s="1060"/>
      <c r="BK38" s="1060"/>
      <c r="BL38" s="1060"/>
      <c r="BM38" s="1060"/>
      <c r="BN38" s="1060"/>
      <c r="BO38" s="1060"/>
      <c r="BP38" s="1060"/>
      <c r="BQ38" s="1060"/>
      <c r="BR38" s="1060"/>
      <c r="BS38" s="1060"/>
      <c r="BT38" s="1060"/>
      <c r="BU38" s="1060"/>
      <c r="BV38" s="1060"/>
      <c r="BW38" s="1060"/>
      <c r="BX38" s="1060"/>
      <c r="BY38" s="1060"/>
      <c r="BZ38" s="1060"/>
      <c r="CA38" s="1060"/>
      <c r="CB38" s="1060"/>
      <c r="CC38" s="1060"/>
      <c r="CD38" s="1060"/>
      <c r="CE38" s="1060"/>
      <c r="CF38" s="1060"/>
      <c r="CG38" s="1060"/>
      <c r="CH38" s="1060"/>
      <c r="CI38" s="1060"/>
      <c r="CJ38" s="1060"/>
      <c r="CK38" s="1060"/>
      <c r="CL38" s="1060"/>
      <c r="CM38" s="1060"/>
      <c r="CN38" s="1060"/>
      <c r="CO38" s="1060"/>
      <c r="CP38" s="1060"/>
      <c r="CQ38" s="1060"/>
      <c r="CR38" s="1060"/>
      <c r="CS38" s="1060"/>
      <c r="CT38" s="1060"/>
      <c r="CU38" s="1060"/>
      <c r="CV38" s="1060"/>
      <c r="CW38" s="1060"/>
      <c r="CX38" s="1060"/>
      <c r="CY38" s="1060"/>
      <c r="CZ38" s="1060"/>
      <c r="DA38" s="1060"/>
      <c r="DB38" s="1060"/>
      <c r="DC38" s="1060"/>
      <c r="DD38" s="1060"/>
      <c r="DE38" s="1060"/>
      <c r="DF38" s="1060"/>
      <c r="DG38" s="1060"/>
      <c r="DH38" s="1060"/>
      <c r="DI38" s="1060"/>
      <c r="DJ38" s="1060"/>
      <c r="DK38" s="1060"/>
      <c r="DL38" s="1060"/>
      <c r="DM38" s="1060"/>
      <c r="DN38" s="1060"/>
      <c r="DO38" s="1060"/>
      <c r="DP38" s="1060"/>
      <c r="DQ38" s="1060"/>
      <c r="DR38" s="1060"/>
      <c r="DS38" s="1060"/>
      <c r="DT38" s="1060"/>
      <c r="DU38" s="1060"/>
      <c r="DV38" s="1060"/>
      <c r="DW38" s="1060"/>
      <c r="DX38" s="1060"/>
      <c r="DY38" s="1060"/>
      <c r="DZ38" s="1060"/>
      <c r="EA38" s="1060"/>
      <c r="EB38" s="1060"/>
      <c r="EC38" s="1060"/>
      <c r="ED38" s="215"/>
      <c r="EE38" s="215"/>
      <c r="EF38" s="215"/>
    </row>
    <row r="39" ht="15.0" customHeight="1" outlineLevel="1">
      <c r="A39" s="60">
        <v>34.0</v>
      </c>
      <c r="B39" s="747" t="s">
        <v>167</v>
      </c>
      <c r="C39" s="747" t="s">
        <v>168</v>
      </c>
      <c r="D39" s="71" t="s">
        <v>85</v>
      </c>
      <c r="E39" s="146" t="s">
        <v>169</v>
      </c>
      <c r="F39" s="72">
        <v>1112.0</v>
      </c>
      <c r="G39" s="139" t="s">
        <v>170</v>
      </c>
      <c r="H39" s="139">
        <v>1129.0</v>
      </c>
      <c r="I39" s="126" t="str">
        <f>IFERROR(VLOOKUP(C36:C178,'R22 RELATÓRIO ACC'!B:F,5,FALSE),"NOT PUBLISHED")</f>
        <v>V40</v>
      </c>
      <c r="J39" s="126" t="str">
        <f>IFERROR(VLOOKUP(C36:C178,'R22 RELATÓRIO ACC'!B:P,15,FALSE),"NOT PUBLISHED")</f>
        <v>10/04/2026</v>
      </c>
      <c r="K39" s="746" t="str">
        <f>IFERROR(VLOOKUP(B36:B178,'RELATÓRIO ACC'!B:F,5,FALSE),"NOT PUBLISHED")</f>
        <v>V3</v>
      </c>
      <c r="L39" s="748" t="str">
        <f>IFERROR(VLOOKUP(B36:B178,'RELATÓRIO ACC'!B:P,15,FALSE),"NOT PUBLISHED")</f>
        <v>13/07/2026</v>
      </c>
      <c r="M39" s="141" t="s">
        <v>496</v>
      </c>
      <c r="N39" s="756" t="s">
        <v>497</v>
      </c>
      <c r="O39" s="1042" t="s">
        <v>482</v>
      </c>
      <c r="P39" s="1043" t="s">
        <v>102</v>
      </c>
      <c r="Q39" s="746" t="s">
        <v>477</v>
      </c>
      <c r="R39" s="766" t="s">
        <v>476</v>
      </c>
      <c r="S39" s="773">
        <v>0.33</v>
      </c>
      <c r="T39" s="746" t="s">
        <v>477</v>
      </c>
      <c r="U39" s="766" t="s">
        <v>476</v>
      </c>
      <c r="V39" s="773">
        <v>0.93</v>
      </c>
      <c r="W39" s="746" t="s">
        <v>484</v>
      </c>
      <c r="X39" s="766" t="s">
        <v>476</v>
      </c>
      <c r="Y39" s="773">
        <v>1.0</v>
      </c>
      <c r="Z39" s="746" t="s">
        <v>484</v>
      </c>
      <c r="AA39" s="759" t="s">
        <v>476</v>
      </c>
      <c r="AB39" s="762">
        <v>1.0</v>
      </c>
      <c r="AC39" s="746" t="s">
        <v>484</v>
      </c>
      <c r="AD39" s="759" t="s">
        <v>476</v>
      </c>
      <c r="AE39" s="1057">
        <v>1.0</v>
      </c>
      <c r="AF39" s="746" t="s">
        <v>485</v>
      </c>
      <c r="AG39" s="759" t="s">
        <v>476</v>
      </c>
      <c r="AH39" s="1057">
        <v>1.0</v>
      </c>
      <c r="AI39" s="746" t="s">
        <v>485</v>
      </c>
      <c r="AJ39" s="759" t="s">
        <v>476</v>
      </c>
      <c r="AK39" s="1057">
        <v>1.0</v>
      </c>
      <c r="AL39" s="746" t="s">
        <v>485</v>
      </c>
      <c r="AM39" s="759" t="s">
        <v>476</v>
      </c>
      <c r="AN39" s="1057">
        <v>1.0</v>
      </c>
      <c r="AO39" s="746" t="s">
        <v>485</v>
      </c>
      <c r="AP39" s="759" t="s">
        <v>476</v>
      </c>
      <c r="AQ39" s="1057">
        <v>1.0</v>
      </c>
      <c r="AR39" s="746" t="s">
        <v>485</v>
      </c>
      <c r="AS39" s="759" t="s">
        <v>476</v>
      </c>
      <c r="AT39" s="1057">
        <v>1.0</v>
      </c>
      <c r="AU39" s="746" t="s">
        <v>485</v>
      </c>
      <c r="AV39" s="759" t="s">
        <v>476</v>
      </c>
      <c r="AW39" s="1057">
        <v>1.0</v>
      </c>
      <c r="AX39" s="746" t="s">
        <v>485</v>
      </c>
      <c r="AY39" s="759" t="s">
        <v>476</v>
      </c>
      <c r="AZ39" s="1057">
        <v>1.0</v>
      </c>
      <c r="BA39" s="1069" t="s">
        <v>485</v>
      </c>
      <c r="BB39" s="1088" t="s">
        <v>476</v>
      </c>
      <c r="BC39" s="1078">
        <v>1.0</v>
      </c>
      <c r="BD39" s="1069" t="s">
        <v>485</v>
      </c>
      <c r="BE39" s="1088" t="s">
        <v>476</v>
      </c>
      <c r="BF39" s="1078">
        <v>1.0</v>
      </c>
      <c r="BG39" s="1069" t="s">
        <v>485</v>
      </c>
      <c r="BH39" s="1088" t="s">
        <v>476</v>
      </c>
      <c r="BI39" s="1078">
        <v>1.0</v>
      </c>
      <c r="BJ39" s="1069" t="s">
        <v>485</v>
      </c>
      <c r="BK39" s="1088" t="s">
        <v>476</v>
      </c>
      <c r="BL39" s="1078">
        <v>1.0</v>
      </c>
      <c r="BM39" s="1069" t="s">
        <v>485</v>
      </c>
      <c r="BN39" s="1088" t="s">
        <v>476</v>
      </c>
      <c r="BO39" s="1078">
        <v>1.0</v>
      </c>
      <c r="BP39" s="1069" t="s">
        <v>485</v>
      </c>
      <c r="BQ39" s="1088" t="s">
        <v>476</v>
      </c>
      <c r="BR39" s="1078">
        <v>1.0</v>
      </c>
      <c r="BS39" s="1069" t="s">
        <v>485</v>
      </c>
      <c r="BT39" s="1088" t="s">
        <v>476</v>
      </c>
      <c r="BU39" s="1078">
        <v>1.0</v>
      </c>
      <c r="BV39" s="1069" t="s">
        <v>485</v>
      </c>
      <c r="BW39" s="1088" t="s">
        <v>476</v>
      </c>
      <c r="BX39" s="1078">
        <v>1.0</v>
      </c>
      <c r="BY39" s="1069" t="s">
        <v>485</v>
      </c>
      <c r="BZ39" s="1088" t="s">
        <v>476</v>
      </c>
      <c r="CA39" s="1078">
        <v>1.0</v>
      </c>
      <c r="CB39" s="1069" t="s">
        <v>485</v>
      </c>
      <c r="CC39" s="1088" t="s">
        <v>476</v>
      </c>
      <c r="CD39" s="1078">
        <v>1.0</v>
      </c>
      <c r="CE39" s="1069" t="s">
        <v>485</v>
      </c>
      <c r="CF39" s="1088" t="s">
        <v>476</v>
      </c>
      <c r="CG39" s="1078">
        <v>1.0</v>
      </c>
      <c r="CH39" s="1069" t="s">
        <v>485</v>
      </c>
      <c r="CI39" s="1088" t="s">
        <v>476</v>
      </c>
      <c r="CJ39" s="1078">
        <v>1.0</v>
      </c>
      <c r="CK39" s="1069" t="s">
        <v>485</v>
      </c>
      <c r="CL39" s="1088" t="s">
        <v>476</v>
      </c>
      <c r="CM39" s="1078">
        <v>1.0</v>
      </c>
      <c r="CN39" s="1069" t="s">
        <v>485</v>
      </c>
      <c r="CO39" s="1088" t="s">
        <v>476</v>
      </c>
      <c r="CP39" s="1078">
        <v>1.0</v>
      </c>
      <c r="CQ39" s="1069" t="s">
        <v>485</v>
      </c>
      <c r="CR39" s="1088" t="s">
        <v>476</v>
      </c>
      <c r="CS39" s="1078">
        <v>1.0</v>
      </c>
      <c r="CT39" s="1069" t="s">
        <v>485</v>
      </c>
      <c r="CU39" s="1088" t="s">
        <v>476</v>
      </c>
      <c r="CV39" s="1078">
        <v>1.0</v>
      </c>
      <c r="CW39" s="1069" t="s">
        <v>485</v>
      </c>
      <c r="CX39" s="1088" t="s">
        <v>476</v>
      </c>
      <c r="CY39" s="1078">
        <v>1.0</v>
      </c>
      <c r="CZ39" s="1069" t="s">
        <v>485</v>
      </c>
      <c r="DA39" s="1088" t="s">
        <v>476</v>
      </c>
      <c r="DB39" s="1078">
        <v>1.0</v>
      </c>
      <c r="DC39" s="1069" t="s">
        <v>485</v>
      </c>
      <c r="DD39" s="1088" t="s">
        <v>476</v>
      </c>
      <c r="DE39" s="1078">
        <v>1.0</v>
      </c>
      <c r="DF39" s="1069" t="s">
        <v>485</v>
      </c>
      <c r="DG39" s="1088" t="s">
        <v>476</v>
      </c>
      <c r="DH39" s="1078">
        <v>1.0</v>
      </c>
      <c r="DI39" s="1069" t="s">
        <v>485</v>
      </c>
      <c r="DJ39" s="1088" t="s">
        <v>476</v>
      </c>
      <c r="DK39" s="1078">
        <v>1.0</v>
      </c>
      <c r="DL39" s="1069" t="s">
        <v>485</v>
      </c>
      <c r="DM39" s="1088" t="s">
        <v>476</v>
      </c>
      <c r="DN39" s="1078">
        <v>1.0</v>
      </c>
      <c r="DO39" s="1069" t="s">
        <v>485</v>
      </c>
      <c r="DP39" s="1088" t="s">
        <v>476</v>
      </c>
      <c r="DQ39" s="1078">
        <v>1.0</v>
      </c>
      <c r="DR39" s="1069" t="s">
        <v>485</v>
      </c>
      <c r="DS39" s="1088" t="s">
        <v>476</v>
      </c>
      <c r="DT39" s="1078">
        <v>1.0</v>
      </c>
      <c r="DU39" s="1069" t="s">
        <v>485</v>
      </c>
      <c r="DV39" s="1088" t="s">
        <v>476</v>
      </c>
      <c r="DW39" s="1078">
        <v>1.0</v>
      </c>
      <c r="DX39" s="1069" t="s">
        <v>485</v>
      </c>
      <c r="DY39" s="1088" t="s">
        <v>476</v>
      </c>
      <c r="DZ39" s="1078">
        <v>1.0</v>
      </c>
      <c r="EA39" s="1069" t="s">
        <v>485</v>
      </c>
      <c r="EB39" s="1088" t="s">
        <v>476</v>
      </c>
      <c r="EC39" s="1078">
        <v>1.0</v>
      </c>
      <c r="ED39" s="111"/>
      <c r="EE39" s="111"/>
      <c r="EF39" s="111"/>
    </row>
    <row r="40" ht="15.0" hidden="1" customHeight="1">
      <c r="A40" s="60">
        <v>59.0</v>
      </c>
      <c r="B40" s="881" t="s">
        <v>219</v>
      </c>
      <c r="C40" s="263"/>
      <c r="D40" s="264"/>
      <c r="E40" s="264"/>
      <c r="F40" s="264"/>
      <c r="G40" s="264"/>
      <c r="H40" s="265"/>
      <c r="I40" s="264"/>
      <c r="J40" s="264"/>
      <c r="K40" s="882"/>
      <c r="L40" s="883"/>
      <c r="M40" s="264"/>
      <c r="N40" s="264"/>
      <c r="O40" s="264"/>
      <c r="P40" s="884"/>
      <c r="Q40" s="885"/>
      <c r="R40" s="886"/>
      <c r="S40" s="887"/>
      <c r="T40" s="885"/>
      <c r="U40" s="886"/>
      <c r="V40" s="887"/>
      <c r="W40" s="885"/>
      <c r="X40" s="886"/>
      <c r="Y40" s="887"/>
      <c r="Z40" s="888"/>
      <c r="AA40" s="886"/>
      <c r="AB40" s="890"/>
      <c r="AC40" s="894"/>
      <c r="AD40" s="894"/>
      <c r="AE40" s="1089"/>
      <c r="AF40" s="894"/>
      <c r="AG40" s="894"/>
      <c r="AH40" s="894"/>
      <c r="AI40" s="894"/>
      <c r="AJ40" s="894"/>
      <c r="AK40" s="894"/>
      <c r="AL40" s="894"/>
      <c r="AM40" s="894"/>
      <c r="AN40" s="894"/>
      <c r="AO40" s="894"/>
      <c r="AP40" s="894"/>
      <c r="AQ40" s="894"/>
      <c r="AR40" s="894"/>
      <c r="AS40" s="894"/>
      <c r="AT40" s="894"/>
      <c r="AU40" s="894"/>
      <c r="AV40" s="894"/>
      <c r="AW40" s="894"/>
      <c r="AX40" s="894"/>
      <c r="AY40" s="894"/>
      <c r="AZ40" s="894"/>
      <c r="BA40" s="1090"/>
      <c r="BB40" s="1090"/>
      <c r="BC40" s="1090"/>
      <c r="BD40" s="1090"/>
      <c r="BE40" s="1090"/>
      <c r="BF40" s="1090"/>
      <c r="BG40" s="1090"/>
      <c r="BH40" s="1090"/>
      <c r="BI40" s="1090"/>
      <c r="BJ40" s="1090"/>
      <c r="BK40" s="1090"/>
      <c r="BL40" s="1090"/>
      <c r="BM40" s="1090"/>
      <c r="BN40" s="1090"/>
      <c r="BO40" s="1090"/>
      <c r="BP40" s="1090"/>
      <c r="BQ40" s="1090"/>
      <c r="BR40" s="1090"/>
      <c r="BS40" s="1090"/>
      <c r="BT40" s="1090"/>
      <c r="BU40" s="1090"/>
      <c r="BV40" s="1090"/>
      <c r="BW40" s="1090"/>
      <c r="BX40" s="1090"/>
      <c r="BY40" s="1090"/>
      <c r="BZ40" s="1090"/>
      <c r="CA40" s="1090"/>
      <c r="CB40" s="1090"/>
      <c r="CC40" s="1090"/>
      <c r="CD40" s="1090"/>
      <c r="CE40" s="1090"/>
      <c r="CF40" s="1090"/>
      <c r="CG40" s="1090"/>
      <c r="CH40" s="1090"/>
      <c r="CI40" s="1090"/>
      <c r="CJ40" s="1090"/>
      <c r="CK40" s="1090"/>
      <c r="CL40" s="1090"/>
      <c r="CM40" s="1090"/>
      <c r="CN40" s="1090"/>
      <c r="CO40" s="1090"/>
      <c r="CP40" s="1090"/>
      <c r="CQ40" s="1090"/>
      <c r="CR40" s="1090"/>
      <c r="CS40" s="1090"/>
      <c r="CT40" s="1090"/>
      <c r="CU40" s="1090"/>
      <c r="CV40" s="1090"/>
      <c r="CW40" s="1090"/>
      <c r="CX40" s="1090"/>
      <c r="CY40" s="1090"/>
      <c r="CZ40" s="1090"/>
      <c r="DA40" s="1090"/>
      <c r="DB40" s="1090"/>
      <c r="DC40" s="1090"/>
      <c r="DD40" s="1090"/>
      <c r="DE40" s="1090"/>
      <c r="DF40" s="1090"/>
      <c r="DG40" s="1090"/>
      <c r="DH40" s="1090"/>
      <c r="DI40" s="1090"/>
      <c r="DJ40" s="1090"/>
      <c r="DK40" s="1090"/>
      <c r="DL40" s="1090"/>
      <c r="DM40" s="1090"/>
      <c r="DN40" s="1090"/>
      <c r="DO40" s="1090"/>
      <c r="DP40" s="1090"/>
      <c r="DQ40" s="1090"/>
      <c r="DR40" s="1090"/>
      <c r="DS40" s="1090"/>
      <c r="DT40" s="1090"/>
      <c r="DU40" s="1090"/>
      <c r="DV40" s="1090"/>
      <c r="DW40" s="1090"/>
      <c r="DX40" s="1090"/>
      <c r="DY40" s="1090"/>
      <c r="DZ40" s="1090"/>
      <c r="EA40" s="1090"/>
      <c r="EB40" s="1090"/>
      <c r="EC40" s="1090"/>
      <c r="ED40" s="186"/>
      <c r="EE40" s="186"/>
      <c r="EF40" s="186"/>
    </row>
    <row r="41" ht="15.0" customHeight="1" outlineLevel="1">
      <c r="A41" s="60">
        <v>37.0</v>
      </c>
      <c r="B41" s="747" t="s">
        <v>174</v>
      </c>
      <c r="C41" s="747" t="s">
        <v>175</v>
      </c>
      <c r="D41" s="71" t="s">
        <v>85</v>
      </c>
      <c r="E41" s="146" t="s">
        <v>176</v>
      </c>
      <c r="F41" s="72">
        <v>1113.0</v>
      </c>
      <c r="G41" s="139" t="s">
        <v>176</v>
      </c>
      <c r="H41" s="139">
        <v>1113.0</v>
      </c>
      <c r="I41" s="126" t="str">
        <f>IFERROR(VLOOKUP(C38:C180,'R22 RELATÓRIO ACC'!B:F,5,FALSE),"NOT PUBLISHED")</f>
        <v>V28</v>
      </c>
      <c r="J41" s="126" t="str">
        <f>IFERROR(VLOOKUP(C38:C180,'R22 RELATÓRIO ACC'!B:P,15,FALSE),"NOT PUBLISHED")</f>
        <v>16/04/2026</v>
      </c>
      <c r="K41" s="746" t="str">
        <f>IFERROR(VLOOKUP(B38:B180,'RELATÓRIO ACC'!B:F,5,FALSE),"NOT PUBLISHED")</f>
        <v>V4</v>
      </c>
      <c r="L41" s="748" t="str">
        <f>IFERROR(VLOOKUP(B38:B180,'RELATÓRIO ACC'!B:P,15,FALSE),"NOT PUBLISHED")</f>
        <v>26/06/2026</v>
      </c>
      <c r="M41" s="141" t="s">
        <v>498</v>
      </c>
      <c r="N41" s="756" t="s">
        <v>499</v>
      </c>
      <c r="O41" s="740" t="s">
        <v>482</v>
      </c>
      <c r="P41" s="751" t="s">
        <v>129</v>
      </c>
      <c r="Q41" s="746" t="s">
        <v>477</v>
      </c>
      <c r="R41" s="766" t="s">
        <v>476</v>
      </c>
      <c r="S41" s="773">
        <v>0.44</v>
      </c>
      <c r="T41" s="746" t="s">
        <v>477</v>
      </c>
      <c r="U41" s="766" t="s">
        <v>476</v>
      </c>
      <c r="V41" s="773">
        <v>0.41</v>
      </c>
      <c r="W41" s="746" t="s">
        <v>477</v>
      </c>
      <c r="X41" s="792" t="s">
        <v>476</v>
      </c>
      <c r="Y41" s="773">
        <v>0.43</v>
      </c>
      <c r="Z41" s="746" t="s">
        <v>484</v>
      </c>
      <c r="AA41" s="775" t="s">
        <v>476</v>
      </c>
      <c r="AB41" s="768">
        <v>1.0</v>
      </c>
      <c r="AC41" s="746" t="s">
        <v>484</v>
      </c>
      <c r="AD41" s="775" t="s">
        <v>476</v>
      </c>
      <c r="AE41" s="1068">
        <v>1.0</v>
      </c>
      <c r="AF41" s="746" t="s">
        <v>485</v>
      </c>
      <c r="AG41" s="775" t="s">
        <v>476</v>
      </c>
      <c r="AH41" s="1068">
        <v>1.0</v>
      </c>
      <c r="AI41" s="746" t="s">
        <v>485</v>
      </c>
      <c r="AJ41" s="775" t="s">
        <v>476</v>
      </c>
      <c r="AK41" s="1068">
        <v>1.0</v>
      </c>
      <c r="AL41" s="746" t="s">
        <v>485</v>
      </c>
      <c r="AM41" s="775" t="s">
        <v>476</v>
      </c>
      <c r="AN41" s="1068">
        <v>1.0</v>
      </c>
      <c r="AO41" s="68" t="s">
        <v>485</v>
      </c>
      <c r="AP41" s="779" t="s">
        <v>476</v>
      </c>
      <c r="AQ41" s="135">
        <v>1.0</v>
      </c>
      <c r="AR41" s="68" t="s">
        <v>485</v>
      </c>
      <c r="AS41" s="779" t="s">
        <v>476</v>
      </c>
      <c r="AT41" s="135">
        <v>1.0</v>
      </c>
      <c r="AU41" s="68" t="s">
        <v>485</v>
      </c>
      <c r="AV41" s="779" t="s">
        <v>476</v>
      </c>
      <c r="AW41" s="135">
        <v>1.0</v>
      </c>
      <c r="AX41" s="68" t="s">
        <v>485</v>
      </c>
      <c r="AY41" s="779" t="s">
        <v>476</v>
      </c>
      <c r="AZ41" s="135">
        <v>1.0</v>
      </c>
      <c r="BA41" s="1064" t="s">
        <v>485</v>
      </c>
      <c r="BB41" s="1084" t="s">
        <v>476</v>
      </c>
      <c r="BC41" s="1066">
        <v>1.0</v>
      </c>
      <c r="BD41" s="1064" t="s">
        <v>485</v>
      </c>
      <c r="BE41" s="1084" t="s">
        <v>476</v>
      </c>
      <c r="BF41" s="1066">
        <v>1.0</v>
      </c>
      <c r="BG41" s="1064" t="s">
        <v>485</v>
      </c>
      <c r="BH41" s="1084" t="s">
        <v>476</v>
      </c>
      <c r="BI41" s="1066">
        <v>1.0</v>
      </c>
      <c r="BJ41" s="1064" t="s">
        <v>485</v>
      </c>
      <c r="BK41" s="1084" t="s">
        <v>476</v>
      </c>
      <c r="BL41" s="1066">
        <v>1.0</v>
      </c>
      <c r="BM41" s="1064" t="s">
        <v>485</v>
      </c>
      <c r="BN41" s="1084" t="s">
        <v>476</v>
      </c>
      <c r="BO41" s="1066">
        <v>1.0</v>
      </c>
      <c r="BP41" s="1064" t="s">
        <v>485</v>
      </c>
      <c r="BQ41" s="1084" t="s">
        <v>476</v>
      </c>
      <c r="BR41" s="1066">
        <v>1.0</v>
      </c>
      <c r="BS41" s="1064" t="s">
        <v>485</v>
      </c>
      <c r="BT41" s="1084" t="s">
        <v>476</v>
      </c>
      <c r="BU41" s="1066">
        <v>1.0</v>
      </c>
      <c r="BV41" s="1064" t="s">
        <v>485</v>
      </c>
      <c r="BW41" s="1084" t="s">
        <v>476</v>
      </c>
      <c r="BX41" s="1066">
        <v>1.0</v>
      </c>
      <c r="BY41" s="1064" t="s">
        <v>485</v>
      </c>
      <c r="BZ41" s="1084" t="s">
        <v>476</v>
      </c>
      <c r="CA41" s="1066">
        <v>1.0</v>
      </c>
      <c r="CB41" s="1064" t="s">
        <v>485</v>
      </c>
      <c r="CC41" s="1084" t="s">
        <v>476</v>
      </c>
      <c r="CD41" s="1066">
        <v>1.0</v>
      </c>
      <c r="CE41" s="1064" t="s">
        <v>485</v>
      </c>
      <c r="CF41" s="1084" t="s">
        <v>476</v>
      </c>
      <c r="CG41" s="1066">
        <v>1.0</v>
      </c>
      <c r="CH41" s="1064" t="s">
        <v>485</v>
      </c>
      <c r="CI41" s="1084" t="s">
        <v>476</v>
      </c>
      <c r="CJ41" s="1066">
        <v>1.0</v>
      </c>
      <c r="CK41" s="1064" t="s">
        <v>485</v>
      </c>
      <c r="CL41" s="1084" t="s">
        <v>476</v>
      </c>
      <c r="CM41" s="1066">
        <v>1.0</v>
      </c>
      <c r="CN41" s="1064" t="s">
        <v>485</v>
      </c>
      <c r="CO41" s="1084" t="s">
        <v>476</v>
      </c>
      <c r="CP41" s="1066">
        <v>1.0</v>
      </c>
      <c r="CQ41" s="1064" t="s">
        <v>485</v>
      </c>
      <c r="CR41" s="1084" t="s">
        <v>476</v>
      </c>
      <c r="CS41" s="1066">
        <v>1.0</v>
      </c>
      <c r="CT41" s="1064" t="s">
        <v>485</v>
      </c>
      <c r="CU41" s="1084" t="s">
        <v>476</v>
      </c>
      <c r="CV41" s="1066">
        <v>1.0</v>
      </c>
      <c r="CW41" s="1064" t="s">
        <v>485</v>
      </c>
      <c r="CX41" s="1084" t="s">
        <v>476</v>
      </c>
      <c r="CY41" s="1066">
        <v>1.0</v>
      </c>
      <c r="CZ41" s="1064" t="s">
        <v>485</v>
      </c>
      <c r="DA41" s="1084" t="s">
        <v>476</v>
      </c>
      <c r="DB41" s="1066">
        <v>1.0</v>
      </c>
      <c r="DC41" s="1064" t="s">
        <v>485</v>
      </c>
      <c r="DD41" s="1084" t="s">
        <v>476</v>
      </c>
      <c r="DE41" s="1066">
        <v>1.0</v>
      </c>
      <c r="DF41" s="1064" t="s">
        <v>485</v>
      </c>
      <c r="DG41" s="1084" t="s">
        <v>476</v>
      </c>
      <c r="DH41" s="1066">
        <v>1.0</v>
      </c>
      <c r="DI41" s="1064" t="s">
        <v>485</v>
      </c>
      <c r="DJ41" s="1084" t="s">
        <v>476</v>
      </c>
      <c r="DK41" s="1066">
        <v>1.0</v>
      </c>
      <c r="DL41" s="1064" t="s">
        <v>485</v>
      </c>
      <c r="DM41" s="1084" t="s">
        <v>476</v>
      </c>
      <c r="DN41" s="1066">
        <v>1.0</v>
      </c>
      <c r="DO41" s="1064" t="s">
        <v>485</v>
      </c>
      <c r="DP41" s="1084" t="s">
        <v>476</v>
      </c>
      <c r="DQ41" s="1066">
        <v>1.0</v>
      </c>
      <c r="DR41" s="1064" t="s">
        <v>485</v>
      </c>
      <c r="DS41" s="1084" t="s">
        <v>476</v>
      </c>
      <c r="DT41" s="1066">
        <v>1.0</v>
      </c>
      <c r="DU41" s="1064" t="s">
        <v>485</v>
      </c>
      <c r="DV41" s="1084" t="s">
        <v>476</v>
      </c>
      <c r="DW41" s="1066">
        <v>1.0</v>
      </c>
      <c r="DX41" s="1064" t="s">
        <v>485</v>
      </c>
      <c r="DY41" s="1084" t="s">
        <v>476</v>
      </c>
      <c r="DZ41" s="1066">
        <v>1.0</v>
      </c>
      <c r="EA41" s="1064" t="s">
        <v>485</v>
      </c>
      <c r="EB41" s="1084" t="s">
        <v>476</v>
      </c>
      <c r="EC41" s="1066">
        <v>1.0</v>
      </c>
      <c r="ED41" s="111"/>
      <c r="EE41" s="111"/>
      <c r="EF41" s="111"/>
    </row>
    <row r="42" ht="15.0" hidden="1" customHeight="1" outlineLevel="1">
      <c r="A42" s="60">
        <v>62.0</v>
      </c>
      <c r="B42" s="862" t="s">
        <v>224</v>
      </c>
      <c r="C42" s="291"/>
      <c r="D42" s="292"/>
      <c r="E42" s="292"/>
      <c r="F42" s="292"/>
      <c r="G42" s="292"/>
      <c r="H42" s="293"/>
      <c r="I42" s="292"/>
      <c r="J42" s="292"/>
      <c r="K42" s="863"/>
      <c r="L42" s="864"/>
      <c r="M42" s="292"/>
      <c r="N42" s="292"/>
      <c r="O42" s="292"/>
      <c r="P42" s="865"/>
      <c r="Q42" s="866"/>
      <c r="R42" s="867"/>
      <c r="S42" s="868"/>
      <c r="T42" s="866"/>
      <c r="U42" s="867"/>
      <c r="V42" s="868"/>
      <c r="W42" s="866"/>
      <c r="X42" s="867"/>
      <c r="Y42" s="868"/>
      <c r="Z42" s="869"/>
      <c r="AA42" s="870"/>
      <c r="AB42" s="871"/>
      <c r="AC42" s="875"/>
      <c r="AD42" s="875"/>
      <c r="AE42" s="1091"/>
      <c r="AF42" s="875"/>
      <c r="AG42" s="875"/>
      <c r="AH42" s="1091"/>
      <c r="AI42" s="875"/>
      <c r="AJ42" s="875"/>
      <c r="AK42" s="1091"/>
      <c r="AL42" s="875"/>
      <c r="AM42" s="875"/>
      <c r="AN42" s="1091"/>
      <c r="AO42" s="875"/>
      <c r="AP42" s="875"/>
      <c r="AQ42" s="875"/>
      <c r="AR42" s="875"/>
      <c r="AS42" s="875"/>
      <c r="AT42" s="875"/>
      <c r="AU42" s="875"/>
      <c r="AV42" s="875"/>
      <c r="AW42" s="875"/>
      <c r="AX42" s="875"/>
      <c r="AY42" s="875"/>
      <c r="AZ42" s="875"/>
      <c r="BA42" s="1092"/>
      <c r="BB42" s="1092"/>
      <c r="BC42" s="1092"/>
      <c r="BD42" s="1092"/>
      <c r="BE42" s="1092"/>
      <c r="BF42" s="1092"/>
      <c r="BG42" s="1092"/>
      <c r="BH42" s="1092"/>
      <c r="BI42" s="1092"/>
      <c r="BJ42" s="1092"/>
      <c r="BK42" s="1092"/>
      <c r="BL42" s="1092"/>
      <c r="BM42" s="1092"/>
      <c r="BN42" s="1092"/>
      <c r="BO42" s="1092"/>
      <c r="BP42" s="1092"/>
      <c r="BQ42" s="1092"/>
      <c r="BR42" s="1092"/>
      <c r="BS42" s="1092"/>
      <c r="BT42" s="1092"/>
      <c r="BU42" s="1092"/>
      <c r="BV42" s="1092"/>
      <c r="BW42" s="1092"/>
      <c r="BX42" s="1092"/>
      <c r="BY42" s="1092"/>
      <c r="BZ42" s="1092"/>
      <c r="CA42" s="1092"/>
      <c r="CB42" s="1092"/>
      <c r="CC42" s="1092"/>
      <c r="CD42" s="1092"/>
      <c r="CE42" s="1092"/>
      <c r="CF42" s="1092"/>
      <c r="CG42" s="1092"/>
      <c r="CH42" s="1092"/>
      <c r="CI42" s="1092"/>
      <c r="CJ42" s="1092"/>
      <c r="CK42" s="1092"/>
      <c r="CL42" s="1092"/>
      <c r="CM42" s="1092"/>
      <c r="CN42" s="1092"/>
      <c r="CO42" s="1092"/>
      <c r="CP42" s="1092"/>
      <c r="CQ42" s="1092"/>
      <c r="CR42" s="1092"/>
      <c r="CS42" s="1092"/>
      <c r="CT42" s="1092"/>
      <c r="CU42" s="1092"/>
      <c r="CV42" s="1092"/>
      <c r="CW42" s="1092"/>
      <c r="CX42" s="1092"/>
      <c r="CY42" s="1092"/>
      <c r="CZ42" s="1092"/>
      <c r="DA42" s="1092"/>
      <c r="DB42" s="1092"/>
      <c r="DC42" s="1092"/>
      <c r="DD42" s="1092"/>
      <c r="DE42" s="1092"/>
      <c r="DF42" s="1092"/>
      <c r="DG42" s="1092"/>
      <c r="DH42" s="1092"/>
      <c r="DI42" s="1092"/>
      <c r="DJ42" s="1092"/>
      <c r="DK42" s="1092"/>
      <c r="DL42" s="1092"/>
      <c r="DM42" s="1092"/>
      <c r="DN42" s="1092"/>
      <c r="DO42" s="1092"/>
      <c r="DP42" s="1092"/>
      <c r="DQ42" s="1092"/>
      <c r="DR42" s="1092"/>
      <c r="DS42" s="1092"/>
      <c r="DT42" s="1092"/>
      <c r="DU42" s="1092"/>
      <c r="DV42" s="1092"/>
      <c r="DW42" s="1092"/>
      <c r="DX42" s="1092"/>
      <c r="DY42" s="1092"/>
      <c r="DZ42" s="1092"/>
      <c r="EA42" s="1092"/>
      <c r="EB42" s="1092"/>
      <c r="EC42" s="1092"/>
      <c r="ED42" s="186"/>
      <c r="EE42" s="186"/>
      <c r="EF42" s="186"/>
    </row>
    <row r="43" ht="15.0" customHeight="1" outlineLevel="1">
      <c r="A43" s="60">
        <v>39.0</v>
      </c>
      <c r="B43" s="747" t="s">
        <v>178</v>
      </c>
      <c r="C43" s="747" t="s">
        <v>179</v>
      </c>
      <c r="D43" s="71" t="s">
        <v>85</v>
      </c>
      <c r="E43" s="146" t="s">
        <v>180</v>
      </c>
      <c r="F43" s="146">
        <v>1114.0</v>
      </c>
      <c r="G43" s="146" t="s">
        <v>180</v>
      </c>
      <c r="H43" s="139">
        <v>1114.0</v>
      </c>
      <c r="I43" s="126" t="str">
        <f>IFERROR(VLOOKUP(C40:C182,'R22 RELATÓRIO ACC'!B:F,5,FALSE),"NOT PUBLISHED")</f>
        <v>V15</v>
      </c>
      <c r="J43" s="126" t="str">
        <f>IFERROR(VLOOKUP(C40:C182,'R22 RELATÓRIO ACC'!B:P,15,FALSE),"NOT PUBLISHED")</f>
        <v>27/04/2026</v>
      </c>
      <c r="K43" s="746" t="str">
        <f>IFERROR(VLOOKUP(B40:B182,'RELATÓRIO ACC'!B:F,5,FALSE),"NOT PUBLISHED")</f>
        <v>V3</v>
      </c>
      <c r="L43" s="748" t="str">
        <f>IFERROR(VLOOKUP(B40:B182,'RELATÓRIO ACC'!B:P,15,FALSE),"NOT PUBLISHED")</f>
        <v>12/07/2026</v>
      </c>
      <c r="M43" s="746" t="s">
        <v>500</v>
      </c>
      <c r="N43" s="1093">
        <v>45929.0</v>
      </c>
      <c r="O43" s="740" t="s">
        <v>482</v>
      </c>
      <c r="P43" s="751" t="s">
        <v>102</v>
      </c>
      <c r="Q43" s="746" t="s">
        <v>477</v>
      </c>
      <c r="R43" s="766" t="s">
        <v>476</v>
      </c>
      <c r="S43" s="1094">
        <v>0.6</v>
      </c>
      <c r="T43" s="746" t="s">
        <v>477</v>
      </c>
      <c r="U43" s="766" t="s">
        <v>476</v>
      </c>
      <c r="V43" s="1094">
        <v>0.9</v>
      </c>
      <c r="W43" s="746" t="s">
        <v>477</v>
      </c>
      <c r="X43" s="766" t="s">
        <v>476</v>
      </c>
      <c r="Y43" s="773">
        <v>0.9</v>
      </c>
      <c r="Z43" s="746" t="s">
        <v>484</v>
      </c>
      <c r="AA43" s="759" t="s">
        <v>476</v>
      </c>
      <c r="AB43" s="762">
        <v>1.0</v>
      </c>
      <c r="AC43" s="746" t="s">
        <v>484</v>
      </c>
      <c r="AD43" s="759" t="s">
        <v>476</v>
      </c>
      <c r="AE43" s="1057">
        <v>1.0</v>
      </c>
      <c r="AF43" s="746" t="s">
        <v>485</v>
      </c>
      <c r="AG43" s="759" t="s">
        <v>476</v>
      </c>
      <c r="AH43" s="1057">
        <v>1.0</v>
      </c>
      <c r="AI43" s="746" t="s">
        <v>485</v>
      </c>
      <c r="AJ43" s="759" t="s">
        <v>476</v>
      </c>
      <c r="AK43" s="1057">
        <v>1.0</v>
      </c>
      <c r="AL43" s="746" t="s">
        <v>485</v>
      </c>
      <c r="AM43" s="759" t="s">
        <v>476</v>
      </c>
      <c r="AN43" s="1057">
        <v>1.0</v>
      </c>
      <c r="AO43" s="776" t="s">
        <v>485</v>
      </c>
      <c r="AP43" s="791" t="s">
        <v>476</v>
      </c>
      <c r="AQ43" s="762">
        <v>1.0</v>
      </c>
      <c r="AR43" s="746" t="s">
        <v>485</v>
      </c>
      <c r="AS43" s="791" t="s">
        <v>476</v>
      </c>
      <c r="AT43" s="762">
        <v>1.0</v>
      </c>
      <c r="AU43" s="68" t="s">
        <v>485</v>
      </c>
      <c r="AV43" s="791" t="s">
        <v>476</v>
      </c>
      <c r="AW43" s="135">
        <v>1.0</v>
      </c>
      <c r="AX43" s="68" t="s">
        <v>485</v>
      </c>
      <c r="AY43" s="791" t="s">
        <v>476</v>
      </c>
      <c r="AZ43" s="135">
        <v>1.0</v>
      </c>
      <c r="BA43" s="1064" t="s">
        <v>485</v>
      </c>
      <c r="BB43" s="1065" t="s">
        <v>476</v>
      </c>
      <c r="BC43" s="1066">
        <v>1.0</v>
      </c>
      <c r="BD43" s="1064" t="s">
        <v>485</v>
      </c>
      <c r="BE43" s="1065" t="s">
        <v>476</v>
      </c>
      <c r="BF43" s="1066">
        <v>1.0</v>
      </c>
      <c r="BG43" s="1064" t="s">
        <v>485</v>
      </c>
      <c r="BH43" s="1065" t="s">
        <v>476</v>
      </c>
      <c r="BI43" s="1066">
        <v>1.0</v>
      </c>
      <c r="BJ43" s="1064" t="s">
        <v>485</v>
      </c>
      <c r="BK43" s="1065" t="s">
        <v>476</v>
      </c>
      <c r="BL43" s="1066">
        <v>1.0</v>
      </c>
      <c r="BM43" s="1064" t="s">
        <v>485</v>
      </c>
      <c r="BN43" s="1065" t="s">
        <v>476</v>
      </c>
      <c r="BO43" s="1066">
        <v>1.0</v>
      </c>
      <c r="BP43" s="1064" t="s">
        <v>485</v>
      </c>
      <c r="BQ43" s="1065" t="s">
        <v>476</v>
      </c>
      <c r="BR43" s="1066">
        <v>1.0</v>
      </c>
      <c r="BS43" s="1064" t="s">
        <v>485</v>
      </c>
      <c r="BT43" s="1065" t="s">
        <v>476</v>
      </c>
      <c r="BU43" s="1066">
        <v>1.0</v>
      </c>
      <c r="BV43" s="1064" t="s">
        <v>485</v>
      </c>
      <c r="BW43" s="1065" t="s">
        <v>476</v>
      </c>
      <c r="BX43" s="1066">
        <v>1.0</v>
      </c>
      <c r="BY43" s="1064" t="s">
        <v>485</v>
      </c>
      <c r="BZ43" s="1065" t="s">
        <v>476</v>
      </c>
      <c r="CA43" s="1066">
        <v>1.0</v>
      </c>
      <c r="CB43" s="1064" t="s">
        <v>485</v>
      </c>
      <c r="CC43" s="1065" t="s">
        <v>476</v>
      </c>
      <c r="CD43" s="1066">
        <v>1.0</v>
      </c>
      <c r="CE43" s="1064" t="s">
        <v>485</v>
      </c>
      <c r="CF43" s="1065" t="s">
        <v>476</v>
      </c>
      <c r="CG43" s="1066">
        <v>1.0</v>
      </c>
      <c r="CH43" s="1064" t="s">
        <v>485</v>
      </c>
      <c r="CI43" s="1065" t="s">
        <v>476</v>
      </c>
      <c r="CJ43" s="1066">
        <v>1.0</v>
      </c>
      <c r="CK43" s="1064" t="s">
        <v>485</v>
      </c>
      <c r="CL43" s="1065" t="s">
        <v>476</v>
      </c>
      <c r="CM43" s="1066">
        <v>1.0</v>
      </c>
      <c r="CN43" s="1064" t="s">
        <v>485</v>
      </c>
      <c r="CO43" s="1065" t="s">
        <v>476</v>
      </c>
      <c r="CP43" s="1066">
        <v>1.0</v>
      </c>
      <c r="CQ43" s="1064" t="s">
        <v>485</v>
      </c>
      <c r="CR43" s="1065" t="s">
        <v>476</v>
      </c>
      <c r="CS43" s="1066">
        <v>1.0</v>
      </c>
      <c r="CT43" s="1064" t="s">
        <v>485</v>
      </c>
      <c r="CU43" s="1065" t="s">
        <v>476</v>
      </c>
      <c r="CV43" s="1066">
        <v>1.0</v>
      </c>
      <c r="CW43" s="1064" t="s">
        <v>485</v>
      </c>
      <c r="CX43" s="1065" t="s">
        <v>476</v>
      </c>
      <c r="CY43" s="1066">
        <v>1.0</v>
      </c>
      <c r="CZ43" s="1064" t="s">
        <v>485</v>
      </c>
      <c r="DA43" s="1065" t="s">
        <v>476</v>
      </c>
      <c r="DB43" s="1066">
        <v>1.0</v>
      </c>
      <c r="DC43" s="1064" t="s">
        <v>485</v>
      </c>
      <c r="DD43" s="1065" t="s">
        <v>476</v>
      </c>
      <c r="DE43" s="1066">
        <v>1.0</v>
      </c>
      <c r="DF43" s="1064" t="s">
        <v>485</v>
      </c>
      <c r="DG43" s="1065" t="s">
        <v>476</v>
      </c>
      <c r="DH43" s="1066">
        <v>1.0</v>
      </c>
      <c r="DI43" s="1064" t="s">
        <v>485</v>
      </c>
      <c r="DJ43" s="1065" t="s">
        <v>476</v>
      </c>
      <c r="DK43" s="1066">
        <v>1.0</v>
      </c>
      <c r="DL43" s="1064" t="s">
        <v>485</v>
      </c>
      <c r="DM43" s="1065" t="s">
        <v>476</v>
      </c>
      <c r="DN43" s="1066">
        <v>1.0</v>
      </c>
      <c r="DO43" s="1064" t="s">
        <v>485</v>
      </c>
      <c r="DP43" s="1065" t="s">
        <v>476</v>
      </c>
      <c r="DQ43" s="1066">
        <v>1.0</v>
      </c>
      <c r="DR43" s="1064" t="s">
        <v>485</v>
      </c>
      <c r="DS43" s="1065" t="s">
        <v>476</v>
      </c>
      <c r="DT43" s="1066">
        <v>1.0</v>
      </c>
      <c r="DU43" s="1064" t="s">
        <v>485</v>
      </c>
      <c r="DV43" s="1065" t="s">
        <v>476</v>
      </c>
      <c r="DW43" s="1066">
        <v>1.0</v>
      </c>
      <c r="DX43" s="1064" t="s">
        <v>485</v>
      </c>
      <c r="DY43" s="1065" t="s">
        <v>476</v>
      </c>
      <c r="DZ43" s="1066">
        <v>1.0</v>
      </c>
      <c r="EA43" s="1064" t="s">
        <v>485</v>
      </c>
      <c r="EB43" s="1065" t="s">
        <v>476</v>
      </c>
      <c r="EC43" s="1066">
        <v>1.0</v>
      </c>
      <c r="ED43" s="111"/>
      <c r="EE43" s="111"/>
      <c r="EF43" s="111"/>
    </row>
    <row r="44" ht="15.0" hidden="1" customHeight="1">
      <c r="A44" s="60">
        <v>65.0</v>
      </c>
      <c r="B44" s="862" t="s">
        <v>229</v>
      </c>
      <c r="C44" s="291"/>
      <c r="D44" s="292"/>
      <c r="E44" s="292"/>
      <c r="F44" s="292"/>
      <c r="G44" s="292"/>
      <c r="H44" s="293"/>
      <c r="I44" s="292"/>
      <c r="J44" s="292"/>
      <c r="K44" s="863"/>
      <c r="L44" s="864"/>
      <c r="M44" s="292"/>
      <c r="N44" s="292"/>
      <c r="O44" s="292"/>
      <c r="P44" s="865"/>
      <c r="Q44" s="866"/>
      <c r="R44" s="867"/>
      <c r="S44" s="868"/>
      <c r="T44" s="866"/>
      <c r="U44" s="867"/>
      <c r="V44" s="868"/>
      <c r="W44" s="866"/>
      <c r="X44" s="867"/>
      <c r="Y44" s="868"/>
      <c r="Z44" s="869"/>
      <c r="AA44" s="870"/>
      <c r="AB44" s="871"/>
      <c r="AC44" s="875"/>
      <c r="AD44" s="875"/>
      <c r="AE44" s="1091"/>
      <c r="AF44" s="875"/>
      <c r="AG44" s="875"/>
      <c r="AH44" s="1091"/>
      <c r="AI44" s="875"/>
      <c r="AJ44" s="875"/>
      <c r="AK44" s="1091"/>
      <c r="AL44" s="875"/>
      <c r="AM44" s="875"/>
      <c r="AN44" s="1091"/>
      <c r="AO44" s="875"/>
      <c r="AP44" s="875"/>
      <c r="AQ44" s="875"/>
      <c r="AR44" s="875"/>
      <c r="AS44" s="875"/>
      <c r="AT44" s="875"/>
      <c r="AU44" s="875"/>
      <c r="AV44" s="875"/>
      <c r="AW44" s="875"/>
      <c r="AX44" s="875"/>
      <c r="AY44" s="875"/>
      <c r="AZ44" s="875"/>
      <c r="BA44" s="1092"/>
      <c r="BB44" s="1092"/>
      <c r="BC44" s="1092"/>
      <c r="BD44" s="1092"/>
      <c r="BE44" s="1092"/>
      <c r="BF44" s="1092"/>
      <c r="BG44" s="1092"/>
      <c r="BH44" s="1092"/>
      <c r="BI44" s="1092"/>
      <c r="BJ44" s="1092"/>
      <c r="BK44" s="1092"/>
      <c r="BL44" s="1092"/>
      <c r="BM44" s="1092"/>
      <c r="BN44" s="1092"/>
      <c r="BO44" s="1092"/>
      <c r="BP44" s="1092"/>
      <c r="BQ44" s="1092"/>
      <c r="BR44" s="1092"/>
      <c r="BS44" s="1092"/>
      <c r="BT44" s="1092"/>
      <c r="BU44" s="1092"/>
      <c r="BV44" s="1092"/>
      <c r="BW44" s="1092"/>
      <c r="BX44" s="1092"/>
      <c r="BY44" s="1092"/>
      <c r="BZ44" s="1092"/>
      <c r="CA44" s="1092"/>
      <c r="CB44" s="1092"/>
      <c r="CC44" s="1092"/>
      <c r="CD44" s="1092"/>
      <c r="CE44" s="1092"/>
      <c r="CF44" s="1092"/>
      <c r="CG44" s="1092"/>
      <c r="CH44" s="1092"/>
      <c r="CI44" s="1092"/>
      <c r="CJ44" s="1092"/>
      <c r="CK44" s="1092"/>
      <c r="CL44" s="1092"/>
      <c r="CM44" s="1092"/>
      <c r="CN44" s="1092"/>
      <c r="CO44" s="1092"/>
      <c r="CP44" s="1092"/>
      <c r="CQ44" s="1092"/>
      <c r="CR44" s="1092"/>
      <c r="CS44" s="1092"/>
      <c r="CT44" s="1092"/>
      <c r="CU44" s="1092"/>
      <c r="CV44" s="1092"/>
      <c r="CW44" s="1092"/>
      <c r="CX44" s="1092"/>
      <c r="CY44" s="1092"/>
      <c r="CZ44" s="1092"/>
      <c r="DA44" s="1092"/>
      <c r="DB44" s="1092"/>
      <c r="DC44" s="1092"/>
      <c r="DD44" s="1092"/>
      <c r="DE44" s="1092"/>
      <c r="DF44" s="1092"/>
      <c r="DG44" s="1092"/>
      <c r="DH44" s="1092"/>
      <c r="DI44" s="1092"/>
      <c r="DJ44" s="1092"/>
      <c r="DK44" s="1092"/>
      <c r="DL44" s="1092"/>
      <c r="DM44" s="1092"/>
      <c r="DN44" s="1092"/>
      <c r="DO44" s="1092"/>
      <c r="DP44" s="1092"/>
      <c r="DQ44" s="1092"/>
      <c r="DR44" s="1092"/>
      <c r="DS44" s="1092"/>
      <c r="DT44" s="1092"/>
      <c r="DU44" s="1092"/>
      <c r="DV44" s="1092"/>
      <c r="DW44" s="1092"/>
      <c r="DX44" s="1092"/>
      <c r="DY44" s="1092"/>
      <c r="DZ44" s="1092"/>
      <c r="EA44" s="1092"/>
      <c r="EB44" s="1092"/>
      <c r="EC44" s="1092"/>
      <c r="ED44" s="186"/>
      <c r="EE44" s="186"/>
      <c r="EF44" s="186"/>
    </row>
    <row r="45" ht="15.0" customHeight="1" outlineLevel="1">
      <c r="A45" s="60">
        <v>43.0</v>
      </c>
      <c r="B45" s="747" t="s">
        <v>187</v>
      </c>
      <c r="C45" s="747" t="s">
        <v>188</v>
      </c>
      <c r="D45" s="71" t="s">
        <v>85</v>
      </c>
      <c r="E45" s="146" t="s">
        <v>176</v>
      </c>
      <c r="F45" s="72">
        <v>1113.0</v>
      </c>
      <c r="G45" s="139" t="s">
        <v>176</v>
      </c>
      <c r="H45" s="139">
        <v>1113.0</v>
      </c>
      <c r="I45" s="126" t="str">
        <f>IFERROR(VLOOKUP(C42:C184,'R22 RELATÓRIO ACC'!B:F,5,FALSE),"NOT PUBLISHED")</f>
        <v>V36</v>
      </c>
      <c r="J45" s="126" t="str">
        <f>IFERROR(VLOOKUP(C42:C184,'R22 RELATÓRIO ACC'!B:P,15,FALSE),"NOT PUBLISHED")</f>
        <v>08/05/2026</v>
      </c>
      <c r="K45" s="746" t="str">
        <f>IFERROR(VLOOKUP(B42:B184,'RELATÓRIO ACC'!B:F,5,FALSE),"NOT PUBLISHED")</f>
        <v>V2</v>
      </c>
      <c r="L45" s="748" t="str">
        <f>IFERROR(VLOOKUP(B42:B184,'RELATÓRIO ACC'!B:P,15,FALSE),"NOT PUBLISHED")</f>
        <v>03/06/2026</v>
      </c>
      <c r="M45" s="141" t="s">
        <v>501</v>
      </c>
      <c r="N45" s="756" t="s">
        <v>491</v>
      </c>
      <c r="O45" s="740" t="s">
        <v>482</v>
      </c>
      <c r="P45" s="751" t="s">
        <v>146</v>
      </c>
      <c r="Q45" s="746" t="s">
        <v>477</v>
      </c>
      <c r="R45" s="766" t="s">
        <v>476</v>
      </c>
      <c r="S45" s="1094">
        <v>0.44</v>
      </c>
      <c r="T45" s="746" t="s">
        <v>477</v>
      </c>
      <c r="U45" s="766" t="s">
        <v>476</v>
      </c>
      <c r="V45" s="1094">
        <v>0.47</v>
      </c>
      <c r="W45" s="746" t="s">
        <v>477</v>
      </c>
      <c r="X45" s="766" t="s">
        <v>476</v>
      </c>
      <c r="Y45" s="773">
        <v>0.92</v>
      </c>
      <c r="Z45" s="746" t="s">
        <v>484</v>
      </c>
      <c r="AA45" s="759" t="s">
        <v>476</v>
      </c>
      <c r="AB45" s="768">
        <v>1.0</v>
      </c>
      <c r="AC45" s="746" t="s">
        <v>484</v>
      </c>
      <c r="AD45" s="759" t="s">
        <v>476</v>
      </c>
      <c r="AE45" s="1057">
        <v>1.0</v>
      </c>
      <c r="AF45" s="746" t="s">
        <v>485</v>
      </c>
      <c r="AG45" s="759" t="s">
        <v>476</v>
      </c>
      <c r="AH45" s="1057">
        <v>1.0</v>
      </c>
      <c r="AI45" s="746" t="s">
        <v>485</v>
      </c>
      <c r="AJ45" s="759" t="s">
        <v>476</v>
      </c>
      <c r="AK45" s="1057">
        <v>1.0</v>
      </c>
      <c r="AL45" s="746" t="s">
        <v>485</v>
      </c>
      <c r="AM45" s="759" t="s">
        <v>476</v>
      </c>
      <c r="AN45" s="1057">
        <v>1.0</v>
      </c>
      <c r="AO45" s="68" t="s">
        <v>485</v>
      </c>
      <c r="AP45" s="791" t="s">
        <v>476</v>
      </c>
      <c r="AQ45" s="135">
        <v>1.0</v>
      </c>
      <c r="AR45" s="68" t="s">
        <v>485</v>
      </c>
      <c r="AS45" s="791" t="s">
        <v>476</v>
      </c>
      <c r="AT45" s="135">
        <v>1.0</v>
      </c>
      <c r="AU45" s="68" t="s">
        <v>485</v>
      </c>
      <c r="AV45" s="791" t="s">
        <v>476</v>
      </c>
      <c r="AW45" s="135">
        <v>1.0</v>
      </c>
      <c r="AX45" s="68" t="s">
        <v>485</v>
      </c>
      <c r="AY45" s="791" t="s">
        <v>476</v>
      </c>
      <c r="AZ45" s="135">
        <v>1.0</v>
      </c>
      <c r="BA45" s="1064" t="s">
        <v>485</v>
      </c>
      <c r="BB45" s="1065" t="s">
        <v>476</v>
      </c>
      <c r="BC45" s="1066">
        <v>1.0</v>
      </c>
      <c r="BD45" s="1064" t="s">
        <v>485</v>
      </c>
      <c r="BE45" s="1065" t="s">
        <v>476</v>
      </c>
      <c r="BF45" s="1066">
        <v>1.0</v>
      </c>
      <c r="BG45" s="1064" t="s">
        <v>485</v>
      </c>
      <c r="BH45" s="1065" t="s">
        <v>476</v>
      </c>
      <c r="BI45" s="1066">
        <v>1.0</v>
      </c>
      <c r="BJ45" s="1064" t="s">
        <v>485</v>
      </c>
      <c r="BK45" s="1065" t="s">
        <v>476</v>
      </c>
      <c r="BL45" s="1066">
        <v>1.0</v>
      </c>
      <c r="BM45" s="1064" t="s">
        <v>485</v>
      </c>
      <c r="BN45" s="1065" t="s">
        <v>476</v>
      </c>
      <c r="BO45" s="1066">
        <v>1.0</v>
      </c>
      <c r="BP45" s="1064" t="s">
        <v>485</v>
      </c>
      <c r="BQ45" s="1065" t="s">
        <v>476</v>
      </c>
      <c r="BR45" s="1066">
        <v>1.0</v>
      </c>
      <c r="BS45" s="1064" t="s">
        <v>485</v>
      </c>
      <c r="BT45" s="1065" t="s">
        <v>476</v>
      </c>
      <c r="BU45" s="1066">
        <v>1.0</v>
      </c>
      <c r="BV45" s="1064" t="s">
        <v>485</v>
      </c>
      <c r="BW45" s="1065" t="s">
        <v>476</v>
      </c>
      <c r="BX45" s="1066">
        <v>1.0</v>
      </c>
      <c r="BY45" s="1064" t="s">
        <v>485</v>
      </c>
      <c r="BZ45" s="1065" t="s">
        <v>476</v>
      </c>
      <c r="CA45" s="1066">
        <v>1.0</v>
      </c>
      <c r="CB45" s="1064" t="s">
        <v>485</v>
      </c>
      <c r="CC45" s="1065" t="s">
        <v>476</v>
      </c>
      <c r="CD45" s="1066">
        <v>1.0</v>
      </c>
      <c r="CE45" s="1064" t="s">
        <v>485</v>
      </c>
      <c r="CF45" s="1065" t="s">
        <v>476</v>
      </c>
      <c r="CG45" s="1066">
        <v>1.0</v>
      </c>
      <c r="CH45" s="1064" t="s">
        <v>485</v>
      </c>
      <c r="CI45" s="1065" t="s">
        <v>476</v>
      </c>
      <c r="CJ45" s="1066">
        <v>1.0</v>
      </c>
      <c r="CK45" s="1064" t="s">
        <v>485</v>
      </c>
      <c r="CL45" s="1065" t="s">
        <v>476</v>
      </c>
      <c r="CM45" s="1066">
        <v>1.0</v>
      </c>
      <c r="CN45" s="1064" t="s">
        <v>485</v>
      </c>
      <c r="CO45" s="1065" t="s">
        <v>476</v>
      </c>
      <c r="CP45" s="1066">
        <v>1.0</v>
      </c>
      <c r="CQ45" s="1064" t="s">
        <v>485</v>
      </c>
      <c r="CR45" s="1065" t="s">
        <v>476</v>
      </c>
      <c r="CS45" s="1066">
        <v>1.0</v>
      </c>
      <c r="CT45" s="1064" t="s">
        <v>485</v>
      </c>
      <c r="CU45" s="1065" t="s">
        <v>476</v>
      </c>
      <c r="CV45" s="1066">
        <v>1.0</v>
      </c>
      <c r="CW45" s="1064" t="s">
        <v>485</v>
      </c>
      <c r="CX45" s="1065" t="s">
        <v>476</v>
      </c>
      <c r="CY45" s="1066">
        <v>1.0</v>
      </c>
      <c r="CZ45" s="1064" t="s">
        <v>485</v>
      </c>
      <c r="DA45" s="1065" t="s">
        <v>476</v>
      </c>
      <c r="DB45" s="1066">
        <v>1.0</v>
      </c>
      <c r="DC45" s="1064" t="s">
        <v>485</v>
      </c>
      <c r="DD45" s="1065" t="s">
        <v>476</v>
      </c>
      <c r="DE45" s="1066">
        <v>1.0</v>
      </c>
      <c r="DF45" s="1064" t="s">
        <v>485</v>
      </c>
      <c r="DG45" s="1065" t="s">
        <v>476</v>
      </c>
      <c r="DH45" s="1066">
        <v>1.0</v>
      </c>
      <c r="DI45" s="1064" t="s">
        <v>485</v>
      </c>
      <c r="DJ45" s="1065" t="s">
        <v>476</v>
      </c>
      <c r="DK45" s="1066">
        <v>1.0</v>
      </c>
      <c r="DL45" s="1064" t="s">
        <v>485</v>
      </c>
      <c r="DM45" s="1065" t="s">
        <v>476</v>
      </c>
      <c r="DN45" s="1066">
        <v>1.0</v>
      </c>
      <c r="DO45" s="1064" t="s">
        <v>485</v>
      </c>
      <c r="DP45" s="1065" t="s">
        <v>476</v>
      </c>
      <c r="DQ45" s="1066">
        <v>1.0</v>
      </c>
      <c r="DR45" s="1064" t="s">
        <v>485</v>
      </c>
      <c r="DS45" s="1065" t="s">
        <v>476</v>
      </c>
      <c r="DT45" s="1066">
        <v>1.0</v>
      </c>
      <c r="DU45" s="1064" t="s">
        <v>485</v>
      </c>
      <c r="DV45" s="1065" t="s">
        <v>476</v>
      </c>
      <c r="DW45" s="1066">
        <v>1.0</v>
      </c>
      <c r="DX45" s="1064" t="s">
        <v>485</v>
      </c>
      <c r="DY45" s="1065" t="s">
        <v>476</v>
      </c>
      <c r="DZ45" s="1066">
        <v>1.0</v>
      </c>
      <c r="EA45" s="1064" t="s">
        <v>485</v>
      </c>
      <c r="EB45" s="1065" t="s">
        <v>476</v>
      </c>
      <c r="EC45" s="1066">
        <v>1.0</v>
      </c>
      <c r="ED45" s="111"/>
      <c r="EE45" s="111"/>
      <c r="EF45" s="111"/>
    </row>
    <row r="46" ht="15.0" hidden="1" customHeight="1">
      <c r="A46" s="60">
        <v>67.0</v>
      </c>
      <c r="B46" s="899" t="s">
        <v>233</v>
      </c>
      <c r="C46" s="319"/>
      <c r="D46" s="320"/>
      <c r="E46" s="320"/>
      <c r="F46" s="320"/>
      <c r="G46" s="320"/>
      <c r="H46" s="321"/>
      <c r="I46" s="320"/>
      <c r="J46" s="320"/>
      <c r="K46" s="343"/>
      <c r="L46" s="331"/>
      <c r="M46" s="320"/>
      <c r="N46" s="320"/>
      <c r="O46" s="320"/>
      <c r="P46" s="326"/>
      <c r="Q46" s="343"/>
      <c r="R46" s="320"/>
      <c r="S46" s="320"/>
      <c r="T46" s="343"/>
      <c r="U46" s="320"/>
      <c r="V46" s="320"/>
      <c r="W46" s="343"/>
      <c r="X46" s="320"/>
      <c r="Y46" s="320"/>
      <c r="Z46" s="902"/>
      <c r="AA46" s="323"/>
      <c r="AB46" s="903"/>
      <c r="AC46" s="907"/>
      <c r="AD46" s="907"/>
      <c r="AE46" s="1095"/>
      <c r="AF46" s="907"/>
      <c r="AG46" s="907"/>
      <c r="AH46" s="907"/>
      <c r="AI46" s="907"/>
      <c r="AJ46" s="907"/>
      <c r="AK46" s="907"/>
      <c r="AL46" s="907"/>
      <c r="AM46" s="907"/>
      <c r="AN46" s="907"/>
      <c r="AO46" s="907"/>
      <c r="AP46" s="907"/>
      <c r="AQ46" s="907"/>
      <c r="AR46" s="907"/>
      <c r="AS46" s="907"/>
      <c r="AT46" s="907"/>
      <c r="AU46" s="907"/>
      <c r="AV46" s="907"/>
      <c r="AW46" s="907"/>
      <c r="AX46" s="907"/>
      <c r="AY46" s="907"/>
      <c r="AZ46" s="907"/>
      <c r="BA46" s="1096"/>
      <c r="BB46" s="1096"/>
      <c r="BC46" s="1096"/>
      <c r="BD46" s="1096"/>
      <c r="BE46" s="1096"/>
      <c r="BF46" s="1096"/>
      <c r="BG46" s="1096"/>
      <c r="BH46" s="1096"/>
      <c r="BI46" s="1096"/>
      <c r="BJ46" s="1096"/>
      <c r="BK46" s="1096"/>
      <c r="BL46" s="1096"/>
      <c r="BM46" s="1096"/>
      <c r="BN46" s="1096"/>
      <c r="BO46" s="1096"/>
      <c r="BP46" s="1096"/>
      <c r="BQ46" s="1096"/>
      <c r="BR46" s="1096"/>
      <c r="BS46" s="1096"/>
      <c r="BT46" s="1096"/>
      <c r="BU46" s="1096"/>
      <c r="BV46" s="1096"/>
      <c r="BW46" s="1096"/>
      <c r="BX46" s="1096"/>
      <c r="BY46" s="1096"/>
      <c r="BZ46" s="1096"/>
      <c r="CA46" s="1096"/>
      <c r="CB46" s="1096"/>
      <c r="CC46" s="1096"/>
      <c r="CD46" s="1096"/>
      <c r="CE46" s="1096"/>
      <c r="CF46" s="1096"/>
      <c r="CG46" s="1096"/>
      <c r="CH46" s="1096"/>
      <c r="CI46" s="1096"/>
      <c r="CJ46" s="1096"/>
      <c r="CK46" s="1096"/>
      <c r="CL46" s="1096"/>
      <c r="CM46" s="1096"/>
      <c r="CN46" s="1096"/>
      <c r="CO46" s="1096"/>
      <c r="CP46" s="1096"/>
      <c r="CQ46" s="1096"/>
      <c r="CR46" s="1096"/>
      <c r="CS46" s="1096"/>
      <c r="CT46" s="1096"/>
      <c r="CU46" s="1096"/>
      <c r="CV46" s="1096"/>
      <c r="CW46" s="1096"/>
      <c r="CX46" s="1096"/>
      <c r="CY46" s="1096"/>
      <c r="CZ46" s="1096"/>
      <c r="DA46" s="1096"/>
      <c r="DB46" s="1096"/>
      <c r="DC46" s="1096"/>
      <c r="DD46" s="1096"/>
      <c r="DE46" s="1096"/>
      <c r="DF46" s="1096"/>
      <c r="DG46" s="1096"/>
      <c r="DH46" s="1096"/>
      <c r="DI46" s="1096"/>
      <c r="DJ46" s="1096"/>
      <c r="DK46" s="1096"/>
      <c r="DL46" s="1096"/>
      <c r="DM46" s="1096"/>
      <c r="DN46" s="1096"/>
      <c r="DO46" s="1096"/>
      <c r="DP46" s="1096"/>
      <c r="DQ46" s="1096"/>
      <c r="DR46" s="1096"/>
      <c r="DS46" s="1096"/>
      <c r="DT46" s="1096"/>
      <c r="DU46" s="1096"/>
      <c r="DV46" s="1096"/>
      <c r="DW46" s="1096"/>
      <c r="DX46" s="1096"/>
      <c r="DY46" s="1096"/>
      <c r="DZ46" s="1096"/>
      <c r="EA46" s="1096"/>
      <c r="EB46" s="1096"/>
      <c r="EC46" s="1096"/>
      <c r="ED46" s="68"/>
      <c r="EE46" s="68"/>
      <c r="EF46" s="68"/>
    </row>
    <row r="47" ht="15.0" customHeight="1" outlineLevel="1">
      <c r="A47" s="60">
        <v>46.0</v>
      </c>
      <c r="B47" s="747" t="s">
        <v>192</v>
      </c>
      <c r="C47" s="747" t="s">
        <v>193</v>
      </c>
      <c r="D47" s="71" t="s">
        <v>85</v>
      </c>
      <c r="E47" s="146" t="s">
        <v>180</v>
      </c>
      <c r="F47" s="72">
        <v>1114.0</v>
      </c>
      <c r="G47" s="139" t="s">
        <v>180</v>
      </c>
      <c r="H47" s="139">
        <v>1114.0</v>
      </c>
      <c r="I47" s="126" t="str">
        <f>IFERROR(VLOOKUP(C44:C186,'R22 RELATÓRIO ACC'!B:F,5,FALSE),"NOT PUBLISHED")</f>
        <v>V18</v>
      </c>
      <c r="J47" s="126" t="str">
        <f>IFERROR(VLOOKUP(C44:C186,'R22 RELATÓRIO ACC'!B:P,15,FALSE),"NOT PUBLISHED")</f>
        <v>30/04/2026</v>
      </c>
      <c r="K47" s="746" t="str">
        <f>IFERROR(VLOOKUP(B44:B186,'RELATÓRIO ACC'!B:F,5,FALSE),"NOT PUBLISHED")</f>
        <v>V3</v>
      </c>
      <c r="L47" s="748" t="str">
        <f>IFERROR(VLOOKUP(B44:B186,'RELATÓRIO ACC'!B:P,15,FALSE),"NOT PUBLISHED")</f>
        <v>29/06/2026</v>
      </c>
      <c r="M47" s="141" t="s">
        <v>492</v>
      </c>
      <c r="N47" s="756" t="s">
        <v>499</v>
      </c>
      <c r="O47" s="740" t="s">
        <v>482</v>
      </c>
      <c r="P47" s="751" t="s">
        <v>194</v>
      </c>
      <c r="Q47" s="746" t="s">
        <v>477</v>
      </c>
      <c r="R47" s="766" t="s">
        <v>476</v>
      </c>
      <c r="S47" s="773">
        <v>0.43</v>
      </c>
      <c r="T47" s="746" t="s">
        <v>477</v>
      </c>
      <c r="U47" s="766" t="s">
        <v>476</v>
      </c>
      <c r="V47" s="764">
        <v>0.9</v>
      </c>
      <c r="W47" s="746" t="s">
        <v>477</v>
      </c>
      <c r="X47" s="792" t="s">
        <v>476</v>
      </c>
      <c r="Y47" s="773">
        <v>0.95</v>
      </c>
      <c r="Z47" s="746" t="s">
        <v>484</v>
      </c>
      <c r="AA47" s="775" t="s">
        <v>476</v>
      </c>
      <c r="AB47" s="762">
        <v>1.0</v>
      </c>
      <c r="AC47" s="746" t="s">
        <v>484</v>
      </c>
      <c r="AD47" s="766" t="s">
        <v>476</v>
      </c>
      <c r="AE47" s="764">
        <v>1.0</v>
      </c>
      <c r="AF47" s="746" t="s">
        <v>485</v>
      </c>
      <c r="AG47" s="766" t="s">
        <v>476</v>
      </c>
      <c r="AH47" s="764">
        <v>1.0</v>
      </c>
      <c r="AI47" s="746" t="s">
        <v>485</v>
      </c>
      <c r="AJ47" s="766" t="s">
        <v>476</v>
      </c>
      <c r="AK47" s="764">
        <v>1.0</v>
      </c>
      <c r="AL47" s="746" t="s">
        <v>485</v>
      </c>
      <c r="AM47" s="766" t="s">
        <v>476</v>
      </c>
      <c r="AN47" s="764">
        <v>1.0</v>
      </c>
      <c r="AO47" s="68" t="s">
        <v>485</v>
      </c>
      <c r="AP47" s="779" t="s">
        <v>476</v>
      </c>
      <c r="AQ47" s="135">
        <v>1.0</v>
      </c>
      <c r="AR47" s="68" t="s">
        <v>485</v>
      </c>
      <c r="AS47" s="779" t="s">
        <v>476</v>
      </c>
      <c r="AT47" s="135">
        <v>1.0</v>
      </c>
      <c r="AU47" s="68" t="s">
        <v>485</v>
      </c>
      <c r="AV47" s="779" t="s">
        <v>476</v>
      </c>
      <c r="AW47" s="135">
        <v>1.0</v>
      </c>
      <c r="AX47" s="68" t="s">
        <v>485</v>
      </c>
      <c r="AY47" s="779" t="s">
        <v>476</v>
      </c>
      <c r="AZ47" s="135">
        <v>1.0</v>
      </c>
      <c r="BA47" s="1064" t="s">
        <v>485</v>
      </c>
      <c r="BB47" s="1084" t="s">
        <v>476</v>
      </c>
      <c r="BC47" s="1066">
        <v>1.0</v>
      </c>
      <c r="BD47" s="1064" t="s">
        <v>485</v>
      </c>
      <c r="BE47" s="1084" t="s">
        <v>476</v>
      </c>
      <c r="BF47" s="1066">
        <v>1.0</v>
      </c>
      <c r="BG47" s="1064" t="s">
        <v>485</v>
      </c>
      <c r="BH47" s="1084" t="s">
        <v>476</v>
      </c>
      <c r="BI47" s="1066">
        <v>1.0</v>
      </c>
      <c r="BJ47" s="1064" t="s">
        <v>485</v>
      </c>
      <c r="BK47" s="1084" t="s">
        <v>476</v>
      </c>
      <c r="BL47" s="1066">
        <v>1.0</v>
      </c>
      <c r="BM47" s="1064" t="s">
        <v>485</v>
      </c>
      <c r="BN47" s="1084" t="s">
        <v>476</v>
      </c>
      <c r="BO47" s="1066">
        <v>1.0</v>
      </c>
      <c r="BP47" s="1064" t="s">
        <v>485</v>
      </c>
      <c r="BQ47" s="1084" t="s">
        <v>476</v>
      </c>
      <c r="BR47" s="1066">
        <v>1.0</v>
      </c>
      <c r="BS47" s="1064" t="s">
        <v>485</v>
      </c>
      <c r="BT47" s="1084" t="s">
        <v>476</v>
      </c>
      <c r="BU47" s="1066">
        <v>1.0</v>
      </c>
      <c r="BV47" s="1064" t="s">
        <v>485</v>
      </c>
      <c r="BW47" s="1084" t="s">
        <v>476</v>
      </c>
      <c r="BX47" s="1066">
        <v>1.0</v>
      </c>
      <c r="BY47" s="1064" t="s">
        <v>485</v>
      </c>
      <c r="BZ47" s="1084" t="s">
        <v>476</v>
      </c>
      <c r="CA47" s="1066">
        <v>1.0</v>
      </c>
      <c r="CB47" s="1064" t="s">
        <v>485</v>
      </c>
      <c r="CC47" s="1084" t="s">
        <v>476</v>
      </c>
      <c r="CD47" s="1066">
        <v>1.0</v>
      </c>
      <c r="CE47" s="1064" t="s">
        <v>485</v>
      </c>
      <c r="CF47" s="1084" t="s">
        <v>476</v>
      </c>
      <c r="CG47" s="1066">
        <v>1.0</v>
      </c>
      <c r="CH47" s="1064" t="s">
        <v>485</v>
      </c>
      <c r="CI47" s="1084" t="s">
        <v>476</v>
      </c>
      <c r="CJ47" s="1066">
        <v>1.0</v>
      </c>
      <c r="CK47" s="1064" t="s">
        <v>485</v>
      </c>
      <c r="CL47" s="1084" t="s">
        <v>476</v>
      </c>
      <c r="CM47" s="1066">
        <v>1.0</v>
      </c>
      <c r="CN47" s="1064" t="s">
        <v>485</v>
      </c>
      <c r="CO47" s="1084" t="s">
        <v>476</v>
      </c>
      <c r="CP47" s="1066">
        <v>1.0</v>
      </c>
      <c r="CQ47" s="1064" t="s">
        <v>485</v>
      </c>
      <c r="CR47" s="1084" t="s">
        <v>476</v>
      </c>
      <c r="CS47" s="1066">
        <v>1.0</v>
      </c>
      <c r="CT47" s="1064" t="s">
        <v>485</v>
      </c>
      <c r="CU47" s="1084" t="s">
        <v>476</v>
      </c>
      <c r="CV47" s="1066">
        <v>1.0</v>
      </c>
      <c r="CW47" s="1064" t="s">
        <v>485</v>
      </c>
      <c r="CX47" s="1084" t="s">
        <v>476</v>
      </c>
      <c r="CY47" s="1066">
        <v>1.0</v>
      </c>
      <c r="CZ47" s="1064" t="s">
        <v>485</v>
      </c>
      <c r="DA47" s="1084" t="s">
        <v>476</v>
      </c>
      <c r="DB47" s="1066">
        <v>1.0</v>
      </c>
      <c r="DC47" s="1064" t="s">
        <v>485</v>
      </c>
      <c r="DD47" s="1084" t="s">
        <v>476</v>
      </c>
      <c r="DE47" s="1066">
        <v>1.0</v>
      </c>
      <c r="DF47" s="1064" t="s">
        <v>485</v>
      </c>
      <c r="DG47" s="1084" t="s">
        <v>476</v>
      </c>
      <c r="DH47" s="1066">
        <v>1.0</v>
      </c>
      <c r="DI47" s="1064" t="s">
        <v>485</v>
      </c>
      <c r="DJ47" s="1084" t="s">
        <v>476</v>
      </c>
      <c r="DK47" s="1066">
        <v>1.0</v>
      </c>
      <c r="DL47" s="1064" t="s">
        <v>485</v>
      </c>
      <c r="DM47" s="1084" t="s">
        <v>476</v>
      </c>
      <c r="DN47" s="1066">
        <v>1.0</v>
      </c>
      <c r="DO47" s="1064" t="s">
        <v>485</v>
      </c>
      <c r="DP47" s="1084" t="s">
        <v>476</v>
      </c>
      <c r="DQ47" s="1066">
        <v>1.0</v>
      </c>
      <c r="DR47" s="1064" t="s">
        <v>485</v>
      </c>
      <c r="DS47" s="1084" t="s">
        <v>476</v>
      </c>
      <c r="DT47" s="1066">
        <v>1.0</v>
      </c>
      <c r="DU47" s="1064" t="s">
        <v>485</v>
      </c>
      <c r="DV47" s="1084" t="s">
        <v>476</v>
      </c>
      <c r="DW47" s="1066">
        <v>1.0</v>
      </c>
      <c r="DX47" s="1064" t="s">
        <v>485</v>
      </c>
      <c r="DY47" s="1084" t="s">
        <v>476</v>
      </c>
      <c r="DZ47" s="1066">
        <v>1.0</v>
      </c>
      <c r="EA47" s="1064" t="s">
        <v>485</v>
      </c>
      <c r="EB47" s="1084" t="s">
        <v>476</v>
      </c>
      <c r="EC47" s="1066">
        <v>1.0</v>
      </c>
      <c r="ED47" s="111"/>
      <c r="EE47" s="111"/>
      <c r="EF47" s="111"/>
    </row>
    <row r="48" ht="15.0" hidden="1" customHeight="1">
      <c r="A48" s="60">
        <v>70.0</v>
      </c>
      <c r="B48" s="1097" t="s">
        <v>238</v>
      </c>
      <c r="C48" s="346"/>
      <c r="D48" s="347"/>
      <c r="E48" s="347"/>
      <c r="F48" s="347"/>
      <c r="G48" s="347"/>
      <c r="H48" s="348"/>
      <c r="I48" s="347"/>
      <c r="J48" s="347"/>
      <c r="K48" s="917"/>
      <c r="L48" s="1098"/>
      <c r="M48" s="347"/>
      <c r="N48" s="347"/>
      <c r="O48" s="347"/>
      <c r="P48" s="913"/>
      <c r="Q48" s="918"/>
      <c r="R48" s="914"/>
      <c r="S48" s="916"/>
      <c r="T48" s="911"/>
      <c r="U48" s="914"/>
      <c r="V48" s="916"/>
      <c r="W48" s="911"/>
      <c r="X48" s="914"/>
      <c r="Y48" s="916"/>
      <c r="Z48" s="1099"/>
      <c r="AA48" s="1100"/>
      <c r="AB48" s="919"/>
      <c r="AC48" s="922"/>
      <c r="AD48" s="922"/>
      <c r="AE48" s="1101"/>
      <c r="AF48" s="922"/>
      <c r="AG48" s="922"/>
      <c r="AH48" s="922"/>
      <c r="AI48" s="922"/>
      <c r="AJ48" s="922"/>
      <c r="AK48" s="922"/>
      <c r="AL48" s="922"/>
      <c r="AM48" s="922"/>
      <c r="AN48" s="922"/>
      <c r="AO48" s="922"/>
      <c r="AP48" s="922"/>
      <c r="AQ48" s="922"/>
      <c r="AR48" s="922"/>
      <c r="AS48" s="922"/>
      <c r="AT48" s="922"/>
      <c r="AU48" s="922"/>
      <c r="AV48" s="922"/>
      <c r="AW48" s="922"/>
      <c r="AX48" s="922"/>
      <c r="AY48" s="922"/>
      <c r="AZ48" s="922"/>
      <c r="BA48" s="1102"/>
      <c r="BB48" s="1102"/>
      <c r="BC48" s="1102"/>
      <c r="BD48" s="1102"/>
      <c r="BE48" s="1102"/>
      <c r="BF48" s="1102"/>
      <c r="BG48" s="1102"/>
      <c r="BH48" s="1102"/>
      <c r="BI48" s="1102"/>
      <c r="BJ48" s="1102"/>
      <c r="BK48" s="1102"/>
      <c r="BL48" s="1102"/>
      <c r="BM48" s="1102"/>
      <c r="BN48" s="1102"/>
      <c r="BO48" s="1102"/>
      <c r="BP48" s="1102"/>
      <c r="BQ48" s="1102"/>
      <c r="BR48" s="1102"/>
      <c r="BS48" s="1102"/>
      <c r="BT48" s="1102"/>
      <c r="BU48" s="1102"/>
      <c r="BV48" s="1102"/>
      <c r="BW48" s="1102"/>
      <c r="BX48" s="1102"/>
      <c r="BY48" s="1102"/>
      <c r="BZ48" s="1102"/>
      <c r="CA48" s="1102"/>
      <c r="CB48" s="1102"/>
      <c r="CC48" s="1102"/>
      <c r="CD48" s="1102"/>
      <c r="CE48" s="1102"/>
      <c r="CF48" s="1102"/>
      <c r="CG48" s="1102"/>
      <c r="CH48" s="1102"/>
      <c r="CI48" s="1102"/>
      <c r="CJ48" s="1102"/>
      <c r="CK48" s="1102"/>
      <c r="CL48" s="1102"/>
      <c r="CM48" s="1102"/>
      <c r="CN48" s="1102"/>
      <c r="CO48" s="1102"/>
      <c r="CP48" s="1102"/>
      <c r="CQ48" s="1102"/>
      <c r="CR48" s="1102"/>
      <c r="CS48" s="1102"/>
      <c r="CT48" s="1102"/>
      <c r="CU48" s="1102"/>
      <c r="CV48" s="1102"/>
      <c r="CW48" s="1102"/>
      <c r="CX48" s="1102"/>
      <c r="CY48" s="1102"/>
      <c r="CZ48" s="1102"/>
      <c r="DA48" s="1102"/>
      <c r="DB48" s="1102"/>
      <c r="DC48" s="1102"/>
      <c r="DD48" s="1102"/>
      <c r="DE48" s="1102"/>
      <c r="DF48" s="1102"/>
      <c r="DG48" s="1102"/>
      <c r="DH48" s="1102"/>
      <c r="DI48" s="1102"/>
      <c r="DJ48" s="1102"/>
      <c r="DK48" s="1102"/>
      <c r="DL48" s="1102"/>
      <c r="DM48" s="1102"/>
      <c r="DN48" s="1102"/>
      <c r="DO48" s="1102"/>
      <c r="DP48" s="1102"/>
      <c r="DQ48" s="1102"/>
      <c r="DR48" s="1102"/>
      <c r="DS48" s="1102"/>
      <c r="DT48" s="1102"/>
      <c r="DU48" s="1102"/>
      <c r="DV48" s="1102"/>
      <c r="DW48" s="1102"/>
      <c r="DX48" s="1102"/>
      <c r="DY48" s="1102"/>
      <c r="DZ48" s="1102"/>
      <c r="EA48" s="1102"/>
      <c r="EB48" s="1102"/>
      <c r="EC48" s="1102"/>
      <c r="ED48" s="186"/>
      <c r="EE48" s="186"/>
      <c r="EF48" s="186"/>
    </row>
    <row r="49" ht="15.0" customHeight="1" outlineLevel="1">
      <c r="A49" s="60">
        <v>48.0</v>
      </c>
      <c r="B49" s="747" t="s">
        <v>196</v>
      </c>
      <c r="C49" s="747" t="s">
        <v>197</v>
      </c>
      <c r="D49" s="71" t="s">
        <v>85</v>
      </c>
      <c r="E49" s="146" t="s">
        <v>169</v>
      </c>
      <c r="F49" s="72">
        <v>1112.0</v>
      </c>
      <c r="G49" s="139" t="s">
        <v>170</v>
      </c>
      <c r="H49" s="139">
        <v>1129.0</v>
      </c>
      <c r="I49" s="126" t="str">
        <f>IFERROR(VLOOKUP(C46:C188,'R22 RELATÓRIO ACC'!B:F,5,FALSE),"NOT PUBLISHED")</f>
        <v>V33</v>
      </c>
      <c r="J49" s="126" t="str">
        <f>IFERROR(VLOOKUP(C46:C188,'R22 RELATÓRIO ACC'!B:P,15,FALSE),"NOT PUBLISHED")</f>
        <v>04/03/2026</v>
      </c>
      <c r="K49" s="746" t="str">
        <f>IFERROR(VLOOKUP(B46:B188,'RELATÓRIO ACC'!B:F,5,FALSE),"NOT PUBLISHED")</f>
        <v>V2</v>
      </c>
      <c r="L49" s="748" t="str">
        <f>IFERROR(VLOOKUP(B46:B188,'RELATÓRIO ACC'!B:P,15,FALSE),"NOT PUBLISHED")</f>
        <v>13/07/2026</v>
      </c>
      <c r="M49" s="141" t="s">
        <v>502</v>
      </c>
      <c r="N49" s="756" t="s">
        <v>503</v>
      </c>
      <c r="O49" s="740" t="s">
        <v>482</v>
      </c>
      <c r="P49" s="751" t="s">
        <v>102</v>
      </c>
      <c r="Q49" s="746" t="s">
        <v>477</v>
      </c>
      <c r="R49" s="766" t="s">
        <v>476</v>
      </c>
      <c r="S49" s="773">
        <v>0.5</v>
      </c>
      <c r="T49" s="746" t="s">
        <v>477</v>
      </c>
      <c r="U49" s="766" t="s">
        <v>476</v>
      </c>
      <c r="V49" s="764">
        <v>0.95</v>
      </c>
      <c r="W49" s="746" t="s">
        <v>484</v>
      </c>
      <c r="X49" s="766" t="s">
        <v>476</v>
      </c>
      <c r="Y49" s="773">
        <v>1.0</v>
      </c>
      <c r="Z49" s="746" t="s">
        <v>484</v>
      </c>
      <c r="AA49" s="775" t="s">
        <v>476</v>
      </c>
      <c r="AB49" s="768">
        <v>1.0</v>
      </c>
      <c r="AC49" s="746" t="s">
        <v>484</v>
      </c>
      <c r="AD49" s="766" t="s">
        <v>476</v>
      </c>
      <c r="AE49" s="764">
        <v>1.0</v>
      </c>
      <c r="AF49" s="746" t="s">
        <v>485</v>
      </c>
      <c r="AG49" s="766" t="s">
        <v>476</v>
      </c>
      <c r="AH49" s="764">
        <v>1.0</v>
      </c>
      <c r="AI49" s="746" t="s">
        <v>485</v>
      </c>
      <c r="AJ49" s="766" t="s">
        <v>476</v>
      </c>
      <c r="AK49" s="764">
        <v>1.0</v>
      </c>
      <c r="AL49" s="746" t="s">
        <v>485</v>
      </c>
      <c r="AM49" s="766" t="s">
        <v>476</v>
      </c>
      <c r="AN49" s="764">
        <v>1.0</v>
      </c>
      <c r="AO49" s="68" t="s">
        <v>485</v>
      </c>
      <c r="AP49" s="779" t="s">
        <v>476</v>
      </c>
      <c r="AQ49" s="135">
        <v>1.0</v>
      </c>
      <c r="AR49" s="68" t="s">
        <v>485</v>
      </c>
      <c r="AS49" s="779" t="s">
        <v>476</v>
      </c>
      <c r="AT49" s="135">
        <v>1.0</v>
      </c>
      <c r="AU49" s="68" t="s">
        <v>485</v>
      </c>
      <c r="AV49" s="779" t="s">
        <v>476</v>
      </c>
      <c r="AW49" s="135">
        <v>1.0</v>
      </c>
      <c r="AX49" s="68" t="s">
        <v>485</v>
      </c>
      <c r="AY49" s="779" t="s">
        <v>476</v>
      </c>
      <c r="AZ49" s="135">
        <v>1.0</v>
      </c>
      <c r="BA49" s="1064" t="s">
        <v>485</v>
      </c>
      <c r="BB49" s="1084" t="s">
        <v>476</v>
      </c>
      <c r="BC49" s="1066">
        <v>1.0</v>
      </c>
      <c r="BD49" s="1064" t="s">
        <v>485</v>
      </c>
      <c r="BE49" s="1084" t="s">
        <v>476</v>
      </c>
      <c r="BF49" s="1066">
        <v>1.0</v>
      </c>
      <c r="BG49" s="1064" t="s">
        <v>485</v>
      </c>
      <c r="BH49" s="1084" t="s">
        <v>476</v>
      </c>
      <c r="BI49" s="1066">
        <v>1.0</v>
      </c>
      <c r="BJ49" s="1064" t="s">
        <v>485</v>
      </c>
      <c r="BK49" s="1084" t="s">
        <v>476</v>
      </c>
      <c r="BL49" s="1066">
        <v>1.0</v>
      </c>
      <c r="BM49" s="1064" t="s">
        <v>485</v>
      </c>
      <c r="BN49" s="1084" t="s">
        <v>476</v>
      </c>
      <c r="BO49" s="1066">
        <v>1.0</v>
      </c>
      <c r="BP49" s="1064" t="s">
        <v>485</v>
      </c>
      <c r="BQ49" s="1084" t="s">
        <v>476</v>
      </c>
      <c r="BR49" s="1066">
        <v>1.0</v>
      </c>
      <c r="BS49" s="1064" t="s">
        <v>485</v>
      </c>
      <c r="BT49" s="1084" t="s">
        <v>476</v>
      </c>
      <c r="BU49" s="1066">
        <v>1.0</v>
      </c>
      <c r="BV49" s="1064" t="s">
        <v>485</v>
      </c>
      <c r="BW49" s="1084" t="s">
        <v>476</v>
      </c>
      <c r="BX49" s="1066">
        <v>1.0</v>
      </c>
      <c r="BY49" s="1064" t="s">
        <v>485</v>
      </c>
      <c r="BZ49" s="1084" t="s">
        <v>476</v>
      </c>
      <c r="CA49" s="1066">
        <v>1.0</v>
      </c>
      <c r="CB49" s="1064" t="s">
        <v>485</v>
      </c>
      <c r="CC49" s="1084" t="s">
        <v>476</v>
      </c>
      <c r="CD49" s="1066">
        <v>1.0</v>
      </c>
      <c r="CE49" s="1064" t="s">
        <v>485</v>
      </c>
      <c r="CF49" s="1084" t="s">
        <v>476</v>
      </c>
      <c r="CG49" s="1066">
        <v>1.0</v>
      </c>
      <c r="CH49" s="1064" t="s">
        <v>485</v>
      </c>
      <c r="CI49" s="1084" t="s">
        <v>476</v>
      </c>
      <c r="CJ49" s="1066">
        <v>1.0</v>
      </c>
      <c r="CK49" s="1064" t="s">
        <v>485</v>
      </c>
      <c r="CL49" s="1084" t="s">
        <v>476</v>
      </c>
      <c r="CM49" s="1066">
        <v>1.0</v>
      </c>
      <c r="CN49" s="1064" t="s">
        <v>485</v>
      </c>
      <c r="CO49" s="1084" t="s">
        <v>476</v>
      </c>
      <c r="CP49" s="1066">
        <v>1.0</v>
      </c>
      <c r="CQ49" s="1064" t="s">
        <v>485</v>
      </c>
      <c r="CR49" s="1084" t="s">
        <v>476</v>
      </c>
      <c r="CS49" s="1066">
        <v>1.0</v>
      </c>
      <c r="CT49" s="1064" t="s">
        <v>485</v>
      </c>
      <c r="CU49" s="1084" t="s">
        <v>476</v>
      </c>
      <c r="CV49" s="1066">
        <v>1.0</v>
      </c>
      <c r="CW49" s="1069" t="s">
        <v>485</v>
      </c>
      <c r="CX49" s="1084" t="s">
        <v>476</v>
      </c>
      <c r="CY49" s="1079">
        <v>1.0</v>
      </c>
      <c r="CZ49" s="1064" t="s">
        <v>485</v>
      </c>
      <c r="DA49" s="1084" t="s">
        <v>476</v>
      </c>
      <c r="DB49" s="1066">
        <v>1.0</v>
      </c>
      <c r="DC49" s="1069" t="s">
        <v>485</v>
      </c>
      <c r="DD49" s="1084" t="s">
        <v>476</v>
      </c>
      <c r="DE49" s="1079">
        <v>1.0</v>
      </c>
      <c r="DF49" s="1069" t="s">
        <v>485</v>
      </c>
      <c r="DG49" s="1084" t="s">
        <v>476</v>
      </c>
      <c r="DH49" s="1079">
        <v>1.0</v>
      </c>
      <c r="DI49" s="1069" t="s">
        <v>485</v>
      </c>
      <c r="DJ49" s="1084" t="s">
        <v>476</v>
      </c>
      <c r="DK49" s="1079">
        <v>1.0</v>
      </c>
      <c r="DL49" s="1069" t="s">
        <v>485</v>
      </c>
      <c r="DM49" s="1084" t="s">
        <v>476</v>
      </c>
      <c r="DN49" s="1079">
        <v>1.0</v>
      </c>
      <c r="DO49" s="1069" t="s">
        <v>485</v>
      </c>
      <c r="DP49" s="1084" t="s">
        <v>476</v>
      </c>
      <c r="DQ49" s="1079">
        <v>1.0</v>
      </c>
      <c r="DR49" s="1069" t="s">
        <v>485</v>
      </c>
      <c r="DS49" s="1084" t="s">
        <v>476</v>
      </c>
      <c r="DT49" s="1079">
        <v>1.0</v>
      </c>
      <c r="DU49" s="1069" t="s">
        <v>485</v>
      </c>
      <c r="DV49" s="1084" t="s">
        <v>476</v>
      </c>
      <c r="DW49" s="1079">
        <v>1.0</v>
      </c>
      <c r="DX49" s="1069" t="s">
        <v>485</v>
      </c>
      <c r="DY49" s="1084" t="s">
        <v>476</v>
      </c>
      <c r="DZ49" s="1079">
        <v>1.0</v>
      </c>
      <c r="EA49" s="1069" t="s">
        <v>485</v>
      </c>
      <c r="EB49" s="1084" t="s">
        <v>476</v>
      </c>
      <c r="EC49" s="1079">
        <v>1.0</v>
      </c>
      <c r="ED49" s="111"/>
      <c r="EE49" s="111"/>
      <c r="EF49" s="111"/>
    </row>
    <row r="50" ht="15.0" hidden="1" customHeight="1">
      <c r="A50" s="60">
        <v>74.0</v>
      </c>
      <c r="B50" s="1103" t="s">
        <v>247</v>
      </c>
      <c r="C50" s="374"/>
      <c r="D50" s="375"/>
      <c r="E50" s="375"/>
      <c r="F50" s="375"/>
      <c r="G50" s="375"/>
      <c r="H50" s="376"/>
      <c r="I50" s="375"/>
      <c r="J50" s="375"/>
      <c r="K50" s="1104"/>
      <c r="L50" s="1105"/>
      <c r="M50" s="375"/>
      <c r="N50" s="375"/>
      <c r="O50" s="375"/>
      <c r="P50" s="953"/>
      <c r="Q50" s="956"/>
      <c r="R50" s="954"/>
      <c r="S50" s="955"/>
      <c r="T50" s="951"/>
      <c r="U50" s="954"/>
      <c r="V50" s="955"/>
      <c r="W50" s="951"/>
      <c r="X50" s="954"/>
      <c r="Y50" s="955"/>
      <c r="Z50" s="1106"/>
      <c r="AA50" s="1107"/>
      <c r="AB50" s="1108"/>
      <c r="AC50" s="958"/>
      <c r="AD50" s="958"/>
      <c r="AE50" s="1109"/>
      <c r="AF50" s="958"/>
      <c r="AG50" s="958"/>
      <c r="AH50" s="958"/>
      <c r="AI50" s="958"/>
      <c r="AJ50" s="958"/>
      <c r="AK50" s="958"/>
      <c r="AL50" s="958"/>
      <c r="AM50" s="958"/>
      <c r="AN50" s="958"/>
      <c r="AO50" s="958"/>
      <c r="AP50" s="958"/>
      <c r="AQ50" s="958"/>
      <c r="AR50" s="958"/>
      <c r="AS50" s="958"/>
      <c r="AT50" s="958"/>
      <c r="AU50" s="958"/>
      <c r="AV50" s="958"/>
      <c r="AW50" s="958"/>
      <c r="AX50" s="958"/>
      <c r="AY50" s="958"/>
      <c r="AZ50" s="958"/>
      <c r="BA50" s="1110"/>
      <c r="BB50" s="1110"/>
      <c r="BC50" s="1110"/>
      <c r="BD50" s="1110"/>
      <c r="BE50" s="1110"/>
      <c r="BF50" s="1110"/>
      <c r="BG50" s="1110"/>
      <c r="BH50" s="1110"/>
      <c r="BI50" s="1110"/>
      <c r="BJ50" s="1110"/>
      <c r="BK50" s="1110"/>
      <c r="BL50" s="1110"/>
      <c r="BM50" s="1110"/>
      <c r="BN50" s="1110"/>
      <c r="BO50" s="1110"/>
      <c r="BP50" s="1110"/>
      <c r="BQ50" s="1110"/>
      <c r="BR50" s="1110"/>
      <c r="BS50" s="1110"/>
      <c r="BT50" s="1110"/>
      <c r="BU50" s="1110"/>
      <c r="BV50" s="1110"/>
      <c r="BW50" s="1110"/>
      <c r="BX50" s="1110"/>
      <c r="BY50" s="1110"/>
      <c r="BZ50" s="1110"/>
      <c r="CA50" s="1110"/>
      <c r="CB50" s="1110"/>
      <c r="CC50" s="1110"/>
      <c r="CD50" s="1110"/>
      <c r="CE50" s="1110"/>
      <c r="CF50" s="1110"/>
      <c r="CG50" s="1110"/>
      <c r="CH50" s="1110"/>
      <c r="CI50" s="1110"/>
      <c r="CJ50" s="1110"/>
      <c r="CK50" s="1110"/>
      <c r="CL50" s="1110"/>
      <c r="CM50" s="1110"/>
      <c r="CN50" s="1110"/>
      <c r="CO50" s="1110"/>
      <c r="CP50" s="1110"/>
      <c r="CQ50" s="1110"/>
      <c r="CR50" s="1110"/>
      <c r="CS50" s="1110"/>
      <c r="CT50" s="1110"/>
      <c r="CU50" s="1110"/>
      <c r="CV50" s="1110"/>
      <c r="CW50" s="1110"/>
      <c r="CX50" s="1110"/>
      <c r="CY50" s="1110"/>
      <c r="CZ50" s="1110"/>
      <c r="DA50" s="1110"/>
      <c r="DB50" s="1110"/>
      <c r="DC50" s="1110"/>
      <c r="DD50" s="1110"/>
      <c r="DE50" s="1110"/>
      <c r="DF50" s="1110"/>
      <c r="DG50" s="1110"/>
      <c r="DH50" s="1110"/>
      <c r="DI50" s="1110"/>
      <c r="DJ50" s="1110"/>
      <c r="DK50" s="1110"/>
      <c r="DL50" s="1110"/>
      <c r="DM50" s="1110"/>
      <c r="DN50" s="1110"/>
      <c r="DO50" s="1110"/>
      <c r="DP50" s="1110"/>
      <c r="DQ50" s="1110"/>
      <c r="DR50" s="1110"/>
      <c r="DS50" s="1110"/>
      <c r="DT50" s="1110"/>
      <c r="DU50" s="1110"/>
      <c r="DV50" s="1110"/>
      <c r="DW50" s="1110"/>
      <c r="DX50" s="1110"/>
      <c r="DY50" s="1110"/>
      <c r="DZ50" s="1110"/>
      <c r="EA50" s="1110"/>
      <c r="EB50" s="1110"/>
      <c r="EC50" s="1110"/>
      <c r="ED50" s="186"/>
      <c r="EE50" s="186"/>
      <c r="EF50" s="186"/>
    </row>
    <row r="51" ht="15.75" customHeight="1" outlineLevel="1">
      <c r="A51" s="60">
        <v>52.0</v>
      </c>
      <c r="B51" s="747" t="s">
        <v>204</v>
      </c>
      <c r="C51" s="747" t="s">
        <v>205</v>
      </c>
      <c r="D51" s="71" t="s">
        <v>85</v>
      </c>
      <c r="E51" s="146" t="s">
        <v>180</v>
      </c>
      <c r="F51" s="72">
        <v>1114.0</v>
      </c>
      <c r="G51" s="139" t="s">
        <v>180</v>
      </c>
      <c r="H51" s="139">
        <v>1114.0</v>
      </c>
      <c r="I51" s="126" t="str">
        <f>IFERROR(VLOOKUP(C48:C190,'R22 RELATÓRIO ACC'!B:F,5,FALSE),"NOT PUBLISHED")</f>
        <v>V20</v>
      </c>
      <c r="J51" s="126" t="str">
        <f>IFERROR(VLOOKUP(C48:C190,'R22 RELATÓRIO ACC'!B:P,15,FALSE),"NOT PUBLISHED")</f>
        <v>05/05/2026</v>
      </c>
      <c r="K51" s="746" t="str">
        <f>IFERROR(VLOOKUP(B48:B190,'RELATÓRIO ACC'!B:F,5,FALSE),"NOT PUBLISHED")</f>
        <v>V2</v>
      </c>
      <c r="L51" s="748" t="str">
        <f>IFERROR(VLOOKUP(B48:B190,'RELATÓRIO ACC'!B:P,15,FALSE),"NOT PUBLISHED")</f>
        <v>12/07/2026</v>
      </c>
      <c r="M51" s="141" t="s">
        <v>492</v>
      </c>
      <c r="N51" s="756" t="s">
        <v>504</v>
      </c>
      <c r="O51" s="740" t="s">
        <v>482</v>
      </c>
      <c r="P51" s="844" t="s">
        <v>87</v>
      </c>
      <c r="Q51" s="746" t="s">
        <v>477</v>
      </c>
      <c r="R51" s="766" t="s">
        <v>476</v>
      </c>
      <c r="S51" s="773">
        <v>0.69</v>
      </c>
      <c r="T51" s="746" t="s">
        <v>477</v>
      </c>
      <c r="U51" s="766" t="s">
        <v>476</v>
      </c>
      <c r="V51" s="773">
        <v>0.87</v>
      </c>
      <c r="W51" s="746" t="s">
        <v>484</v>
      </c>
      <c r="X51" s="766" t="s">
        <v>476</v>
      </c>
      <c r="Y51" s="773">
        <v>1.0</v>
      </c>
      <c r="Z51" s="746" t="s">
        <v>484</v>
      </c>
      <c r="AA51" s="766" t="s">
        <v>476</v>
      </c>
      <c r="AB51" s="768">
        <v>1.0</v>
      </c>
      <c r="AC51" s="746" t="s">
        <v>484</v>
      </c>
      <c r="AD51" s="766" t="s">
        <v>476</v>
      </c>
      <c r="AE51" s="1068">
        <v>1.0</v>
      </c>
      <c r="AF51" s="746" t="s">
        <v>485</v>
      </c>
      <c r="AG51" s="766" t="s">
        <v>476</v>
      </c>
      <c r="AH51" s="1068">
        <v>1.0</v>
      </c>
      <c r="AI51" s="746" t="s">
        <v>485</v>
      </c>
      <c r="AJ51" s="766" t="s">
        <v>476</v>
      </c>
      <c r="AK51" s="1068">
        <v>1.0</v>
      </c>
      <c r="AL51" s="746" t="s">
        <v>485</v>
      </c>
      <c r="AM51" s="766" t="s">
        <v>476</v>
      </c>
      <c r="AN51" s="1068">
        <v>1.0</v>
      </c>
      <c r="AO51" s="68" t="s">
        <v>485</v>
      </c>
      <c r="AP51" s="779" t="s">
        <v>476</v>
      </c>
      <c r="AQ51" s="135">
        <v>1.0</v>
      </c>
      <c r="AR51" s="68" t="s">
        <v>485</v>
      </c>
      <c r="AS51" s="779" t="s">
        <v>476</v>
      </c>
      <c r="AT51" s="135">
        <v>1.0</v>
      </c>
      <c r="AU51" s="68" t="s">
        <v>485</v>
      </c>
      <c r="AV51" s="779" t="s">
        <v>476</v>
      </c>
      <c r="AW51" s="135">
        <v>1.0</v>
      </c>
      <c r="AX51" s="68" t="s">
        <v>485</v>
      </c>
      <c r="AY51" s="779" t="s">
        <v>476</v>
      </c>
      <c r="AZ51" s="135">
        <v>1.0</v>
      </c>
      <c r="BA51" s="1064" t="s">
        <v>485</v>
      </c>
      <c r="BB51" s="1084" t="s">
        <v>476</v>
      </c>
      <c r="BC51" s="1066">
        <v>1.0</v>
      </c>
      <c r="BD51" s="1064" t="s">
        <v>485</v>
      </c>
      <c r="BE51" s="1084" t="s">
        <v>476</v>
      </c>
      <c r="BF51" s="1066">
        <v>1.0</v>
      </c>
      <c r="BG51" s="1064" t="s">
        <v>485</v>
      </c>
      <c r="BH51" s="1084" t="s">
        <v>476</v>
      </c>
      <c r="BI51" s="1066">
        <v>1.0</v>
      </c>
      <c r="BJ51" s="1064" t="s">
        <v>485</v>
      </c>
      <c r="BK51" s="1084" t="s">
        <v>476</v>
      </c>
      <c r="BL51" s="1066">
        <v>1.0</v>
      </c>
      <c r="BM51" s="1064" t="s">
        <v>485</v>
      </c>
      <c r="BN51" s="1084" t="s">
        <v>476</v>
      </c>
      <c r="BO51" s="1066">
        <v>1.0</v>
      </c>
      <c r="BP51" s="1064" t="s">
        <v>485</v>
      </c>
      <c r="BQ51" s="1084" t="s">
        <v>476</v>
      </c>
      <c r="BR51" s="1066">
        <v>1.0</v>
      </c>
      <c r="BS51" s="1064" t="s">
        <v>485</v>
      </c>
      <c r="BT51" s="1084" t="s">
        <v>476</v>
      </c>
      <c r="BU51" s="1066">
        <v>1.0</v>
      </c>
      <c r="BV51" s="1064" t="s">
        <v>485</v>
      </c>
      <c r="BW51" s="1084" t="s">
        <v>476</v>
      </c>
      <c r="BX51" s="1066">
        <v>1.0</v>
      </c>
      <c r="BY51" s="1064" t="s">
        <v>485</v>
      </c>
      <c r="BZ51" s="1084" t="s">
        <v>476</v>
      </c>
      <c r="CA51" s="1066">
        <v>1.0</v>
      </c>
      <c r="CB51" s="1064" t="s">
        <v>485</v>
      </c>
      <c r="CC51" s="1084" t="s">
        <v>476</v>
      </c>
      <c r="CD51" s="1066">
        <v>1.0</v>
      </c>
      <c r="CE51" s="1064" t="s">
        <v>485</v>
      </c>
      <c r="CF51" s="1084" t="s">
        <v>476</v>
      </c>
      <c r="CG51" s="1066">
        <v>1.0</v>
      </c>
      <c r="CH51" s="1064" t="s">
        <v>485</v>
      </c>
      <c r="CI51" s="1084" t="s">
        <v>476</v>
      </c>
      <c r="CJ51" s="1066">
        <v>1.0</v>
      </c>
      <c r="CK51" s="1064" t="s">
        <v>485</v>
      </c>
      <c r="CL51" s="1084" t="s">
        <v>476</v>
      </c>
      <c r="CM51" s="1066">
        <v>1.0</v>
      </c>
      <c r="CN51" s="1064" t="s">
        <v>485</v>
      </c>
      <c r="CO51" s="1084" t="s">
        <v>476</v>
      </c>
      <c r="CP51" s="1066">
        <v>1.0</v>
      </c>
      <c r="CQ51" s="1064" t="s">
        <v>485</v>
      </c>
      <c r="CR51" s="1084" t="s">
        <v>476</v>
      </c>
      <c r="CS51" s="1066">
        <v>1.0</v>
      </c>
      <c r="CT51" s="1064" t="s">
        <v>485</v>
      </c>
      <c r="CU51" s="1084" t="s">
        <v>476</v>
      </c>
      <c r="CV51" s="1066">
        <v>1.0</v>
      </c>
      <c r="CW51" s="1064" t="s">
        <v>485</v>
      </c>
      <c r="CX51" s="1084" t="s">
        <v>476</v>
      </c>
      <c r="CY51" s="1066">
        <v>1.0</v>
      </c>
      <c r="CZ51" s="1064" t="s">
        <v>485</v>
      </c>
      <c r="DA51" s="1084" t="s">
        <v>476</v>
      </c>
      <c r="DB51" s="1066">
        <v>1.0</v>
      </c>
      <c r="DC51" s="1064" t="s">
        <v>485</v>
      </c>
      <c r="DD51" s="1084" t="s">
        <v>476</v>
      </c>
      <c r="DE51" s="1066">
        <v>1.0</v>
      </c>
      <c r="DF51" s="1064" t="s">
        <v>485</v>
      </c>
      <c r="DG51" s="1084" t="s">
        <v>476</v>
      </c>
      <c r="DH51" s="1066">
        <v>1.0</v>
      </c>
      <c r="DI51" s="1064" t="s">
        <v>485</v>
      </c>
      <c r="DJ51" s="1084" t="s">
        <v>476</v>
      </c>
      <c r="DK51" s="1066">
        <v>1.0</v>
      </c>
      <c r="DL51" s="1064" t="s">
        <v>485</v>
      </c>
      <c r="DM51" s="1084" t="s">
        <v>476</v>
      </c>
      <c r="DN51" s="1066">
        <v>1.0</v>
      </c>
      <c r="DO51" s="1064" t="s">
        <v>485</v>
      </c>
      <c r="DP51" s="1084" t="s">
        <v>476</v>
      </c>
      <c r="DQ51" s="1066">
        <v>1.0</v>
      </c>
      <c r="DR51" s="1064" t="s">
        <v>485</v>
      </c>
      <c r="DS51" s="1084" t="s">
        <v>476</v>
      </c>
      <c r="DT51" s="1066">
        <v>1.0</v>
      </c>
      <c r="DU51" s="1064" t="s">
        <v>485</v>
      </c>
      <c r="DV51" s="1084" t="s">
        <v>476</v>
      </c>
      <c r="DW51" s="1066">
        <v>1.0</v>
      </c>
      <c r="DX51" s="1064" t="s">
        <v>485</v>
      </c>
      <c r="DY51" s="1084" t="s">
        <v>476</v>
      </c>
      <c r="DZ51" s="1066">
        <v>1.0</v>
      </c>
      <c r="EA51" s="1064" t="s">
        <v>485</v>
      </c>
      <c r="EB51" s="1084" t="s">
        <v>476</v>
      </c>
      <c r="EC51" s="1066">
        <v>1.0</v>
      </c>
      <c r="ED51" s="111"/>
      <c r="EE51" s="111"/>
      <c r="EF51" s="111"/>
    </row>
    <row r="52" ht="15.0" customHeight="1" outlineLevel="1">
      <c r="A52" s="60">
        <v>54.0</v>
      </c>
      <c r="B52" s="747" t="s">
        <v>207</v>
      </c>
      <c r="C52" s="747" t="s">
        <v>208</v>
      </c>
      <c r="D52" s="71" t="s">
        <v>85</v>
      </c>
      <c r="E52" s="146" t="s">
        <v>169</v>
      </c>
      <c r="F52" s="72">
        <v>1112.0</v>
      </c>
      <c r="G52" s="139" t="s">
        <v>170</v>
      </c>
      <c r="H52" s="139">
        <v>1129.0</v>
      </c>
      <c r="I52" s="126" t="str">
        <f>IFERROR(VLOOKUP(C49:C191,'R22 RELATÓRIO ACC'!B:F,5,FALSE),"NOT PUBLISHED")</f>
        <v>V39</v>
      </c>
      <c r="J52" s="126" t="str">
        <f>IFERROR(VLOOKUP(C49:C191,'R22 RELATÓRIO ACC'!B:P,15,FALSE),"NOT PUBLISHED")</f>
        <v>19/03/2026</v>
      </c>
      <c r="K52" s="746" t="str">
        <f>IFERROR(VLOOKUP(B49:B191,'RELATÓRIO ACC'!B:F,5,FALSE),"NOT PUBLISHED")</f>
        <v>V5</v>
      </c>
      <c r="L52" s="748" t="str">
        <f>IFERROR(VLOOKUP(B49:B191,'RELATÓRIO ACC'!B:P,15,FALSE),"NOT PUBLISHED")</f>
        <v>10/07/2026</v>
      </c>
      <c r="M52" s="141" t="s">
        <v>505</v>
      </c>
      <c r="N52" s="756" t="s">
        <v>497</v>
      </c>
      <c r="O52" s="1111" t="s">
        <v>482</v>
      </c>
      <c r="P52" s="751" t="s">
        <v>129</v>
      </c>
      <c r="Q52" s="746" t="s">
        <v>477</v>
      </c>
      <c r="R52" s="766" t="s">
        <v>476</v>
      </c>
      <c r="S52" s="764">
        <v>0.39</v>
      </c>
      <c r="T52" s="746" t="s">
        <v>477</v>
      </c>
      <c r="U52" s="766" t="s">
        <v>476</v>
      </c>
      <c r="V52" s="764">
        <v>0.68</v>
      </c>
      <c r="W52" s="746" t="s">
        <v>484</v>
      </c>
      <c r="X52" s="766" t="s">
        <v>476</v>
      </c>
      <c r="Y52" s="773">
        <v>1.0</v>
      </c>
      <c r="Z52" s="746" t="s">
        <v>484</v>
      </c>
      <c r="AA52" s="759" t="s">
        <v>476</v>
      </c>
      <c r="AB52" s="768">
        <v>1.0</v>
      </c>
      <c r="AC52" s="746" t="s">
        <v>484</v>
      </c>
      <c r="AD52" s="759" t="s">
        <v>476</v>
      </c>
      <c r="AE52" s="768">
        <v>1.0</v>
      </c>
      <c r="AF52" s="746" t="s">
        <v>485</v>
      </c>
      <c r="AG52" s="759" t="s">
        <v>476</v>
      </c>
      <c r="AH52" s="768">
        <v>1.0</v>
      </c>
      <c r="AI52" s="746" t="s">
        <v>485</v>
      </c>
      <c r="AJ52" s="759" t="s">
        <v>476</v>
      </c>
      <c r="AK52" s="768">
        <v>1.0</v>
      </c>
      <c r="AL52" s="746" t="s">
        <v>485</v>
      </c>
      <c r="AM52" s="759" t="s">
        <v>476</v>
      </c>
      <c r="AN52" s="768">
        <v>1.0</v>
      </c>
      <c r="AO52" s="746" t="s">
        <v>485</v>
      </c>
      <c r="AP52" s="759" t="s">
        <v>476</v>
      </c>
      <c r="AQ52" s="1057">
        <v>1.0</v>
      </c>
      <c r="AR52" s="746" t="s">
        <v>485</v>
      </c>
      <c r="AS52" s="759" t="s">
        <v>476</v>
      </c>
      <c r="AT52" s="1057">
        <v>1.0</v>
      </c>
      <c r="AU52" s="746" t="s">
        <v>485</v>
      </c>
      <c r="AV52" s="759" t="s">
        <v>476</v>
      </c>
      <c r="AW52" s="1057">
        <v>1.0</v>
      </c>
      <c r="AX52" s="746" t="s">
        <v>485</v>
      </c>
      <c r="AY52" s="759" t="s">
        <v>476</v>
      </c>
      <c r="AZ52" s="1057">
        <v>1.0</v>
      </c>
      <c r="BA52" s="1069" t="s">
        <v>485</v>
      </c>
      <c r="BB52" s="1088" t="s">
        <v>476</v>
      </c>
      <c r="BC52" s="1078">
        <v>1.0</v>
      </c>
      <c r="BD52" s="1069" t="s">
        <v>485</v>
      </c>
      <c r="BE52" s="1088" t="s">
        <v>476</v>
      </c>
      <c r="BF52" s="1078">
        <v>1.0</v>
      </c>
      <c r="BG52" s="1069" t="s">
        <v>485</v>
      </c>
      <c r="BH52" s="1088" t="s">
        <v>476</v>
      </c>
      <c r="BI52" s="1078">
        <v>1.0</v>
      </c>
      <c r="BJ52" s="1069" t="s">
        <v>485</v>
      </c>
      <c r="BK52" s="1088" t="s">
        <v>476</v>
      </c>
      <c r="BL52" s="1078">
        <v>1.0</v>
      </c>
      <c r="BM52" s="1069" t="s">
        <v>485</v>
      </c>
      <c r="BN52" s="1088" t="s">
        <v>476</v>
      </c>
      <c r="BO52" s="1078">
        <v>1.0</v>
      </c>
      <c r="BP52" s="1069" t="s">
        <v>485</v>
      </c>
      <c r="BQ52" s="1088" t="s">
        <v>476</v>
      </c>
      <c r="BR52" s="1078">
        <v>1.0</v>
      </c>
      <c r="BS52" s="1069" t="s">
        <v>485</v>
      </c>
      <c r="BT52" s="1088" t="s">
        <v>476</v>
      </c>
      <c r="BU52" s="1078">
        <v>1.0</v>
      </c>
      <c r="BV52" s="1069" t="s">
        <v>485</v>
      </c>
      <c r="BW52" s="1088" t="s">
        <v>476</v>
      </c>
      <c r="BX52" s="1078">
        <v>1.0</v>
      </c>
      <c r="BY52" s="1069" t="s">
        <v>485</v>
      </c>
      <c r="BZ52" s="1088" t="s">
        <v>476</v>
      </c>
      <c r="CA52" s="1078">
        <v>1.0</v>
      </c>
      <c r="CB52" s="1069" t="s">
        <v>485</v>
      </c>
      <c r="CC52" s="1088" t="s">
        <v>476</v>
      </c>
      <c r="CD52" s="1078">
        <v>1.0</v>
      </c>
      <c r="CE52" s="1069" t="s">
        <v>485</v>
      </c>
      <c r="CF52" s="1088" t="s">
        <v>476</v>
      </c>
      <c r="CG52" s="1078">
        <v>1.0</v>
      </c>
      <c r="CH52" s="1069" t="s">
        <v>485</v>
      </c>
      <c r="CI52" s="1088" t="s">
        <v>476</v>
      </c>
      <c r="CJ52" s="1078">
        <v>1.0</v>
      </c>
      <c r="CK52" s="1069" t="s">
        <v>485</v>
      </c>
      <c r="CL52" s="1088" t="s">
        <v>476</v>
      </c>
      <c r="CM52" s="1078">
        <v>1.0</v>
      </c>
      <c r="CN52" s="1069" t="s">
        <v>485</v>
      </c>
      <c r="CO52" s="1088" t="s">
        <v>476</v>
      </c>
      <c r="CP52" s="1078">
        <v>1.0</v>
      </c>
      <c r="CQ52" s="1069" t="s">
        <v>485</v>
      </c>
      <c r="CR52" s="1088" t="s">
        <v>476</v>
      </c>
      <c r="CS52" s="1078">
        <v>1.0</v>
      </c>
      <c r="CT52" s="1069" t="s">
        <v>485</v>
      </c>
      <c r="CU52" s="1088" t="s">
        <v>476</v>
      </c>
      <c r="CV52" s="1078">
        <v>1.0</v>
      </c>
      <c r="CW52" s="1069" t="s">
        <v>485</v>
      </c>
      <c r="CX52" s="1088" t="s">
        <v>476</v>
      </c>
      <c r="CY52" s="1078">
        <v>1.0</v>
      </c>
      <c r="CZ52" s="1069" t="s">
        <v>485</v>
      </c>
      <c r="DA52" s="1088" t="s">
        <v>476</v>
      </c>
      <c r="DB52" s="1078">
        <v>1.0</v>
      </c>
      <c r="DC52" s="1069" t="s">
        <v>485</v>
      </c>
      <c r="DD52" s="1088" t="s">
        <v>476</v>
      </c>
      <c r="DE52" s="1078">
        <v>1.0</v>
      </c>
      <c r="DF52" s="1069" t="s">
        <v>485</v>
      </c>
      <c r="DG52" s="1088" t="s">
        <v>476</v>
      </c>
      <c r="DH52" s="1078">
        <v>1.0</v>
      </c>
      <c r="DI52" s="1069" t="s">
        <v>485</v>
      </c>
      <c r="DJ52" s="1088" t="s">
        <v>476</v>
      </c>
      <c r="DK52" s="1078">
        <v>1.0</v>
      </c>
      <c r="DL52" s="1069" t="s">
        <v>485</v>
      </c>
      <c r="DM52" s="1088" t="s">
        <v>476</v>
      </c>
      <c r="DN52" s="1078">
        <v>1.0</v>
      </c>
      <c r="DO52" s="1069" t="s">
        <v>485</v>
      </c>
      <c r="DP52" s="1088" t="s">
        <v>476</v>
      </c>
      <c r="DQ52" s="1078">
        <v>1.0</v>
      </c>
      <c r="DR52" s="1069" t="s">
        <v>485</v>
      </c>
      <c r="DS52" s="1088" t="s">
        <v>476</v>
      </c>
      <c r="DT52" s="1078">
        <v>1.0</v>
      </c>
      <c r="DU52" s="1069" t="s">
        <v>485</v>
      </c>
      <c r="DV52" s="1088" t="s">
        <v>476</v>
      </c>
      <c r="DW52" s="1078">
        <v>1.0</v>
      </c>
      <c r="DX52" s="1069" t="s">
        <v>485</v>
      </c>
      <c r="DY52" s="1088" t="s">
        <v>476</v>
      </c>
      <c r="DZ52" s="1078">
        <v>1.0</v>
      </c>
      <c r="EA52" s="1069" t="s">
        <v>485</v>
      </c>
      <c r="EB52" s="1088" t="s">
        <v>476</v>
      </c>
      <c r="EC52" s="1078">
        <v>1.0</v>
      </c>
      <c r="ED52" s="111"/>
      <c r="EE52" s="111"/>
      <c r="EF52" s="111"/>
    </row>
    <row r="53" ht="15.0" hidden="1" customHeight="1">
      <c r="A53" s="60">
        <v>81.0</v>
      </c>
      <c r="B53" s="1112" t="s">
        <v>261</v>
      </c>
      <c r="C53" s="402"/>
      <c r="D53" s="403"/>
      <c r="E53" s="403"/>
      <c r="F53" s="403"/>
      <c r="G53" s="403"/>
      <c r="H53" s="404"/>
      <c r="I53" s="403"/>
      <c r="J53" s="403"/>
      <c r="K53" s="1113"/>
      <c r="L53" s="1114"/>
      <c r="M53" s="403"/>
      <c r="N53" s="403"/>
      <c r="O53" s="403"/>
      <c r="P53" s="941"/>
      <c r="Q53" s="945"/>
      <c r="R53" s="944"/>
      <c r="S53" s="943"/>
      <c r="T53" s="939"/>
      <c r="U53" s="944"/>
      <c r="V53" s="943"/>
      <c r="W53" s="939"/>
      <c r="X53" s="944"/>
      <c r="Y53" s="943"/>
      <c r="Z53" s="1115"/>
      <c r="AA53" s="1116"/>
      <c r="AB53" s="1117"/>
      <c r="AC53" s="947"/>
      <c r="AD53" s="947"/>
      <c r="AE53" s="1118"/>
      <c r="AF53" s="947"/>
      <c r="AG53" s="947"/>
      <c r="AH53" s="947"/>
      <c r="AI53" s="947"/>
      <c r="AJ53" s="947"/>
      <c r="AK53" s="947"/>
      <c r="AL53" s="947"/>
      <c r="AM53" s="947"/>
      <c r="AN53" s="947"/>
      <c r="AO53" s="947"/>
      <c r="AP53" s="947"/>
      <c r="AQ53" s="947"/>
      <c r="AR53" s="947"/>
      <c r="AS53" s="947"/>
      <c r="AT53" s="947"/>
      <c r="AU53" s="947"/>
      <c r="AV53" s="947"/>
      <c r="AW53" s="947"/>
      <c r="AX53" s="947"/>
      <c r="AY53" s="947"/>
      <c r="AZ53" s="947"/>
      <c r="BA53" s="1119"/>
      <c r="BB53" s="1119"/>
      <c r="BC53" s="1119"/>
      <c r="BD53" s="1119"/>
      <c r="BE53" s="1119"/>
      <c r="BF53" s="1119"/>
      <c r="BG53" s="1119"/>
      <c r="BH53" s="1119"/>
      <c r="BI53" s="1119"/>
      <c r="BJ53" s="1119"/>
      <c r="BK53" s="1119"/>
      <c r="BL53" s="1119"/>
      <c r="BM53" s="1119"/>
      <c r="BN53" s="1119"/>
      <c r="BO53" s="1119"/>
      <c r="BP53" s="1119"/>
      <c r="BQ53" s="1119"/>
      <c r="BR53" s="1119"/>
      <c r="BS53" s="1119"/>
      <c r="BT53" s="1119"/>
      <c r="BU53" s="1119"/>
      <c r="BV53" s="1119"/>
      <c r="BW53" s="1119"/>
      <c r="BX53" s="1119"/>
      <c r="BY53" s="1119"/>
      <c r="BZ53" s="1119"/>
      <c r="CA53" s="1119"/>
      <c r="CB53" s="1119"/>
      <c r="CC53" s="1119"/>
      <c r="CD53" s="1119"/>
      <c r="CE53" s="1119"/>
      <c r="CF53" s="1119"/>
      <c r="CG53" s="1119"/>
      <c r="CH53" s="1119"/>
      <c r="CI53" s="1119"/>
      <c r="CJ53" s="1119"/>
      <c r="CK53" s="1119"/>
      <c r="CL53" s="1119"/>
      <c r="CM53" s="1119"/>
      <c r="CN53" s="1119"/>
      <c r="CO53" s="1119"/>
      <c r="CP53" s="1119"/>
      <c r="CQ53" s="1119"/>
      <c r="CR53" s="1119"/>
      <c r="CS53" s="1119"/>
      <c r="CT53" s="1119"/>
      <c r="CU53" s="1119"/>
      <c r="CV53" s="1119"/>
      <c r="CW53" s="1119"/>
      <c r="CX53" s="1119"/>
      <c r="CY53" s="1119"/>
      <c r="CZ53" s="1119"/>
      <c r="DA53" s="1119"/>
      <c r="DB53" s="1119"/>
      <c r="DC53" s="1119"/>
      <c r="DD53" s="1119"/>
      <c r="DE53" s="1119"/>
      <c r="DF53" s="1119"/>
      <c r="DG53" s="1119"/>
      <c r="DH53" s="1119"/>
      <c r="DI53" s="1119"/>
      <c r="DJ53" s="1119"/>
      <c r="DK53" s="1119"/>
      <c r="DL53" s="1119"/>
      <c r="DM53" s="1119"/>
      <c r="DN53" s="1119"/>
      <c r="DO53" s="1119"/>
      <c r="DP53" s="1119"/>
      <c r="DQ53" s="1119"/>
      <c r="DR53" s="1119"/>
      <c r="DS53" s="1119"/>
      <c r="DT53" s="1119"/>
      <c r="DU53" s="1119"/>
      <c r="DV53" s="1119"/>
      <c r="DW53" s="1119"/>
      <c r="DX53" s="1119"/>
      <c r="DY53" s="1119"/>
      <c r="DZ53" s="1119"/>
      <c r="EA53" s="1119"/>
      <c r="EB53" s="1119"/>
      <c r="EC53" s="1119"/>
      <c r="ED53" s="215"/>
      <c r="EE53" s="215"/>
      <c r="EF53" s="215"/>
    </row>
    <row r="54" ht="15.0" customHeight="1" outlineLevel="1">
      <c r="A54" s="60">
        <v>58.0</v>
      </c>
      <c r="B54" s="747" t="s">
        <v>215</v>
      </c>
      <c r="C54" s="747" t="s">
        <v>216</v>
      </c>
      <c r="D54" s="71" t="s">
        <v>85</v>
      </c>
      <c r="E54" s="146" t="s">
        <v>214</v>
      </c>
      <c r="F54" s="72">
        <v>1115.0</v>
      </c>
      <c r="G54" s="139" t="s">
        <v>214</v>
      </c>
      <c r="H54" s="139">
        <v>1115.0</v>
      </c>
      <c r="I54" s="126" t="str">
        <f>IFERROR(VLOOKUP(C51:C193,'R22 RELATÓRIO ACC'!B:F,5,FALSE),"NOT PUBLISHED")</f>
        <v>V40</v>
      </c>
      <c r="J54" s="126" t="str">
        <f>IFERROR(VLOOKUP(C51:C193,'R22 RELATÓRIO ACC'!B:P,15,FALSE),"NOT PUBLISHED")</f>
        <v>06/05/2026</v>
      </c>
      <c r="K54" s="746" t="str">
        <f>IFERROR(VLOOKUP(B51:B193,'RELATÓRIO ACC'!B:F,5,FALSE),"NOT PUBLISHED")</f>
        <v>V3</v>
      </c>
      <c r="L54" s="748" t="str">
        <f>IFERROR(VLOOKUP(B51:B193,'RELATÓRIO ACC'!B:P,15,FALSE),"NOT PUBLISHED")</f>
        <v>13/07/2026</v>
      </c>
      <c r="M54" s="141" t="s">
        <v>496</v>
      </c>
      <c r="N54" s="782">
        <v>45924.0</v>
      </c>
      <c r="O54" s="1111" t="s">
        <v>482</v>
      </c>
      <c r="P54" s="751" t="s">
        <v>129</v>
      </c>
      <c r="Q54" s="746" t="s">
        <v>477</v>
      </c>
      <c r="R54" s="766" t="s">
        <v>476</v>
      </c>
      <c r="S54" s="773">
        <v>0.35</v>
      </c>
      <c r="T54" s="746" t="s">
        <v>477</v>
      </c>
      <c r="U54" s="766" t="s">
        <v>476</v>
      </c>
      <c r="V54" s="773">
        <v>0.35</v>
      </c>
      <c r="W54" s="746" t="s">
        <v>477</v>
      </c>
      <c r="X54" s="792" t="s">
        <v>476</v>
      </c>
      <c r="Y54" s="1061">
        <v>0.97</v>
      </c>
      <c r="Z54" s="746" t="s">
        <v>484</v>
      </c>
      <c r="AA54" s="759" t="s">
        <v>476</v>
      </c>
      <c r="AB54" s="768">
        <v>1.0</v>
      </c>
      <c r="AC54" s="746" t="s">
        <v>484</v>
      </c>
      <c r="AD54" s="759" t="s">
        <v>476</v>
      </c>
      <c r="AE54" s="1068">
        <v>1.0</v>
      </c>
      <c r="AF54" s="746" t="s">
        <v>485</v>
      </c>
      <c r="AG54" s="759" t="s">
        <v>476</v>
      </c>
      <c r="AH54" s="1068">
        <v>1.0</v>
      </c>
      <c r="AI54" s="746" t="s">
        <v>485</v>
      </c>
      <c r="AJ54" s="759" t="s">
        <v>476</v>
      </c>
      <c r="AK54" s="1068">
        <v>1.0</v>
      </c>
      <c r="AL54" s="746" t="s">
        <v>485</v>
      </c>
      <c r="AM54" s="759" t="s">
        <v>476</v>
      </c>
      <c r="AN54" s="1068">
        <v>1.0</v>
      </c>
      <c r="AO54" s="746" t="s">
        <v>485</v>
      </c>
      <c r="AP54" s="759" t="s">
        <v>476</v>
      </c>
      <c r="AQ54" s="1068">
        <v>1.0</v>
      </c>
      <c r="AR54" s="746" t="s">
        <v>485</v>
      </c>
      <c r="AS54" s="759" t="s">
        <v>476</v>
      </c>
      <c r="AT54" s="1068">
        <v>1.0</v>
      </c>
      <c r="AU54" s="746" t="s">
        <v>485</v>
      </c>
      <c r="AV54" s="759" t="s">
        <v>476</v>
      </c>
      <c r="AW54" s="1068">
        <v>1.0</v>
      </c>
      <c r="AX54" s="746" t="s">
        <v>485</v>
      </c>
      <c r="AY54" s="759" t="s">
        <v>476</v>
      </c>
      <c r="AZ54" s="1068">
        <v>1.0</v>
      </c>
      <c r="BA54" s="1069" t="s">
        <v>485</v>
      </c>
      <c r="BB54" s="1088" t="s">
        <v>476</v>
      </c>
      <c r="BC54" s="1070">
        <v>1.0</v>
      </c>
      <c r="BD54" s="1069" t="s">
        <v>485</v>
      </c>
      <c r="BE54" s="1088" t="s">
        <v>476</v>
      </c>
      <c r="BF54" s="1070">
        <v>1.0</v>
      </c>
      <c r="BG54" s="1069" t="s">
        <v>485</v>
      </c>
      <c r="BH54" s="1088" t="s">
        <v>476</v>
      </c>
      <c r="BI54" s="1070">
        <v>1.0</v>
      </c>
      <c r="BJ54" s="1069" t="s">
        <v>485</v>
      </c>
      <c r="BK54" s="1088" t="s">
        <v>476</v>
      </c>
      <c r="BL54" s="1070">
        <v>1.0</v>
      </c>
      <c r="BM54" s="1069" t="s">
        <v>485</v>
      </c>
      <c r="BN54" s="1088" t="s">
        <v>476</v>
      </c>
      <c r="BO54" s="1070">
        <v>1.0</v>
      </c>
      <c r="BP54" s="1069" t="s">
        <v>485</v>
      </c>
      <c r="BQ54" s="1088" t="s">
        <v>476</v>
      </c>
      <c r="BR54" s="1070">
        <v>1.0</v>
      </c>
      <c r="BS54" s="1069" t="s">
        <v>485</v>
      </c>
      <c r="BT54" s="1088" t="s">
        <v>476</v>
      </c>
      <c r="BU54" s="1070">
        <v>1.0</v>
      </c>
      <c r="BV54" s="1069" t="s">
        <v>485</v>
      </c>
      <c r="BW54" s="1088" t="s">
        <v>476</v>
      </c>
      <c r="BX54" s="1070">
        <v>1.0</v>
      </c>
      <c r="BY54" s="1069" t="s">
        <v>485</v>
      </c>
      <c r="BZ54" s="1088" t="s">
        <v>476</v>
      </c>
      <c r="CA54" s="1070">
        <v>1.0</v>
      </c>
      <c r="CB54" s="1069" t="s">
        <v>485</v>
      </c>
      <c r="CC54" s="1088" t="s">
        <v>476</v>
      </c>
      <c r="CD54" s="1070">
        <v>1.0</v>
      </c>
      <c r="CE54" s="1069" t="s">
        <v>485</v>
      </c>
      <c r="CF54" s="1088" t="s">
        <v>476</v>
      </c>
      <c r="CG54" s="1070">
        <v>1.0</v>
      </c>
      <c r="CH54" s="1069" t="s">
        <v>485</v>
      </c>
      <c r="CI54" s="1088" t="s">
        <v>476</v>
      </c>
      <c r="CJ54" s="1070">
        <v>1.0</v>
      </c>
      <c r="CK54" s="1069" t="s">
        <v>485</v>
      </c>
      <c r="CL54" s="1088" t="s">
        <v>476</v>
      </c>
      <c r="CM54" s="1070">
        <v>1.0</v>
      </c>
      <c r="CN54" s="1064" t="s">
        <v>485</v>
      </c>
      <c r="CO54" s="1065" t="s">
        <v>476</v>
      </c>
      <c r="CP54" s="1066">
        <v>1.0</v>
      </c>
      <c r="CQ54" s="1064" t="s">
        <v>485</v>
      </c>
      <c r="CR54" s="1065" t="s">
        <v>476</v>
      </c>
      <c r="CS54" s="1066">
        <v>1.0</v>
      </c>
      <c r="CT54" s="1064" t="s">
        <v>485</v>
      </c>
      <c r="CU54" s="1065" t="s">
        <v>476</v>
      </c>
      <c r="CV54" s="1066">
        <v>1.0</v>
      </c>
      <c r="CW54" s="1064" t="s">
        <v>485</v>
      </c>
      <c r="CX54" s="1065" t="s">
        <v>476</v>
      </c>
      <c r="CY54" s="1066">
        <v>1.0</v>
      </c>
      <c r="CZ54" s="1064" t="s">
        <v>485</v>
      </c>
      <c r="DA54" s="1065" t="s">
        <v>476</v>
      </c>
      <c r="DB54" s="1066">
        <v>1.0</v>
      </c>
      <c r="DC54" s="1064" t="s">
        <v>485</v>
      </c>
      <c r="DD54" s="1065" t="s">
        <v>476</v>
      </c>
      <c r="DE54" s="1066">
        <v>1.0</v>
      </c>
      <c r="DF54" s="1064" t="s">
        <v>485</v>
      </c>
      <c r="DG54" s="1065" t="s">
        <v>476</v>
      </c>
      <c r="DH54" s="1066">
        <v>1.0</v>
      </c>
      <c r="DI54" s="1064" t="s">
        <v>485</v>
      </c>
      <c r="DJ54" s="1065" t="s">
        <v>476</v>
      </c>
      <c r="DK54" s="1066">
        <v>1.0</v>
      </c>
      <c r="DL54" s="1064" t="s">
        <v>485</v>
      </c>
      <c r="DM54" s="1065" t="s">
        <v>476</v>
      </c>
      <c r="DN54" s="1066">
        <v>1.0</v>
      </c>
      <c r="DO54" s="1064" t="s">
        <v>485</v>
      </c>
      <c r="DP54" s="1065" t="s">
        <v>476</v>
      </c>
      <c r="DQ54" s="1066">
        <v>1.0</v>
      </c>
      <c r="DR54" s="1064" t="s">
        <v>485</v>
      </c>
      <c r="DS54" s="1065" t="s">
        <v>476</v>
      </c>
      <c r="DT54" s="1066">
        <v>1.0</v>
      </c>
      <c r="DU54" s="1064" t="s">
        <v>485</v>
      </c>
      <c r="DV54" s="1065" t="s">
        <v>476</v>
      </c>
      <c r="DW54" s="1066">
        <v>1.0</v>
      </c>
      <c r="DX54" s="1064" t="s">
        <v>485</v>
      </c>
      <c r="DY54" s="1065" t="s">
        <v>476</v>
      </c>
      <c r="DZ54" s="1066">
        <v>1.0</v>
      </c>
      <c r="EA54" s="1064" t="s">
        <v>485</v>
      </c>
      <c r="EB54" s="1065" t="s">
        <v>476</v>
      </c>
      <c r="EC54" s="1066">
        <v>1.0</v>
      </c>
      <c r="ED54" s="111"/>
      <c r="EE54" s="111"/>
      <c r="EF54" s="111"/>
    </row>
    <row r="55" ht="15.0" hidden="1" customHeight="1">
      <c r="A55" s="60">
        <v>84.0</v>
      </c>
      <c r="B55" s="1120" t="s">
        <v>266</v>
      </c>
      <c r="C55" s="430"/>
      <c r="D55" s="431"/>
      <c r="E55" s="431"/>
      <c r="F55" s="431"/>
      <c r="G55" s="431"/>
      <c r="H55" s="432"/>
      <c r="I55" s="431"/>
      <c r="J55" s="431"/>
      <c r="K55" s="932"/>
      <c r="L55" s="1121"/>
      <c r="M55" s="431"/>
      <c r="N55" s="431"/>
      <c r="O55" s="431"/>
      <c r="P55" s="928"/>
      <c r="Q55" s="933"/>
      <c r="R55" s="1122"/>
      <c r="S55" s="1123"/>
      <c r="T55" s="926"/>
      <c r="U55" s="1122"/>
      <c r="V55" s="1123"/>
      <c r="W55" s="926"/>
      <c r="X55" s="1122"/>
      <c r="Y55" s="1123"/>
      <c r="Z55" s="1124"/>
      <c r="AA55" s="1125"/>
      <c r="AB55" s="1126"/>
      <c r="AC55" s="1127"/>
      <c r="AD55" s="1127"/>
      <c r="AE55" s="1128"/>
      <c r="AF55" s="1127"/>
      <c r="AG55" s="1127"/>
      <c r="AH55" s="1127"/>
      <c r="AI55" s="1127"/>
      <c r="AJ55" s="1127"/>
      <c r="AK55" s="1127"/>
      <c r="AL55" s="1127"/>
      <c r="AM55" s="1127"/>
      <c r="AN55" s="1127"/>
      <c r="AO55" s="1127"/>
      <c r="AP55" s="1127"/>
      <c r="AQ55" s="1127"/>
      <c r="AR55" s="1127"/>
      <c r="AS55" s="1127"/>
      <c r="AT55" s="1127"/>
      <c r="AU55" s="1127"/>
      <c r="AV55" s="1127"/>
      <c r="AW55" s="1127"/>
      <c r="AX55" s="1127"/>
      <c r="AY55" s="1127"/>
      <c r="AZ55" s="1127"/>
      <c r="BA55" s="1129"/>
      <c r="BB55" s="1129"/>
      <c r="BC55" s="1129"/>
      <c r="BD55" s="1129"/>
      <c r="BE55" s="1129"/>
      <c r="BF55" s="1129"/>
      <c r="BG55" s="1129"/>
      <c r="BH55" s="1129"/>
      <c r="BI55" s="1129"/>
      <c r="BJ55" s="1129"/>
      <c r="BK55" s="1129"/>
      <c r="BL55" s="1129"/>
      <c r="BM55" s="1129"/>
      <c r="BN55" s="1129"/>
      <c r="BO55" s="1129"/>
      <c r="BP55" s="1129"/>
      <c r="BQ55" s="1129"/>
      <c r="BR55" s="1129"/>
      <c r="BS55" s="1129"/>
      <c r="BT55" s="1129"/>
      <c r="BU55" s="1129"/>
      <c r="BV55" s="1129"/>
      <c r="BW55" s="1129"/>
      <c r="BX55" s="1129"/>
      <c r="BY55" s="1129"/>
      <c r="BZ55" s="1129"/>
      <c r="CA55" s="1129"/>
      <c r="CB55" s="1129"/>
      <c r="CC55" s="1129"/>
      <c r="CD55" s="1129"/>
      <c r="CE55" s="1129"/>
      <c r="CF55" s="1129"/>
      <c r="CG55" s="1129"/>
      <c r="CH55" s="1129"/>
      <c r="CI55" s="1129"/>
      <c r="CJ55" s="1129"/>
      <c r="CK55" s="1129"/>
      <c r="CL55" s="1129"/>
      <c r="CM55" s="1129"/>
      <c r="CN55" s="1129"/>
      <c r="CO55" s="1129"/>
      <c r="CP55" s="1129"/>
      <c r="CQ55" s="1129"/>
      <c r="CR55" s="1129"/>
      <c r="CS55" s="1129"/>
      <c r="CT55" s="1129"/>
      <c r="CU55" s="1129"/>
      <c r="CV55" s="1129"/>
      <c r="CW55" s="1129"/>
      <c r="CX55" s="1129"/>
      <c r="CY55" s="1129"/>
      <c r="CZ55" s="1129"/>
      <c r="DA55" s="1129"/>
      <c r="DB55" s="1129"/>
      <c r="DC55" s="1129"/>
      <c r="DD55" s="1129"/>
      <c r="DE55" s="1129"/>
      <c r="DF55" s="1129"/>
      <c r="DG55" s="1129"/>
      <c r="DH55" s="1129"/>
      <c r="DI55" s="1129"/>
      <c r="DJ55" s="1129"/>
      <c r="DK55" s="1129"/>
      <c r="DL55" s="1129"/>
      <c r="DM55" s="1129"/>
      <c r="DN55" s="1129"/>
      <c r="DO55" s="1129"/>
      <c r="DP55" s="1129"/>
      <c r="DQ55" s="1129"/>
      <c r="DR55" s="1129"/>
      <c r="DS55" s="1129"/>
      <c r="DT55" s="1129"/>
      <c r="DU55" s="1129"/>
      <c r="DV55" s="1129"/>
      <c r="DW55" s="1129"/>
      <c r="DX55" s="1129"/>
      <c r="DY55" s="1129"/>
      <c r="DZ55" s="1129"/>
      <c r="EA55" s="1129"/>
      <c r="EB55" s="1129"/>
      <c r="EC55" s="1129"/>
      <c r="ED55" s="215"/>
      <c r="EE55" s="215"/>
      <c r="EF55" s="215"/>
    </row>
    <row r="56" ht="15.0" hidden="1" customHeight="1">
      <c r="A56" s="60">
        <v>86.0</v>
      </c>
      <c r="B56" s="1130" t="s">
        <v>270</v>
      </c>
      <c r="C56" s="463"/>
      <c r="D56" s="464"/>
      <c r="E56" s="464"/>
      <c r="F56" s="464"/>
      <c r="G56" s="464"/>
      <c r="H56" s="465"/>
      <c r="I56" s="464"/>
      <c r="J56" s="464"/>
      <c r="K56" s="1131"/>
      <c r="L56" s="1132"/>
      <c r="M56" s="464"/>
      <c r="N56" s="464"/>
      <c r="O56" s="464"/>
      <c r="P56" s="834"/>
      <c r="Q56" s="838"/>
      <c r="R56" s="1133"/>
      <c r="S56" s="1134"/>
      <c r="T56" s="838"/>
      <c r="U56" s="1133"/>
      <c r="V56" s="1134"/>
      <c r="W56" s="838"/>
      <c r="X56" s="1133"/>
      <c r="Y56" s="1134"/>
      <c r="Z56" s="1135"/>
      <c r="AA56" s="839"/>
      <c r="AB56" s="840"/>
      <c r="AC56" s="841"/>
      <c r="AD56" s="841"/>
      <c r="AE56" s="1136"/>
      <c r="AF56" s="841"/>
      <c r="AG56" s="841"/>
      <c r="AH56" s="1136"/>
      <c r="AI56" s="841"/>
      <c r="AJ56" s="841"/>
      <c r="AK56" s="1136"/>
      <c r="AL56" s="841"/>
      <c r="AM56" s="841"/>
      <c r="AN56" s="1136"/>
      <c r="AO56" s="841"/>
      <c r="AP56" s="841"/>
      <c r="AQ56" s="1136"/>
      <c r="AR56" s="841"/>
      <c r="AS56" s="841"/>
      <c r="AT56" s="841"/>
      <c r="AU56" s="841"/>
      <c r="AV56" s="841"/>
      <c r="AW56" s="841"/>
      <c r="AX56" s="841"/>
      <c r="AY56" s="841"/>
      <c r="AZ56" s="841"/>
      <c r="BA56" s="1137"/>
      <c r="BB56" s="1137"/>
      <c r="BC56" s="1137"/>
      <c r="BD56" s="1137"/>
      <c r="BE56" s="1137"/>
      <c r="BF56" s="1137"/>
      <c r="BG56" s="1137"/>
      <c r="BH56" s="1137"/>
      <c r="BI56" s="1137"/>
      <c r="BJ56" s="1137"/>
      <c r="BK56" s="1137"/>
      <c r="BL56" s="1137"/>
      <c r="BM56" s="1137"/>
      <c r="BN56" s="1137"/>
      <c r="BO56" s="1137"/>
      <c r="BP56" s="1137"/>
      <c r="BQ56" s="1137"/>
      <c r="BR56" s="1137"/>
      <c r="BS56" s="1137"/>
      <c r="BT56" s="1137"/>
      <c r="BU56" s="1137"/>
      <c r="BV56" s="1137"/>
      <c r="BW56" s="1137"/>
      <c r="BX56" s="1137"/>
      <c r="BY56" s="1137"/>
      <c r="BZ56" s="1137"/>
      <c r="CA56" s="1137"/>
      <c r="CB56" s="1137"/>
      <c r="CC56" s="1137"/>
      <c r="CD56" s="1137"/>
      <c r="CE56" s="1137"/>
      <c r="CF56" s="1137"/>
      <c r="CG56" s="1137"/>
      <c r="CH56" s="1137"/>
      <c r="CI56" s="1137"/>
      <c r="CJ56" s="1137"/>
      <c r="CK56" s="1137"/>
      <c r="CL56" s="1137"/>
      <c r="CM56" s="1137"/>
      <c r="CN56" s="1137"/>
      <c r="CO56" s="1137"/>
      <c r="CP56" s="1137"/>
      <c r="CQ56" s="1137"/>
      <c r="CR56" s="1137"/>
      <c r="CS56" s="1137"/>
      <c r="CT56" s="1137"/>
      <c r="CU56" s="1137"/>
      <c r="CV56" s="1137"/>
      <c r="CW56" s="1137"/>
      <c r="CX56" s="1137"/>
      <c r="CY56" s="1137"/>
      <c r="CZ56" s="1137"/>
      <c r="DA56" s="1137"/>
      <c r="DB56" s="1137"/>
      <c r="DC56" s="1137"/>
      <c r="DD56" s="1137"/>
      <c r="DE56" s="1137"/>
      <c r="DF56" s="1137"/>
      <c r="DG56" s="1137"/>
      <c r="DH56" s="1137"/>
      <c r="DI56" s="1137"/>
      <c r="DJ56" s="1137"/>
      <c r="DK56" s="1137"/>
      <c r="DL56" s="1137"/>
      <c r="DM56" s="1137"/>
      <c r="DN56" s="1137"/>
      <c r="DO56" s="1137"/>
      <c r="DP56" s="1137"/>
      <c r="DQ56" s="1137"/>
      <c r="DR56" s="1137"/>
      <c r="DS56" s="1137"/>
      <c r="DT56" s="1137"/>
      <c r="DU56" s="1137"/>
      <c r="DV56" s="1137"/>
      <c r="DW56" s="1137"/>
      <c r="DX56" s="1137"/>
      <c r="DY56" s="1137"/>
      <c r="DZ56" s="1137"/>
      <c r="EA56" s="1137"/>
      <c r="EB56" s="1137"/>
      <c r="EC56" s="1137"/>
      <c r="ED56" s="215"/>
      <c r="EE56" s="215"/>
      <c r="EF56" s="215"/>
    </row>
    <row r="57" ht="15.0" hidden="1" customHeight="1">
      <c r="A57" s="60">
        <v>92.0</v>
      </c>
      <c r="B57" s="1138" t="s">
        <v>284</v>
      </c>
      <c r="C57" s="493"/>
      <c r="D57" s="494"/>
      <c r="E57" s="494"/>
      <c r="F57" s="494"/>
      <c r="G57" s="494"/>
      <c r="H57" s="495"/>
      <c r="I57" s="494"/>
      <c r="J57" s="494"/>
      <c r="K57" s="983"/>
      <c r="L57" s="1139"/>
      <c r="M57" s="494"/>
      <c r="N57" s="494"/>
      <c r="O57" s="494"/>
      <c r="P57" s="1140"/>
      <c r="Q57" s="986"/>
      <c r="R57" s="1141"/>
      <c r="S57" s="1142"/>
      <c r="T57" s="981"/>
      <c r="U57" s="1141"/>
      <c r="V57" s="1142"/>
      <c r="W57" s="981"/>
      <c r="X57" s="1141"/>
      <c r="Y57" s="1142"/>
      <c r="Z57" s="1143"/>
      <c r="AA57" s="1144"/>
      <c r="AB57" s="1145"/>
      <c r="AC57" s="1146"/>
      <c r="AD57" s="1146"/>
      <c r="AE57" s="1147"/>
      <c r="AF57" s="1146"/>
      <c r="AG57" s="1146"/>
      <c r="AH57" s="1146"/>
      <c r="AI57" s="1146"/>
      <c r="AJ57" s="1146"/>
      <c r="AK57" s="1146"/>
      <c r="AL57" s="1146"/>
      <c r="AM57" s="1146"/>
      <c r="AN57" s="1146"/>
      <c r="AO57" s="1146"/>
      <c r="AP57" s="1146"/>
      <c r="AQ57" s="1146"/>
      <c r="AR57" s="1146"/>
      <c r="AS57" s="1146"/>
      <c r="AT57" s="1146"/>
      <c r="AU57" s="1146"/>
      <c r="AV57" s="1146"/>
      <c r="AW57" s="1146"/>
      <c r="AX57" s="1146"/>
      <c r="AY57" s="1146"/>
      <c r="AZ57" s="1146"/>
      <c r="BA57" s="1148"/>
      <c r="BB57" s="1148"/>
      <c r="BC57" s="1148"/>
      <c r="BD57" s="1148"/>
      <c r="BE57" s="1148"/>
      <c r="BF57" s="1148"/>
      <c r="BG57" s="1148"/>
      <c r="BH57" s="1148"/>
      <c r="BI57" s="1148"/>
      <c r="BJ57" s="1148"/>
      <c r="BK57" s="1148"/>
      <c r="BL57" s="1148"/>
      <c r="BM57" s="1148"/>
      <c r="BN57" s="1148"/>
      <c r="BO57" s="1148"/>
      <c r="BP57" s="1148"/>
      <c r="BQ57" s="1148"/>
      <c r="BR57" s="1148"/>
      <c r="BS57" s="1148"/>
      <c r="BT57" s="1148"/>
      <c r="BU57" s="1148"/>
      <c r="BV57" s="1148"/>
      <c r="BW57" s="1148"/>
      <c r="BX57" s="1148"/>
      <c r="BY57" s="1148"/>
      <c r="BZ57" s="1148"/>
      <c r="CA57" s="1148"/>
      <c r="CB57" s="1148"/>
      <c r="CC57" s="1148"/>
      <c r="CD57" s="1148"/>
      <c r="CE57" s="1148"/>
      <c r="CF57" s="1148"/>
      <c r="CG57" s="1148"/>
      <c r="CH57" s="1148"/>
      <c r="CI57" s="1148"/>
      <c r="CJ57" s="1148"/>
      <c r="CK57" s="1148"/>
      <c r="CL57" s="1148"/>
      <c r="CM57" s="1148"/>
      <c r="CN57" s="1148"/>
      <c r="CO57" s="1148"/>
      <c r="CP57" s="1148"/>
      <c r="CQ57" s="1148"/>
      <c r="CR57" s="1148"/>
      <c r="CS57" s="1148"/>
      <c r="CT57" s="1148"/>
      <c r="CU57" s="1148"/>
      <c r="CV57" s="1148"/>
      <c r="CW57" s="1148"/>
      <c r="CX57" s="1148"/>
      <c r="CY57" s="1148"/>
      <c r="CZ57" s="1148"/>
      <c r="DA57" s="1148"/>
      <c r="DB57" s="1148"/>
      <c r="DC57" s="1148"/>
      <c r="DD57" s="1148"/>
      <c r="DE57" s="1148"/>
      <c r="DF57" s="1148"/>
      <c r="DG57" s="1148"/>
      <c r="DH57" s="1148"/>
      <c r="DI57" s="1148"/>
      <c r="DJ57" s="1148"/>
      <c r="DK57" s="1148"/>
      <c r="DL57" s="1148"/>
      <c r="DM57" s="1148"/>
      <c r="DN57" s="1148"/>
      <c r="DO57" s="1148"/>
      <c r="DP57" s="1148"/>
      <c r="DQ57" s="1148"/>
      <c r="DR57" s="1148"/>
      <c r="DS57" s="1148"/>
      <c r="DT57" s="1148"/>
      <c r="DU57" s="1148"/>
      <c r="DV57" s="1148"/>
      <c r="DW57" s="1148"/>
      <c r="DX57" s="1148"/>
      <c r="DY57" s="1148"/>
      <c r="DZ57" s="1148"/>
      <c r="EA57" s="1148"/>
      <c r="EB57" s="1148"/>
      <c r="EC57" s="1148"/>
      <c r="ED57" s="186"/>
      <c r="EE57" s="186"/>
      <c r="EF57" s="186"/>
    </row>
    <row r="58" ht="15.0" customHeight="1" outlineLevel="1">
      <c r="A58" s="60">
        <v>61.0</v>
      </c>
      <c r="B58" s="747" t="s">
        <v>222</v>
      </c>
      <c r="C58" s="747" t="s">
        <v>223</v>
      </c>
      <c r="D58" s="71" t="s">
        <v>85</v>
      </c>
      <c r="E58" s="146" t="s">
        <v>169</v>
      </c>
      <c r="F58" s="771">
        <v>1112.0</v>
      </c>
      <c r="G58" s="139" t="s">
        <v>170</v>
      </c>
      <c r="H58" s="139">
        <v>1129.0</v>
      </c>
      <c r="I58" s="126" t="str">
        <f>IFERROR(VLOOKUP(C55:C197,'R22 RELATÓRIO ACC'!B:F,5,FALSE),"NOT PUBLISHED")</f>
        <v>V52</v>
      </c>
      <c r="J58" s="126" t="str">
        <f>IFERROR(VLOOKUP(C55:C197,'R22 RELATÓRIO ACC'!B:P,15,FALSE),"NOT PUBLISHED")</f>
        <v>30/04/2026</v>
      </c>
      <c r="K58" s="746" t="str">
        <f>IFERROR(VLOOKUP(B55:B197,'RELATÓRIO ACC'!B:F,5,FALSE),"NOT PUBLISHED")</f>
        <v>V4</v>
      </c>
      <c r="L58" s="748" t="str">
        <f>IFERROR(VLOOKUP(B55:B197,'RELATÓRIO ACC'!B:P,15,FALSE),"NOT PUBLISHED")</f>
        <v>06/07/2026</v>
      </c>
      <c r="M58" s="141" t="s">
        <v>506</v>
      </c>
      <c r="N58" s="1149" t="s">
        <v>503</v>
      </c>
      <c r="O58" s="1111" t="s">
        <v>482</v>
      </c>
      <c r="P58" s="751" t="s">
        <v>129</v>
      </c>
      <c r="Q58" s="746" t="s">
        <v>477</v>
      </c>
      <c r="R58" s="766" t="s">
        <v>476</v>
      </c>
      <c r="S58" s="764">
        <v>0.46</v>
      </c>
      <c r="T58" s="746" t="s">
        <v>477</v>
      </c>
      <c r="U58" s="766" t="s">
        <v>476</v>
      </c>
      <c r="V58" s="764">
        <v>0.92</v>
      </c>
      <c r="W58" s="852" t="s">
        <v>484</v>
      </c>
      <c r="X58" s="766" t="s">
        <v>476</v>
      </c>
      <c r="Y58" s="773">
        <v>1.0</v>
      </c>
      <c r="Z58" s="746" t="s">
        <v>484</v>
      </c>
      <c r="AA58" s="759" t="s">
        <v>476</v>
      </c>
      <c r="AB58" s="768">
        <v>1.0</v>
      </c>
      <c r="AC58" s="746" t="s">
        <v>484</v>
      </c>
      <c r="AD58" s="759" t="s">
        <v>476</v>
      </c>
      <c r="AE58" s="1057">
        <v>1.0</v>
      </c>
      <c r="AF58" s="746" t="s">
        <v>485</v>
      </c>
      <c r="AG58" s="759" t="s">
        <v>476</v>
      </c>
      <c r="AH58" s="764">
        <v>1.0</v>
      </c>
      <c r="AI58" s="746" t="s">
        <v>485</v>
      </c>
      <c r="AJ58" s="759" t="s">
        <v>476</v>
      </c>
      <c r="AK58" s="764">
        <v>1.0</v>
      </c>
      <c r="AL58" s="746" t="s">
        <v>485</v>
      </c>
      <c r="AM58" s="759" t="s">
        <v>476</v>
      </c>
      <c r="AN58" s="764">
        <v>1.0</v>
      </c>
      <c r="AO58" s="68" t="s">
        <v>485</v>
      </c>
      <c r="AP58" s="791" t="s">
        <v>476</v>
      </c>
      <c r="AQ58" s="135">
        <v>1.0</v>
      </c>
      <c r="AR58" s="68" t="s">
        <v>485</v>
      </c>
      <c r="AS58" s="791" t="s">
        <v>476</v>
      </c>
      <c r="AT58" s="764">
        <v>1.0</v>
      </c>
      <c r="AU58" s="68" t="s">
        <v>485</v>
      </c>
      <c r="AV58" s="791" t="s">
        <v>476</v>
      </c>
      <c r="AW58" s="764">
        <v>1.0</v>
      </c>
      <c r="AX58" s="68" t="s">
        <v>485</v>
      </c>
      <c r="AY58" s="791" t="s">
        <v>476</v>
      </c>
      <c r="AZ58" s="764">
        <v>1.0</v>
      </c>
      <c r="BA58" s="1064" t="s">
        <v>485</v>
      </c>
      <c r="BB58" s="1065" t="s">
        <v>476</v>
      </c>
      <c r="BC58" s="1079">
        <v>1.0</v>
      </c>
      <c r="BD58" s="1064" t="s">
        <v>485</v>
      </c>
      <c r="BE58" s="1065" t="s">
        <v>476</v>
      </c>
      <c r="BF58" s="1079">
        <v>1.0</v>
      </c>
      <c r="BG58" s="1064" t="s">
        <v>485</v>
      </c>
      <c r="BH58" s="1065" t="s">
        <v>476</v>
      </c>
      <c r="BI58" s="1079">
        <v>1.0</v>
      </c>
      <c r="BJ58" s="1064" t="s">
        <v>485</v>
      </c>
      <c r="BK58" s="1065" t="s">
        <v>476</v>
      </c>
      <c r="BL58" s="1079">
        <v>1.0</v>
      </c>
      <c r="BM58" s="1064" t="s">
        <v>485</v>
      </c>
      <c r="BN58" s="1065" t="s">
        <v>476</v>
      </c>
      <c r="BO58" s="1079">
        <v>1.0</v>
      </c>
      <c r="BP58" s="1064" t="s">
        <v>485</v>
      </c>
      <c r="BQ58" s="1065" t="s">
        <v>476</v>
      </c>
      <c r="BR58" s="1079">
        <v>1.0</v>
      </c>
      <c r="BS58" s="1064" t="s">
        <v>485</v>
      </c>
      <c r="BT58" s="1065" t="s">
        <v>476</v>
      </c>
      <c r="BU58" s="1079">
        <v>1.0</v>
      </c>
      <c r="BV58" s="1064" t="s">
        <v>485</v>
      </c>
      <c r="BW58" s="1065" t="s">
        <v>476</v>
      </c>
      <c r="BX58" s="1079">
        <v>1.0</v>
      </c>
      <c r="BY58" s="1064" t="s">
        <v>485</v>
      </c>
      <c r="BZ58" s="1065" t="s">
        <v>476</v>
      </c>
      <c r="CA58" s="1079">
        <v>1.0</v>
      </c>
      <c r="CB58" s="1064" t="s">
        <v>485</v>
      </c>
      <c r="CC58" s="1065" t="s">
        <v>476</v>
      </c>
      <c r="CD58" s="1079">
        <v>1.0</v>
      </c>
      <c r="CE58" s="1064" t="s">
        <v>485</v>
      </c>
      <c r="CF58" s="1065" t="s">
        <v>476</v>
      </c>
      <c r="CG58" s="1079">
        <v>1.0</v>
      </c>
      <c r="CH58" s="1064" t="s">
        <v>485</v>
      </c>
      <c r="CI58" s="1065" t="s">
        <v>476</v>
      </c>
      <c r="CJ58" s="1079">
        <v>1.0</v>
      </c>
      <c r="CK58" s="1064" t="s">
        <v>485</v>
      </c>
      <c r="CL58" s="1065" t="s">
        <v>476</v>
      </c>
      <c r="CM58" s="1079">
        <v>1.0</v>
      </c>
      <c r="CN58" s="1064" t="s">
        <v>485</v>
      </c>
      <c r="CO58" s="1065" t="s">
        <v>476</v>
      </c>
      <c r="CP58" s="1066">
        <v>1.0</v>
      </c>
      <c r="CQ58" s="1064" t="s">
        <v>485</v>
      </c>
      <c r="CR58" s="1065" t="s">
        <v>476</v>
      </c>
      <c r="CS58" s="1066">
        <v>1.0</v>
      </c>
      <c r="CT58" s="1064" t="s">
        <v>485</v>
      </c>
      <c r="CU58" s="1065" t="s">
        <v>476</v>
      </c>
      <c r="CV58" s="1066">
        <v>1.0</v>
      </c>
      <c r="CW58" s="1064" t="s">
        <v>485</v>
      </c>
      <c r="CX58" s="1065" t="s">
        <v>476</v>
      </c>
      <c r="CY58" s="1066">
        <v>1.0</v>
      </c>
      <c r="CZ58" s="1064" t="s">
        <v>485</v>
      </c>
      <c r="DA58" s="1065" t="s">
        <v>476</v>
      </c>
      <c r="DB58" s="1066">
        <v>1.0</v>
      </c>
      <c r="DC58" s="1064" t="s">
        <v>485</v>
      </c>
      <c r="DD58" s="1065" t="s">
        <v>476</v>
      </c>
      <c r="DE58" s="1066">
        <v>1.0</v>
      </c>
      <c r="DF58" s="1064" t="s">
        <v>485</v>
      </c>
      <c r="DG58" s="1065" t="s">
        <v>476</v>
      </c>
      <c r="DH58" s="1066">
        <v>1.0</v>
      </c>
      <c r="DI58" s="1064" t="s">
        <v>485</v>
      </c>
      <c r="DJ58" s="1065" t="s">
        <v>476</v>
      </c>
      <c r="DK58" s="1066">
        <v>1.0</v>
      </c>
      <c r="DL58" s="1064" t="s">
        <v>485</v>
      </c>
      <c r="DM58" s="1065" t="s">
        <v>476</v>
      </c>
      <c r="DN58" s="1066">
        <v>1.0</v>
      </c>
      <c r="DO58" s="1064" t="s">
        <v>485</v>
      </c>
      <c r="DP58" s="1065" t="s">
        <v>476</v>
      </c>
      <c r="DQ58" s="1066">
        <v>1.0</v>
      </c>
      <c r="DR58" s="1064" t="s">
        <v>485</v>
      </c>
      <c r="DS58" s="1065" t="s">
        <v>476</v>
      </c>
      <c r="DT58" s="1066">
        <v>1.0</v>
      </c>
      <c r="DU58" s="1064" t="s">
        <v>485</v>
      </c>
      <c r="DV58" s="1065" t="s">
        <v>476</v>
      </c>
      <c r="DW58" s="1066">
        <v>1.0</v>
      </c>
      <c r="DX58" s="1064" t="s">
        <v>485</v>
      </c>
      <c r="DY58" s="1065" t="s">
        <v>476</v>
      </c>
      <c r="DZ58" s="1066">
        <v>1.0</v>
      </c>
      <c r="EA58" s="1064" t="s">
        <v>485</v>
      </c>
      <c r="EB58" s="1065" t="s">
        <v>476</v>
      </c>
      <c r="EC58" s="1066">
        <v>1.0</v>
      </c>
      <c r="ED58" s="111"/>
      <c r="EE58" s="111"/>
      <c r="EF58" s="111"/>
    </row>
    <row r="59" ht="15.0" customHeight="1" outlineLevel="1">
      <c r="A59" s="60">
        <v>63.0</v>
      </c>
      <c r="B59" s="849" t="s">
        <v>225</v>
      </c>
      <c r="C59" s="849" t="s">
        <v>226</v>
      </c>
      <c r="D59" s="71" t="s">
        <v>85</v>
      </c>
      <c r="E59" s="146" t="s">
        <v>169</v>
      </c>
      <c r="F59" s="72" t="s">
        <v>169</v>
      </c>
      <c r="G59" s="139" t="s">
        <v>169</v>
      </c>
      <c r="H59" s="139"/>
      <c r="I59" s="126" t="str">
        <f>IFERROR(VLOOKUP(C56:C198,'R22 RELATÓRIO ACC'!B:F,5,FALSE),"NOT PUBLISHED")</f>
        <v>V13</v>
      </c>
      <c r="J59" s="126" t="str">
        <f>IFERROR(VLOOKUP(C56:C198,'R22 RELATÓRIO ACC'!B:P,15,FALSE),"NOT PUBLISHED")</f>
        <v>12/05/2026</v>
      </c>
      <c r="K59" s="746" t="str">
        <f>IFERROR(VLOOKUP(B56:B198,'RELATÓRIO ACC'!B:F,5,FALSE),"NOT PUBLISHED")</f>
        <v>V5</v>
      </c>
      <c r="L59" s="748" t="str">
        <f>IFERROR(VLOOKUP(B56:B198,'RELATÓRIO ACC'!B:P,15,FALSE),"NOT PUBLISHED")</f>
        <v>13/07/2026</v>
      </c>
      <c r="M59" s="141" t="s">
        <v>507</v>
      </c>
      <c r="N59" s="782">
        <v>46008.0</v>
      </c>
      <c r="O59" s="1111" t="s">
        <v>482</v>
      </c>
      <c r="P59" s="751"/>
      <c r="Q59" s="746" t="s">
        <v>466</v>
      </c>
      <c r="R59" s="74" t="s">
        <v>462</v>
      </c>
      <c r="S59" s="746" t="s">
        <v>466</v>
      </c>
      <c r="T59" s="746" t="s">
        <v>466</v>
      </c>
      <c r="U59" s="74" t="s">
        <v>462</v>
      </c>
      <c r="V59" s="746" t="s">
        <v>466</v>
      </c>
      <c r="W59" s="852" t="s">
        <v>466</v>
      </c>
      <c r="X59" s="74" t="s">
        <v>462</v>
      </c>
      <c r="Y59" s="749" t="s">
        <v>466</v>
      </c>
      <c r="Z59" s="746" t="s">
        <v>466</v>
      </c>
      <c r="AA59" s="74" t="s">
        <v>462</v>
      </c>
      <c r="AB59" s="750" t="s">
        <v>466</v>
      </c>
      <c r="AC59" s="746" t="s">
        <v>466</v>
      </c>
      <c r="AD59" s="74" t="s">
        <v>462</v>
      </c>
      <c r="AE59" s="746" t="s">
        <v>466</v>
      </c>
      <c r="AF59" s="746" t="s">
        <v>466</v>
      </c>
      <c r="AG59" s="74" t="s">
        <v>462</v>
      </c>
      <c r="AH59" s="746" t="s">
        <v>466</v>
      </c>
      <c r="AI59" s="746" t="s">
        <v>466</v>
      </c>
      <c r="AJ59" s="74" t="s">
        <v>462</v>
      </c>
      <c r="AK59" s="746" t="s">
        <v>466</v>
      </c>
      <c r="AL59" s="746" t="s">
        <v>466</v>
      </c>
      <c r="AM59" s="74" t="s">
        <v>462</v>
      </c>
      <c r="AN59" s="746" t="s">
        <v>466</v>
      </c>
      <c r="AO59" s="763" t="s">
        <v>477</v>
      </c>
      <c r="AP59" s="791" t="s">
        <v>476</v>
      </c>
      <c r="AQ59" s="135">
        <v>0.33</v>
      </c>
      <c r="AR59" s="763" t="s">
        <v>477</v>
      </c>
      <c r="AS59" s="791" t="s">
        <v>476</v>
      </c>
      <c r="AT59" s="135">
        <v>0.72</v>
      </c>
      <c r="AU59" s="763" t="s">
        <v>478</v>
      </c>
      <c r="AV59" s="791" t="s">
        <v>476</v>
      </c>
      <c r="AW59" s="763" t="s">
        <v>478</v>
      </c>
      <c r="AX59" s="763" t="s">
        <v>478</v>
      </c>
      <c r="AY59" s="791" t="s">
        <v>476</v>
      </c>
      <c r="AZ59" s="763" t="s">
        <v>478</v>
      </c>
      <c r="BA59" s="1150" t="s">
        <v>477</v>
      </c>
      <c r="BB59" s="1151" t="s">
        <v>476</v>
      </c>
      <c r="BC59" s="1059">
        <v>0.72</v>
      </c>
      <c r="BD59" s="763" t="s">
        <v>484</v>
      </c>
      <c r="BE59" s="791" t="s">
        <v>476</v>
      </c>
      <c r="BF59" s="135">
        <v>1.0</v>
      </c>
      <c r="BG59" s="1064" t="s">
        <v>485</v>
      </c>
      <c r="BH59" s="791" t="s">
        <v>476</v>
      </c>
      <c r="BI59" s="135">
        <v>1.0</v>
      </c>
      <c r="BJ59" s="1064" t="s">
        <v>485</v>
      </c>
      <c r="BK59" s="791" t="s">
        <v>476</v>
      </c>
      <c r="BL59" s="135">
        <v>1.0</v>
      </c>
      <c r="BM59" s="1064" t="s">
        <v>485</v>
      </c>
      <c r="BN59" s="791" t="s">
        <v>476</v>
      </c>
      <c r="BO59" s="135">
        <v>1.0</v>
      </c>
      <c r="BP59" s="1064" t="s">
        <v>485</v>
      </c>
      <c r="BQ59" s="791" t="s">
        <v>476</v>
      </c>
      <c r="BR59" s="135">
        <v>1.0</v>
      </c>
      <c r="BS59" s="1064" t="s">
        <v>485</v>
      </c>
      <c r="BT59" s="791" t="s">
        <v>476</v>
      </c>
      <c r="BU59" s="135">
        <v>1.0</v>
      </c>
      <c r="BV59" s="1064" t="s">
        <v>485</v>
      </c>
      <c r="BW59" s="791" t="s">
        <v>476</v>
      </c>
      <c r="BX59" s="135">
        <v>1.0</v>
      </c>
      <c r="BY59" s="1064" t="s">
        <v>485</v>
      </c>
      <c r="BZ59" s="791" t="s">
        <v>476</v>
      </c>
      <c r="CA59" s="135">
        <v>1.0</v>
      </c>
      <c r="CB59" s="1064" t="s">
        <v>485</v>
      </c>
      <c r="CC59" s="791" t="s">
        <v>476</v>
      </c>
      <c r="CD59" s="135">
        <v>1.0</v>
      </c>
      <c r="CE59" s="1064" t="s">
        <v>485</v>
      </c>
      <c r="CF59" s="791" t="s">
        <v>476</v>
      </c>
      <c r="CG59" s="135">
        <v>1.0</v>
      </c>
      <c r="CH59" s="1064" t="s">
        <v>485</v>
      </c>
      <c r="CI59" s="791" t="s">
        <v>476</v>
      </c>
      <c r="CJ59" s="135">
        <v>1.0</v>
      </c>
      <c r="CK59" s="1064" t="s">
        <v>485</v>
      </c>
      <c r="CL59" s="791" t="s">
        <v>476</v>
      </c>
      <c r="CM59" s="135">
        <v>1.0</v>
      </c>
      <c r="CN59" s="1064" t="s">
        <v>485</v>
      </c>
      <c r="CO59" s="791" t="s">
        <v>476</v>
      </c>
      <c r="CP59" s="135">
        <v>1.0</v>
      </c>
      <c r="CQ59" s="1064" t="s">
        <v>485</v>
      </c>
      <c r="CR59" s="791" t="s">
        <v>476</v>
      </c>
      <c r="CS59" s="135">
        <v>1.0</v>
      </c>
      <c r="CT59" s="1064" t="s">
        <v>485</v>
      </c>
      <c r="CU59" s="791" t="s">
        <v>476</v>
      </c>
      <c r="CV59" s="135">
        <v>1.0</v>
      </c>
      <c r="CW59" s="1064" t="s">
        <v>485</v>
      </c>
      <c r="CX59" s="791" t="s">
        <v>476</v>
      </c>
      <c r="CY59" s="135">
        <v>1.0</v>
      </c>
      <c r="CZ59" s="1064" t="s">
        <v>485</v>
      </c>
      <c r="DA59" s="791" t="s">
        <v>476</v>
      </c>
      <c r="DB59" s="135">
        <v>1.0</v>
      </c>
      <c r="DC59" s="1064" t="s">
        <v>485</v>
      </c>
      <c r="DD59" s="791" t="s">
        <v>476</v>
      </c>
      <c r="DE59" s="135">
        <v>1.0</v>
      </c>
      <c r="DF59" s="1064" t="s">
        <v>485</v>
      </c>
      <c r="DG59" s="791" t="s">
        <v>476</v>
      </c>
      <c r="DH59" s="135">
        <v>1.0</v>
      </c>
      <c r="DI59" s="1064" t="s">
        <v>485</v>
      </c>
      <c r="DJ59" s="791" t="s">
        <v>476</v>
      </c>
      <c r="DK59" s="135">
        <v>1.0</v>
      </c>
      <c r="DL59" s="1064" t="s">
        <v>485</v>
      </c>
      <c r="DM59" s="791" t="s">
        <v>476</v>
      </c>
      <c r="DN59" s="135">
        <v>1.0</v>
      </c>
      <c r="DO59" s="1064" t="s">
        <v>485</v>
      </c>
      <c r="DP59" s="791" t="s">
        <v>476</v>
      </c>
      <c r="DQ59" s="135">
        <v>1.0</v>
      </c>
      <c r="DR59" s="1064" t="s">
        <v>485</v>
      </c>
      <c r="DS59" s="791" t="s">
        <v>476</v>
      </c>
      <c r="DT59" s="135">
        <v>1.0</v>
      </c>
      <c r="DU59" s="1064" t="s">
        <v>485</v>
      </c>
      <c r="DV59" s="791" t="s">
        <v>476</v>
      </c>
      <c r="DW59" s="135">
        <v>1.0</v>
      </c>
      <c r="DX59" s="1064" t="s">
        <v>485</v>
      </c>
      <c r="DY59" s="791" t="s">
        <v>476</v>
      </c>
      <c r="DZ59" s="135">
        <v>1.0</v>
      </c>
      <c r="EA59" s="1064" t="s">
        <v>485</v>
      </c>
      <c r="EB59" s="791" t="s">
        <v>476</v>
      </c>
      <c r="EC59" s="135">
        <v>1.0</v>
      </c>
      <c r="ED59" s="111"/>
      <c r="EE59" s="111"/>
      <c r="EF59" s="111"/>
    </row>
    <row r="60" ht="15.0" customHeight="1" outlineLevel="1">
      <c r="A60" s="60">
        <v>66.0</v>
      </c>
      <c r="B60" s="747" t="s">
        <v>230</v>
      </c>
      <c r="C60" s="747" t="s">
        <v>231</v>
      </c>
      <c r="D60" s="71" t="s">
        <v>85</v>
      </c>
      <c r="E60" s="146" t="s">
        <v>232</v>
      </c>
      <c r="F60" s="72">
        <v>1116.0</v>
      </c>
      <c r="G60" s="139" t="s">
        <v>232</v>
      </c>
      <c r="H60" s="139">
        <v>1116.0</v>
      </c>
      <c r="I60" s="126" t="str">
        <f>IFERROR(VLOOKUP(C57:C199,'R22 RELATÓRIO ACC'!B:F,5,FALSE),"NOT PUBLISHED")</f>
        <v>V15</v>
      </c>
      <c r="J60" s="126" t="str">
        <f>IFERROR(VLOOKUP(C57:C199,'R22 RELATÓRIO ACC'!B:P,15,FALSE),"NOT PUBLISHED")</f>
        <v>15/04/2026</v>
      </c>
      <c r="K60" s="746" t="str">
        <f>IFERROR(VLOOKUP(B57:B199,'RELATÓRIO ACC'!B:F,5,FALSE),"NOT PUBLISHED")</f>
        <v>V2</v>
      </c>
      <c r="L60" s="748" t="str">
        <f>IFERROR(VLOOKUP(B57:B199,'RELATÓRIO ACC'!B:P,15,FALSE),"NOT PUBLISHED")</f>
        <v>02/06/2026</v>
      </c>
      <c r="M60" s="141" t="s">
        <v>508</v>
      </c>
      <c r="N60" s="756" t="s">
        <v>509</v>
      </c>
      <c r="O60" s="1111" t="s">
        <v>482</v>
      </c>
      <c r="P60" s="751" t="s">
        <v>91</v>
      </c>
      <c r="Q60" s="746" t="s">
        <v>466</v>
      </c>
      <c r="R60" s="74" t="s">
        <v>462</v>
      </c>
      <c r="S60" s="746" t="s">
        <v>466</v>
      </c>
      <c r="T60" s="746" t="s">
        <v>466</v>
      </c>
      <c r="U60" s="74" t="s">
        <v>462</v>
      </c>
      <c r="V60" s="746" t="s">
        <v>466</v>
      </c>
      <c r="W60" s="746" t="s">
        <v>477</v>
      </c>
      <c r="X60" s="759" t="s">
        <v>476</v>
      </c>
      <c r="Y60" s="764">
        <v>0.36</v>
      </c>
      <c r="Z60" s="746" t="s">
        <v>477</v>
      </c>
      <c r="AA60" s="759" t="s">
        <v>476</v>
      </c>
      <c r="AB60" s="764">
        <v>0.94</v>
      </c>
      <c r="AC60" s="746" t="s">
        <v>484</v>
      </c>
      <c r="AD60" s="759" t="s">
        <v>476</v>
      </c>
      <c r="AE60" s="764">
        <v>1.0</v>
      </c>
      <c r="AF60" s="746" t="s">
        <v>485</v>
      </c>
      <c r="AG60" s="759" t="s">
        <v>476</v>
      </c>
      <c r="AH60" s="764">
        <v>1.0</v>
      </c>
      <c r="AI60" s="746" t="s">
        <v>485</v>
      </c>
      <c r="AJ60" s="759" t="s">
        <v>476</v>
      </c>
      <c r="AK60" s="764">
        <v>1.0</v>
      </c>
      <c r="AL60" s="746" t="s">
        <v>485</v>
      </c>
      <c r="AM60" s="759" t="s">
        <v>476</v>
      </c>
      <c r="AN60" s="764">
        <v>1.0</v>
      </c>
      <c r="AO60" s="746" t="s">
        <v>485</v>
      </c>
      <c r="AP60" s="759" t="s">
        <v>476</v>
      </c>
      <c r="AQ60" s="764">
        <v>1.0</v>
      </c>
      <c r="AR60" s="746" t="s">
        <v>485</v>
      </c>
      <c r="AS60" s="759" t="s">
        <v>476</v>
      </c>
      <c r="AT60" s="764">
        <v>1.0</v>
      </c>
      <c r="AU60" s="746" t="s">
        <v>485</v>
      </c>
      <c r="AV60" s="759" t="s">
        <v>476</v>
      </c>
      <c r="AW60" s="764">
        <v>1.0</v>
      </c>
      <c r="AX60" s="746" t="s">
        <v>485</v>
      </c>
      <c r="AY60" s="759" t="s">
        <v>476</v>
      </c>
      <c r="AZ60" s="764">
        <v>1.0</v>
      </c>
      <c r="BA60" s="1069" t="s">
        <v>485</v>
      </c>
      <c r="BB60" s="1088" t="s">
        <v>476</v>
      </c>
      <c r="BC60" s="1079">
        <v>1.0</v>
      </c>
      <c r="BD60" s="1069" t="s">
        <v>485</v>
      </c>
      <c r="BE60" s="1088" t="s">
        <v>476</v>
      </c>
      <c r="BF60" s="1079">
        <v>1.0</v>
      </c>
      <c r="BG60" s="1069" t="s">
        <v>485</v>
      </c>
      <c r="BH60" s="1088" t="s">
        <v>476</v>
      </c>
      <c r="BI60" s="1079">
        <v>1.0</v>
      </c>
      <c r="BJ60" s="1069" t="s">
        <v>485</v>
      </c>
      <c r="BK60" s="1088" t="s">
        <v>476</v>
      </c>
      <c r="BL60" s="1079">
        <v>1.0</v>
      </c>
      <c r="BM60" s="1069" t="s">
        <v>485</v>
      </c>
      <c r="BN60" s="1088" t="s">
        <v>476</v>
      </c>
      <c r="BO60" s="1079">
        <v>1.0</v>
      </c>
      <c r="BP60" s="1069" t="s">
        <v>485</v>
      </c>
      <c r="BQ60" s="1088" t="s">
        <v>476</v>
      </c>
      <c r="BR60" s="1079">
        <v>1.0</v>
      </c>
      <c r="BS60" s="1069" t="s">
        <v>485</v>
      </c>
      <c r="BT60" s="1088" t="s">
        <v>476</v>
      </c>
      <c r="BU60" s="1079">
        <v>1.0</v>
      </c>
      <c r="BV60" s="1069" t="s">
        <v>485</v>
      </c>
      <c r="BW60" s="1088" t="s">
        <v>476</v>
      </c>
      <c r="BX60" s="1079">
        <v>1.0</v>
      </c>
      <c r="BY60" s="1069" t="s">
        <v>485</v>
      </c>
      <c r="BZ60" s="1088" t="s">
        <v>476</v>
      </c>
      <c r="CA60" s="1079">
        <v>1.0</v>
      </c>
      <c r="CB60" s="1069" t="s">
        <v>485</v>
      </c>
      <c r="CC60" s="1088" t="s">
        <v>476</v>
      </c>
      <c r="CD60" s="1079">
        <v>1.0</v>
      </c>
      <c r="CE60" s="1069" t="s">
        <v>485</v>
      </c>
      <c r="CF60" s="1088" t="s">
        <v>476</v>
      </c>
      <c r="CG60" s="1079">
        <v>1.0</v>
      </c>
      <c r="CH60" s="1069" t="s">
        <v>485</v>
      </c>
      <c r="CI60" s="1088" t="s">
        <v>476</v>
      </c>
      <c r="CJ60" s="1079">
        <v>1.0</v>
      </c>
      <c r="CK60" s="1069" t="s">
        <v>485</v>
      </c>
      <c r="CL60" s="1088" t="s">
        <v>476</v>
      </c>
      <c r="CM60" s="1079">
        <v>1.0</v>
      </c>
      <c r="CN60" s="1064" t="s">
        <v>485</v>
      </c>
      <c r="CO60" s="1065" t="s">
        <v>476</v>
      </c>
      <c r="CP60" s="1066">
        <v>1.0</v>
      </c>
      <c r="CQ60" s="1064" t="s">
        <v>485</v>
      </c>
      <c r="CR60" s="1065" t="s">
        <v>476</v>
      </c>
      <c r="CS60" s="1066">
        <v>1.0</v>
      </c>
      <c r="CT60" s="1064" t="s">
        <v>485</v>
      </c>
      <c r="CU60" s="1065" t="s">
        <v>476</v>
      </c>
      <c r="CV60" s="1066">
        <v>1.0</v>
      </c>
      <c r="CW60" s="1064" t="s">
        <v>485</v>
      </c>
      <c r="CX60" s="1065" t="s">
        <v>476</v>
      </c>
      <c r="CY60" s="1066">
        <v>1.0</v>
      </c>
      <c r="CZ60" s="1064" t="s">
        <v>485</v>
      </c>
      <c r="DA60" s="1065" t="s">
        <v>476</v>
      </c>
      <c r="DB60" s="1066">
        <v>1.0</v>
      </c>
      <c r="DC60" s="1064" t="s">
        <v>485</v>
      </c>
      <c r="DD60" s="1065" t="s">
        <v>476</v>
      </c>
      <c r="DE60" s="1066">
        <v>1.0</v>
      </c>
      <c r="DF60" s="1064" t="s">
        <v>485</v>
      </c>
      <c r="DG60" s="1065" t="s">
        <v>476</v>
      </c>
      <c r="DH60" s="1066">
        <v>1.0</v>
      </c>
      <c r="DI60" s="1064" t="s">
        <v>485</v>
      </c>
      <c r="DJ60" s="1065" t="s">
        <v>476</v>
      </c>
      <c r="DK60" s="1066">
        <v>1.0</v>
      </c>
      <c r="DL60" s="1064" t="s">
        <v>485</v>
      </c>
      <c r="DM60" s="1065" t="s">
        <v>476</v>
      </c>
      <c r="DN60" s="1066">
        <v>1.0</v>
      </c>
      <c r="DO60" s="1064" t="s">
        <v>485</v>
      </c>
      <c r="DP60" s="1065" t="s">
        <v>476</v>
      </c>
      <c r="DQ60" s="1066">
        <v>1.0</v>
      </c>
      <c r="DR60" s="1064" t="s">
        <v>485</v>
      </c>
      <c r="DS60" s="1065" t="s">
        <v>476</v>
      </c>
      <c r="DT60" s="1066">
        <v>1.0</v>
      </c>
      <c r="DU60" s="1064" t="s">
        <v>485</v>
      </c>
      <c r="DV60" s="1065" t="s">
        <v>476</v>
      </c>
      <c r="DW60" s="1066">
        <v>1.0</v>
      </c>
      <c r="DX60" s="1064" t="s">
        <v>485</v>
      </c>
      <c r="DY60" s="1065" t="s">
        <v>476</v>
      </c>
      <c r="DZ60" s="1066">
        <v>1.0</v>
      </c>
      <c r="EA60" s="1064" t="s">
        <v>485</v>
      </c>
      <c r="EB60" s="1065" t="s">
        <v>476</v>
      </c>
      <c r="EC60" s="1066">
        <v>1.0</v>
      </c>
      <c r="ED60" s="111"/>
      <c r="EE60" s="111"/>
      <c r="EF60" s="111"/>
    </row>
    <row r="61" ht="15.0" customHeight="1" outlineLevel="1">
      <c r="A61" s="60">
        <v>69.0</v>
      </c>
      <c r="B61" s="849" t="s">
        <v>236</v>
      </c>
      <c r="C61" s="849" t="s">
        <v>237</v>
      </c>
      <c r="D61" s="71" t="s">
        <v>85</v>
      </c>
      <c r="E61" s="146" t="s">
        <v>169</v>
      </c>
      <c r="F61" s="72">
        <v>1112.0</v>
      </c>
      <c r="G61" s="139" t="s">
        <v>169</v>
      </c>
      <c r="H61" s="139">
        <v>1112.0</v>
      </c>
      <c r="I61" s="126" t="str">
        <f>IFERROR(VLOOKUP(C58:C200,'R22 RELATÓRIO ACC'!B:F,5,FALSE),"NOT PUBLISHED")</f>
        <v>V24</v>
      </c>
      <c r="J61" s="126" t="str">
        <f>IFERROR(VLOOKUP(C58:C200,'R22 RELATÓRIO ACC'!B:P,15,FALSE),"NOT PUBLISHED")</f>
        <v>15/05/2026</v>
      </c>
      <c r="K61" s="746" t="str">
        <f>IFERROR(VLOOKUP(B58:B200,'RELATÓRIO ACC'!B:F,5,FALSE),"NOT PUBLISHED")</f>
        <v>V2</v>
      </c>
      <c r="L61" s="748" t="str">
        <f>IFERROR(VLOOKUP(B58:B200,'RELATÓRIO ACC'!B:P,15,FALSE),"NOT PUBLISHED")</f>
        <v>06/07/2026</v>
      </c>
      <c r="M61" s="141" t="s">
        <v>481</v>
      </c>
      <c r="N61" s="843" t="s">
        <v>513</v>
      </c>
      <c r="O61" s="1111" t="s">
        <v>482</v>
      </c>
      <c r="P61" s="751" t="s">
        <v>473</v>
      </c>
      <c r="Q61" s="746" t="s">
        <v>477</v>
      </c>
      <c r="R61" s="766" t="s">
        <v>476</v>
      </c>
      <c r="S61" s="764">
        <v>0.4</v>
      </c>
      <c r="T61" s="746" t="s">
        <v>478</v>
      </c>
      <c r="U61" s="466" t="s">
        <v>483</v>
      </c>
      <c r="V61" s="755" t="s">
        <v>478</v>
      </c>
      <c r="W61" s="746" t="s">
        <v>477</v>
      </c>
      <c r="X61" s="766" t="s">
        <v>476</v>
      </c>
      <c r="Y61" s="764">
        <v>0.57</v>
      </c>
      <c r="Z61" s="746" t="s">
        <v>477</v>
      </c>
      <c r="AA61" s="766" t="s">
        <v>476</v>
      </c>
      <c r="AB61" s="764">
        <v>0.66</v>
      </c>
      <c r="AC61" s="755" t="s">
        <v>478</v>
      </c>
      <c r="AD61" s="766" t="s">
        <v>476</v>
      </c>
      <c r="AE61" s="755" t="s">
        <v>478</v>
      </c>
      <c r="AF61" s="755" t="s">
        <v>478</v>
      </c>
      <c r="AG61" s="766" t="s">
        <v>476</v>
      </c>
      <c r="AH61" s="755" t="s">
        <v>478</v>
      </c>
      <c r="AI61" s="755" t="s">
        <v>478</v>
      </c>
      <c r="AJ61" s="766" t="s">
        <v>476</v>
      </c>
      <c r="AK61" s="755" t="s">
        <v>478</v>
      </c>
      <c r="AL61" s="755" t="s">
        <v>478</v>
      </c>
      <c r="AM61" s="766" t="s">
        <v>476</v>
      </c>
      <c r="AN61" s="755" t="s">
        <v>478</v>
      </c>
      <c r="AO61" s="755" t="s">
        <v>478</v>
      </c>
      <c r="AP61" s="766" t="s">
        <v>476</v>
      </c>
      <c r="AQ61" s="755" t="s">
        <v>478</v>
      </c>
      <c r="AR61" s="755" t="s">
        <v>478</v>
      </c>
      <c r="AS61" s="766" t="s">
        <v>476</v>
      </c>
      <c r="AT61" s="755" t="s">
        <v>478</v>
      </c>
      <c r="AU61" s="755" t="s">
        <v>474</v>
      </c>
      <c r="AV61" s="766" t="s">
        <v>476</v>
      </c>
      <c r="AW61" s="755" t="s">
        <v>474</v>
      </c>
      <c r="AX61" s="758" t="s">
        <v>475</v>
      </c>
      <c r="AY61" s="759" t="s">
        <v>476</v>
      </c>
      <c r="AZ61" s="758" t="s">
        <v>475</v>
      </c>
      <c r="BA61" s="755" t="s">
        <v>474</v>
      </c>
      <c r="BB61" s="759" t="s">
        <v>476</v>
      </c>
      <c r="BC61" s="755" t="s">
        <v>474</v>
      </c>
      <c r="BD61" s="758" t="s">
        <v>475</v>
      </c>
      <c r="BE61" s="759" t="s">
        <v>476</v>
      </c>
      <c r="BF61" s="758" t="s">
        <v>475</v>
      </c>
      <c r="BG61" s="755" t="s">
        <v>477</v>
      </c>
      <c r="BH61" s="759" t="s">
        <v>476</v>
      </c>
      <c r="BI61" s="764">
        <v>0.78</v>
      </c>
      <c r="BJ61" s="758" t="s">
        <v>478</v>
      </c>
      <c r="BK61" s="759" t="s">
        <v>476</v>
      </c>
      <c r="BL61" s="758" t="s">
        <v>478</v>
      </c>
      <c r="BM61" s="755" t="s">
        <v>475</v>
      </c>
      <c r="BN61" s="759" t="s">
        <v>476</v>
      </c>
      <c r="BO61" s="755" t="s">
        <v>475</v>
      </c>
      <c r="BP61" s="755" t="s">
        <v>474</v>
      </c>
      <c r="BQ61" s="759" t="s">
        <v>476</v>
      </c>
      <c r="BR61" s="755" t="s">
        <v>474</v>
      </c>
      <c r="BS61" s="755" t="s">
        <v>474</v>
      </c>
      <c r="BT61" s="759" t="s">
        <v>476</v>
      </c>
      <c r="BU61" s="755" t="s">
        <v>474</v>
      </c>
      <c r="BV61" s="755" t="s">
        <v>477</v>
      </c>
      <c r="BW61" s="759" t="s">
        <v>476</v>
      </c>
      <c r="BX61" s="764">
        <v>0.85</v>
      </c>
      <c r="BY61" s="755" t="s">
        <v>478</v>
      </c>
      <c r="BZ61" s="759" t="s">
        <v>476</v>
      </c>
      <c r="CA61" s="755" t="s">
        <v>478</v>
      </c>
      <c r="CB61" s="755" t="s">
        <v>478</v>
      </c>
      <c r="CC61" s="759" t="s">
        <v>476</v>
      </c>
      <c r="CD61" s="755" t="s">
        <v>478</v>
      </c>
      <c r="CE61" s="755" t="s">
        <v>477</v>
      </c>
      <c r="CF61" s="759" t="s">
        <v>476</v>
      </c>
      <c r="CG61" s="1152">
        <v>0.97</v>
      </c>
      <c r="CH61" s="755" t="s">
        <v>477</v>
      </c>
      <c r="CI61" s="759" t="s">
        <v>476</v>
      </c>
      <c r="CJ61" s="1152">
        <v>0.99</v>
      </c>
      <c r="CK61" s="755" t="s">
        <v>474</v>
      </c>
      <c r="CL61" s="759" t="s">
        <v>476</v>
      </c>
      <c r="CM61" s="755" t="s">
        <v>474</v>
      </c>
      <c r="CN61" s="763" t="s">
        <v>484</v>
      </c>
      <c r="CO61" s="791" t="s">
        <v>476</v>
      </c>
      <c r="CP61" s="135">
        <v>1.0</v>
      </c>
      <c r="CQ61" s="1064" t="s">
        <v>485</v>
      </c>
      <c r="CR61" s="791" t="s">
        <v>476</v>
      </c>
      <c r="CS61" s="135">
        <v>1.0</v>
      </c>
      <c r="CT61" s="1064" t="s">
        <v>485</v>
      </c>
      <c r="CU61" s="791" t="s">
        <v>476</v>
      </c>
      <c r="CV61" s="135">
        <v>1.0</v>
      </c>
      <c r="CW61" s="1064" t="s">
        <v>485</v>
      </c>
      <c r="CX61" s="791" t="s">
        <v>476</v>
      </c>
      <c r="CY61" s="135">
        <v>1.0</v>
      </c>
      <c r="CZ61" s="1064" t="s">
        <v>485</v>
      </c>
      <c r="DA61" s="791" t="s">
        <v>476</v>
      </c>
      <c r="DB61" s="135">
        <v>1.0</v>
      </c>
      <c r="DC61" s="1064" t="s">
        <v>485</v>
      </c>
      <c r="DD61" s="791" t="s">
        <v>476</v>
      </c>
      <c r="DE61" s="135">
        <v>1.0</v>
      </c>
      <c r="DF61" s="1064" t="s">
        <v>485</v>
      </c>
      <c r="DG61" s="791" t="s">
        <v>476</v>
      </c>
      <c r="DH61" s="135">
        <v>1.0</v>
      </c>
      <c r="DI61" s="1064" t="s">
        <v>485</v>
      </c>
      <c r="DJ61" s="791" t="s">
        <v>476</v>
      </c>
      <c r="DK61" s="135">
        <v>1.0</v>
      </c>
      <c r="DL61" s="1064" t="s">
        <v>485</v>
      </c>
      <c r="DM61" s="791" t="s">
        <v>476</v>
      </c>
      <c r="DN61" s="135">
        <v>1.0</v>
      </c>
      <c r="DO61" s="1064" t="s">
        <v>485</v>
      </c>
      <c r="DP61" s="791" t="s">
        <v>476</v>
      </c>
      <c r="DQ61" s="135">
        <v>1.0</v>
      </c>
      <c r="DR61" s="1064" t="s">
        <v>485</v>
      </c>
      <c r="DS61" s="791" t="s">
        <v>476</v>
      </c>
      <c r="DT61" s="135">
        <v>1.0</v>
      </c>
      <c r="DU61" s="1064" t="s">
        <v>485</v>
      </c>
      <c r="DV61" s="791" t="s">
        <v>476</v>
      </c>
      <c r="DW61" s="135">
        <v>1.0</v>
      </c>
      <c r="DX61" s="1064" t="s">
        <v>485</v>
      </c>
      <c r="DY61" s="791" t="s">
        <v>476</v>
      </c>
      <c r="DZ61" s="135">
        <v>1.0</v>
      </c>
      <c r="EA61" s="1064" t="s">
        <v>485</v>
      </c>
      <c r="EB61" s="791" t="s">
        <v>476</v>
      </c>
      <c r="EC61" s="135">
        <v>1.0</v>
      </c>
      <c r="ED61" s="111"/>
      <c r="EE61" s="111"/>
      <c r="EF61" s="111"/>
    </row>
    <row r="62" ht="15.0" customHeight="1" outlineLevel="1">
      <c r="A62" s="60">
        <v>72.0</v>
      </c>
      <c r="B62" s="849" t="s">
        <v>241</v>
      </c>
      <c r="C62" s="849" t="s">
        <v>242</v>
      </c>
      <c r="D62" s="71" t="s">
        <v>85</v>
      </c>
      <c r="E62" s="146" t="s">
        <v>169</v>
      </c>
      <c r="F62" s="72">
        <v>1112.0</v>
      </c>
      <c r="G62" s="139" t="s">
        <v>169</v>
      </c>
      <c r="H62" s="139">
        <v>1112.0</v>
      </c>
      <c r="I62" s="126" t="str">
        <f>IFERROR(VLOOKUP(C59:C201,'R22 RELATÓRIO ACC'!B:F,5,FALSE),"NOT PUBLISHED")</f>
        <v>V17</v>
      </c>
      <c r="J62" s="126" t="str">
        <f>IFERROR(VLOOKUP(C59:C201,'R22 RELATÓRIO ACC'!B:P,15,FALSE),"NOT PUBLISHED")</f>
        <v>14/05/2026</v>
      </c>
      <c r="K62" s="746" t="str">
        <f>IFERROR(VLOOKUP(B59:B201,'RELATÓRIO ACC'!B:F,5,FALSE),"NOT PUBLISHED")</f>
        <v>V4</v>
      </c>
      <c r="L62" s="748" t="str">
        <f>IFERROR(VLOOKUP(B59:B201,'RELATÓRIO ACC'!B:P,15,FALSE),"NOT PUBLISHED")</f>
        <v>25/06/2026</v>
      </c>
      <c r="M62" s="141" t="s">
        <v>597</v>
      </c>
      <c r="N62" s="847">
        <v>46141.0</v>
      </c>
      <c r="O62" s="740" t="s">
        <v>472</v>
      </c>
      <c r="P62" s="751" t="s">
        <v>473</v>
      </c>
      <c r="Q62" s="746" t="s">
        <v>477</v>
      </c>
      <c r="R62" s="766" t="s">
        <v>476</v>
      </c>
      <c r="S62" s="764">
        <v>0.42</v>
      </c>
      <c r="T62" s="746" t="s">
        <v>478</v>
      </c>
      <c r="U62" s="466" t="s">
        <v>483</v>
      </c>
      <c r="V62" s="755" t="s">
        <v>478</v>
      </c>
      <c r="W62" s="746" t="s">
        <v>477</v>
      </c>
      <c r="X62" s="759" t="s">
        <v>476</v>
      </c>
      <c r="Y62" s="764">
        <v>0.52</v>
      </c>
      <c r="Z62" s="746" t="s">
        <v>477</v>
      </c>
      <c r="AA62" s="759" t="s">
        <v>476</v>
      </c>
      <c r="AB62" s="764">
        <v>0.57</v>
      </c>
      <c r="AC62" s="755" t="s">
        <v>478</v>
      </c>
      <c r="AD62" s="766" t="s">
        <v>476</v>
      </c>
      <c r="AE62" s="755" t="s">
        <v>478</v>
      </c>
      <c r="AF62" s="755" t="s">
        <v>478</v>
      </c>
      <c r="AG62" s="766" t="s">
        <v>476</v>
      </c>
      <c r="AH62" s="755" t="s">
        <v>478</v>
      </c>
      <c r="AI62" s="755" t="s">
        <v>478</v>
      </c>
      <c r="AJ62" s="766" t="s">
        <v>476</v>
      </c>
      <c r="AK62" s="755" t="s">
        <v>478</v>
      </c>
      <c r="AL62" s="755" t="s">
        <v>478</v>
      </c>
      <c r="AM62" s="766" t="s">
        <v>476</v>
      </c>
      <c r="AN62" s="755" t="s">
        <v>478</v>
      </c>
      <c r="AO62" s="755" t="s">
        <v>478</v>
      </c>
      <c r="AP62" s="766" t="s">
        <v>476</v>
      </c>
      <c r="AQ62" s="755" t="s">
        <v>478</v>
      </c>
      <c r="AR62" s="755" t="s">
        <v>478</v>
      </c>
      <c r="AS62" s="766" t="s">
        <v>476</v>
      </c>
      <c r="AT62" s="755" t="s">
        <v>478</v>
      </c>
      <c r="AU62" s="755" t="s">
        <v>474</v>
      </c>
      <c r="AV62" s="766" t="s">
        <v>476</v>
      </c>
      <c r="AW62" s="755" t="s">
        <v>474</v>
      </c>
      <c r="AX62" s="758" t="s">
        <v>475</v>
      </c>
      <c r="AY62" s="759" t="s">
        <v>476</v>
      </c>
      <c r="AZ62" s="758" t="s">
        <v>475</v>
      </c>
      <c r="BA62" s="755" t="s">
        <v>474</v>
      </c>
      <c r="BB62" s="759" t="s">
        <v>476</v>
      </c>
      <c r="BC62" s="755" t="s">
        <v>474</v>
      </c>
      <c r="BD62" s="758" t="s">
        <v>475</v>
      </c>
      <c r="BE62" s="759" t="s">
        <v>476</v>
      </c>
      <c r="BF62" s="758" t="s">
        <v>475</v>
      </c>
      <c r="BG62" s="755" t="s">
        <v>477</v>
      </c>
      <c r="BH62" s="759" t="s">
        <v>476</v>
      </c>
      <c r="BI62" s="764">
        <v>0.75</v>
      </c>
      <c r="BJ62" s="758" t="s">
        <v>478</v>
      </c>
      <c r="BK62" s="759" t="s">
        <v>476</v>
      </c>
      <c r="BL62" s="758" t="s">
        <v>478</v>
      </c>
      <c r="BM62" s="755" t="s">
        <v>475</v>
      </c>
      <c r="BN62" s="759" t="s">
        <v>476</v>
      </c>
      <c r="BO62" s="755" t="s">
        <v>475</v>
      </c>
      <c r="BP62" s="755" t="s">
        <v>474</v>
      </c>
      <c r="BQ62" s="759" t="s">
        <v>476</v>
      </c>
      <c r="BR62" s="755" t="s">
        <v>474</v>
      </c>
      <c r="BS62" s="755" t="s">
        <v>474</v>
      </c>
      <c r="BT62" s="759" t="s">
        <v>476</v>
      </c>
      <c r="BU62" s="755" t="s">
        <v>474</v>
      </c>
      <c r="BV62" s="755" t="s">
        <v>474</v>
      </c>
      <c r="BW62" s="759" t="s">
        <v>476</v>
      </c>
      <c r="BX62" s="755" t="s">
        <v>474</v>
      </c>
      <c r="BY62" s="755" t="s">
        <v>474</v>
      </c>
      <c r="BZ62" s="759" t="s">
        <v>476</v>
      </c>
      <c r="CA62" s="755" t="s">
        <v>474</v>
      </c>
      <c r="CB62" s="755" t="s">
        <v>477</v>
      </c>
      <c r="CC62" s="759" t="s">
        <v>476</v>
      </c>
      <c r="CD62" s="764">
        <v>0.77</v>
      </c>
      <c r="CE62" s="755" t="s">
        <v>474</v>
      </c>
      <c r="CF62" s="759" t="s">
        <v>476</v>
      </c>
      <c r="CG62" s="755" t="s">
        <v>474</v>
      </c>
      <c r="CH62" s="755" t="s">
        <v>477</v>
      </c>
      <c r="CI62" s="759" t="s">
        <v>476</v>
      </c>
      <c r="CJ62" s="1152">
        <v>0.92</v>
      </c>
      <c r="CK62" s="755" t="s">
        <v>478</v>
      </c>
      <c r="CL62" s="759" t="s">
        <v>476</v>
      </c>
      <c r="CM62" s="755" t="s">
        <v>478</v>
      </c>
      <c r="CN62" s="763" t="s">
        <v>474</v>
      </c>
      <c r="CO62" s="791" t="s">
        <v>476</v>
      </c>
      <c r="CP62" s="763" t="s">
        <v>474</v>
      </c>
      <c r="CQ62" s="763" t="s">
        <v>474</v>
      </c>
      <c r="CR62" s="791" t="s">
        <v>476</v>
      </c>
      <c r="CS62" s="763" t="s">
        <v>474</v>
      </c>
      <c r="CT62" s="763" t="s">
        <v>474</v>
      </c>
      <c r="CU62" s="791" t="s">
        <v>476</v>
      </c>
      <c r="CV62" s="763" t="s">
        <v>474</v>
      </c>
      <c r="CW62" s="763" t="s">
        <v>474</v>
      </c>
      <c r="CX62" s="791" t="s">
        <v>597</v>
      </c>
      <c r="CY62" s="763" t="s">
        <v>474</v>
      </c>
      <c r="CZ62" s="763" t="s">
        <v>484</v>
      </c>
      <c r="DA62" s="791" t="s">
        <v>597</v>
      </c>
      <c r="DB62" s="1066">
        <v>1.0</v>
      </c>
      <c r="DC62" s="1064" t="s">
        <v>485</v>
      </c>
      <c r="DD62" s="791" t="s">
        <v>597</v>
      </c>
      <c r="DE62" s="1066">
        <v>1.0</v>
      </c>
      <c r="DF62" s="1064" t="s">
        <v>485</v>
      </c>
      <c r="DG62" s="791" t="s">
        <v>597</v>
      </c>
      <c r="DH62" s="1066">
        <v>1.0</v>
      </c>
      <c r="DI62" s="1064" t="s">
        <v>485</v>
      </c>
      <c r="DJ62" s="791" t="s">
        <v>597</v>
      </c>
      <c r="DK62" s="1066">
        <v>1.0</v>
      </c>
      <c r="DL62" s="1064" t="s">
        <v>485</v>
      </c>
      <c r="DM62" s="791" t="s">
        <v>597</v>
      </c>
      <c r="DN62" s="1066">
        <v>1.0</v>
      </c>
      <c r="DO62" s="1064" t="s">
        <v>485</v>
      </c>
      <c r="DP62" s="791" t="s">
        <v>597</v>
      </c>
      <c r="DQ62" s="1066">
        <v>1.0</v>
      </c>
      <c r="DR62" s="1064" t="s">
        <v>485</v>
      </c>
      <c r="DS62" s="791" t="s">
        <v>597</v>
      </c>
      <c r="DT62" s="1066">
        <v>1.0</v>
      </c>
      <c r="DU62" s="1064" t="s">
        <v>485</v>
      </c>
      <c r="DV62" s="791" t="s">
        <v>597</v>
      </c>
      <c r="DW62" s="1066">
        <v>1.0</v>
      </c>
      <c r="DX62" s="1064" t="s">
        <v>485</v>
      </c>
      <c r="DY62" s="791" t="s">
        <v>597</v>
      </c>
      <c r="DZ62" s="1066">
        <v>1.0</v>
      </c>
      <c r="EA62" s="1064" t="s">
        <v>485</v>
      </c>
      <c r="EB62" s="791" t="s">
        <v>597</v>
      </c>
      <c r="EC62" s="1066">
        <v>1.0</v>
      </c>
      <c r="ED62" s="111"/>
      <c r="EE62" s="111"/>
      <c r="EF62" s="111"/>
    </row>
    <row r="63" ht="15.0" customHeight="1" outlineLevel="1">
      <c r="A63" s="60">
        <v>76.0</v>
      </c>
      <c r="B63" s="747" t="s">
        <v>250</v>
      </c>
      <c r="C63" s="747" t="s">
        <v>251</v>
      </c>
      <c r="D63" s="71" t="s">
        <v>85</v>
      </c>
      <c r="E63" s="146" t="s">
        <v>169</v>
      </c>
      <c r="F63" s="72">
        <v>1112.0</v>
      </c>
      <c r="G63" s="146" t="s">
        <v>170</v>
      </c>
      <c r="H63" s="139">
        <v>1129.0</v>
      </c>
      <c r="I63" s="126" t="str">
        <f>IFERROR(VLOOKUP(C60:C202,'R22 RELATÓRIO ACC'!B:F,5,FALSE),"NOT PUBLISHED")</f>
        <v>V30</v>
      </c>
      <c r="J63" s="126" t="str">
        <f>IFERROR(VLOOKUP(C60:C202,'R22 RELATÓRIO ACC'!B:P,15,FALSE),"NOT PUBLISHED")</f>
        <v>24/03/2026</v>
      </c>
      <c r="K63" s="746" t="str">
        <f>IFERROR(VLOOKUP(B60:B202,'RELATÓRIO ACC'!B:F,5,FALSE),"NOT PUBLISHED")</f>
        <v>V2</v>
      </c>
      <c r="L63" s="748" t="str">
        <f>IFERROR(VLOOKUP(B60:B202,'RELATÓRIO ACC'!B:P,15,FALSE),"NOT PUBLISHED")</f>
        <v>13/07/2026</v>
      </c>
      <c r="M63" s="141" t="s">
        <v>501</v>
      </c>
      <c r="N63" s="756" t="s">
        <v>503</v>
      </c>
      <c r="O63" s="1111" t="s">
        <v>482</v>
      </c>
      <c r="P63" s="751" t="s">
        <v>102</v>
      </c>
      <c r="Q63" s="746" t="s">
        <v>477</v>
      </c>
      <c r="R63" s="766" t="s">
        <v>476</v>
      </c>
      <c r="S63" s="773">
        <v>0.37</v>
      </c>
      <c r="T63" s="746" t="s">
        <v>477</v>
      </c>
      <c r="U63" s="766" t="s">
        <v>476</v>
      </c>
      <c r="V63" s="773">
        <v>0.33</v>
      </c>
      <c r="W63" s="746" t="s">
        <v>484</v>
      </c>
      <c r="X63" s="766" t="s">
        <v>476</v>
      </c>
      <c r="Y63" s="773">
        <v>1.0</v>
      </c>
      <c r="Z63" s="746" t="s">
        <v>484</v>
      </c>
      <c r="AA63" s="759" t="s">
        <v>476</v>
      </c>
      <c r="AB63" s="762">
        <v>1.0</v>
      </c>
      <c r="AC63" s="746" t="s">
        <v>484</v>
      </c>
      <c r="AD63" s="759" t="s">
        <v>476</v>
      </c>
      <c r="AE63" s="1057">
        <v>1.0</v>
      </c>
      <c r="AF63" s="746" t="s">
        <v>485</v>
      </c>
      <c r="AG63" s="759" t="s">
        <v>476</v>
      </c>
      <c r="AH63" s="1057">
        <v>1.0</v>
      </c>
      <c r="AI63" s="746" t="s">
        <v>485</v>
      </c>
      <c r="AJ63" s="759" t="s">
        <v>476</v>
      </c>
      <c r="AK63" s="1057">
        <v>1.0</v>
      </c>
      <c r="AL63" s="746" t="s">
        <v>485</v>
      </c>
      <c r="AM63" s="759" t="s">
        <v>476</v>
      </c>
      <c r="AN63" s="1057">
        <v>1.0</v>
      </c>
      <c r="AO63" s="746" t="s">
        <v>485</v>
      </c>
      <c r="AP63" s="759" t="s">
        <v>476</v>
      </c>
      <c r="AQ63" s="1057">
        <v>1.0</v>
      </c>
      <c r="AR63" s="746" t="s">
        <v>485</v>
      </c>
      <c r="AS63" s="759" t="s">
        <v>476</v>
      </c>
      <c r="AT63" s="1057">
        <v>1.0</v>
      </c>
      <c r="AU63" s="746" t="s">
        <v>485</v>
      </c>
      <c r="AV63" s="759" t="s">
        <v>476</v>
      </c>
      <c r="AW63" s="1057">
        <v>1.0</v>
      </c>
      <c r="AX63" s="746" t="s">
        <v>485</v>
      </c>
      <c r="AY63" s="759" t="s">
        <v>476</v>
      </c>
      <c r="AZ63" s="1057">
        <v>1.0</v>
      </c>
      <c r="BA63" s="1069" t="s">
        <v>485</v>
      </c>
      <c r="BB63" s="1088" t="s">
        <v>476</v>
      </c>
      <c r="BC63" s="1078">
        <v>1.0</v>
      </c>
      <c r="BD63" s="1069" t="s">
        <v>485</v>
      </c>
      <c r="BE63" s="1088" t="s">
        <v>476</v>
      </c>
      <c r="BF63" s="1078">
        <v>1.0</v>
      </c>
      <c r="BG63" s="1069" t="s">
        <v>485</v>
      </c>
      <c r="BH63" s="1088" t="s">
        <v>476</v>
      </c>
      <c r="BI63" s="1078">
        <v>1.0</v>
      </c>
      <c r="BJ63" s="1069" t="s">
        <v>485</v>
      </c>
      <c r="BK63" s="1088" t="s">
        <v>476</v>
      </c>
      <c r="BL63" s="1078">
        <v>1.0</v>
      </c>
      <c r="BM63" s="1069" t="s">
        <v>485</v>
      </c>
      <c r="BN63" s="1088" t="s">
        <v>476</v>
      </c>
      <c r="BO63" s="1078">
        <v>1.0</v>
      </c>
      <c r="BP63" s="1069" t="s">
        <v>485</v>
      </c>
      <c r="BQ63" s="1088" t="s">
        <v>476</v>
      </c>
      <c r="BR63" s="1078">
        <v>1.0</v>
      </c>
      <c r="BS63" s="1069" t="s">
        <v>485</v>
      </c>
      <c r="BT63" s="1088" t="s">
        <v>476</v>
      </c>
      <c r="BU63" s="1078">
        <v>1.0</v>
      </c>
      <c r="BV63" s="1069" t="s">
        <v>485</v>
      </c>
      <c r="BW63" s="1088" t="s">
        <v>476</v>
      </c>
      <c r="BX63" s="1078">
        <v>1.0</v>
      </c>
      <c r="BY63" s="1069" t="s">
        <v>485</v>
      </c>
      <c r="BZ63" s="1088" t="s">
        <v>476</v>
      </c>
      <c r="CA63" s="1078">
        <v>1.0</v>
      </c>
      <c r="CB63" s="1069" t="s">
        <v>485</v>
      </c>
      <c r="CC63" s="1088" t="s">
        <v>476</v>
      </c>
      <c r="CD63" s="1078">
        <v>1.0</v>
      </c>
      <c r="CE63" s="1069" t="s">
        <v>485</v>
      </c>
      <c r="CF63" s="1088" t="s">
        <v>476</v>
      </c>
      <c r="CG63" s="1078">
        <v>1.0</v>
      </c>
      <c r="CH63" s="1069" t="s">
        <v>485</v>
      </c>
      <c r="CI63" s="1088" t="s">
        <v>476</v>
      </c>
      <c r="CJ63" s="1078">
        <v>1.0</v>
      </c>
      <c r="CK63" s="1069" t="s">
        <v>485</v>
      </c>
      <c r="CL63" s="1088" t="s">
        <v>476</v>
      </c>
      <c r="CM63" s="1078">
        <v>1.0</v>
      </c>
      <c r="CN63" s="1064" t="s">
        <v>485</v>
      </c>
      <c r="CO63" s="1065" t="s">
        <v>476</v>
      </c>
      <c r="CP63" s="1066">
        <v>1.0</v>
      </c>
      <c r="CQ63" s="1064" t="s">
        <v>485</v>
      </c>
      <c r="CR63" s="1065" t="s">
        <v>476</v>
      </c>
      <c r="CS63" s="1066">
        <v>1.0</v>
      </c>
      <c r="CT63" s="1064" t="s">
        <v>485</v>
      </c>
      <c r="CU63" s="1065" t="s">
        <v>476</v>
      </c>
      <c r="CV63" s="1066">
        <v>1.0</v>
      </c>
      <c r="CW63" s="1064" t="s">
        <v>485</v>
      </c>
      <c r="CX63" s="1065" t="s">
        <v>476</v>
      </c>
      <c r="CY63" s="1066">
        <v>1.0</v>
      </c>
      <c r="CZ63" s="1064" t="s">
        <v>485</v>
      </c>
      <c r="DA63" s="1065" t="s">
        <v>476</v>
      </c>
      <c r="DB63" s="1066">
        <v>1.0</v>
      </c>
      <c r="DC63" s="1064" t="s">
        <v>485</v>
      </c>
      <c r="DD63" s="1065" t="s">
        <v>476</v>
      </c>
      <c r="DE63" s="1066">
        <v>1.0</v>
      </c>
      <c r="DF63" s="1064" t="s">
        <v>485</v>
      </c>
      <c r="DG63" s="1065" t="s">
        <v>476</v>
      </c>
      <c r="DH63" s="1066">
        <v>1.0</v>
      </c>
      <c r="DI63" s="1064" t="s">
        <v>485</v>
      </c>
      <c r="DJ63" s="1065" t="s">
        <v>476</v>
      </c>
      <c r="DK63" s="1079">
        <v>1.0</v>
      </c>
      <c r="DL63" s="1064" t="s">
        <v>485</v>
      </c>
      <c r="DM63" s="1065" t="s">
        <v>476</v>
      </c>
      <c r="DN63" s="1066">
        <v>1.0</v>
      </c>
      <c r="DO63" s="1064" t="s">
        <v>485</v>
      </c>
      <c r="DP63" s="1065" t="s">
        <v>476</v>
      </c>
      <c r="DQ63" s="1066">
        <v>1.0</v>
      </c>
      <c r="DR63" s="1064" t="s">
        <v>485</v>
      </c>
      <c r="DS63" s="1065" t="s">
        <v>476</v>
      </c>
      <c r="DT63" s="1066">
        <v>1.0</v>
      </c>
      <c r="DU63" s="1064" t="s">
        <v>485</v>
      </c>
      <c r="DV63" s="1065" t="s">
        <v>476</v>
      </c>
      <c r="DW63" s="1066">
        <v>1.0</v>
      </c>
      <c r="DX63" s="1064" t="s">
        <v>485</v>
      </c>
      <c r="DY63" s="1065" t="s">
        <v>476</v>
      </c>
      <c r="DZ63" s="1066">
        <v>1.0</v>
      </c>
      <c r="EA63" s="1064" t="s">
        <v>485</v>
      </c>
      <c r="EB63" s="1065" t="s">
        <v>476</v>
      </c>
      <c r="EC63" s="1066">
        <v>1.0</v>
      </c>
      <c r="ED63" s="111"/>
      <c r="EE63" s="111"/>
      <c r="EF63" s="111"/>
    </row>
    <row r="64" ht="15.0" customHeight="1" outlineLevel="1">
      <c r="A64" s="60">
        <v>79.0</v>
      </c>
      <c r="B64" s="747" t="s">
        <v>257</v>
      </c>
      <c r="C64" s="747" t="s">
        <v>258</v>
      </c>
      <c r="D64" s="71" t="s">
        <v>85</v>
      </c>
      <c r="E64" s="1153" t="s">
        <v>256</v>
      </c>
      <c r="F64" s="72">
        <v>1118.0</v>
      </c>
      <c r="G64" s="139" t="s">
        <v>256</v>
      </c>
      <c r="H64" s="139">
        <v>1118.0</v>
      </c>
      <c r="I64" s="126" t="str">
        <f>IFERROR(VLOOKUP(C61:C203,'R22 RELATÓRIO ACC'!B:F,5,FALSE),"NOT PUBLISHED")</f>
        <v>V39</v>
      </c>
      <c r="J64" s="126" t="str">
        <f>IFERROR(VLOOKUP(C61:C203,'R22 RELATÓRIO ACC'!B:P,15,FALSE),"NOT PUBLISHED")</f>
        <v>30/04/2026</v>
      </c>
      <c r="K64" s="746" t="str">
        <f>IFERROR(VLOOKUP(B61:B203,'RELATÓRIO ACC'!B:F,5,FALSE),"NOT PUBLISHED")</f>
        <v>V3</v>
      </c>
      <c r="L64" s="748" t="str">
        <f>IFERROR(VLOOKUP(B61:B203,'RELATÓRIO ACC'!B:P,15,FALSE),"NOT PUBLISHED")</f>
        <v>01/07/2026</v>
      </c>
      <c r="M64" s="141" t="s">
        <v>460</v>
      </c>
      <c r="N64" s="756" t="s">
        <v>461</v>
      </c>
      <c r="O64" s="1111" t="s">
        <v>482</v>
      </c>
      <c r="P64" s="751" t="s">
        <v>129</v>
      </c>
      <c r="Q64" s="746" t="s">
        <v>477</v>
      </c>
      <c r="R64" s="759" t="s">
        <v>476</v>
      </c>
      <c r="S64" s="773">
        <v>0.46</v>
      </c>
      <c r="T64" s="746" t="s">
        <v>478</v>
      </c>
      <c r="U64" s="466" t="s">
        <v>483</v>
      </c>
      <c r="V64" s="755" t="s">
        <v>478</v>
      </c>
      <c r="W64" s="746" t="s">
        <v>484</v>
      </c>
      <c r="X64" s="766" t="s">
        <v>476</v>
      </c>
      <c r="Y64" s="773">
        <v>1.0</v>
      </c>
      <c r="Z64" s="746" t="s">
        <v>484</v>
      </c>
      <c r="AA64" s="759" t="s">
        <v>476</v>
      </c>
      <c r="AB64" s="762">
        <v>1.0</v>
      </c>
      <c r="AC64" s="746" t="s">
        <v>484</v>
      </c>
      <c r="AD64" s="759" t="s">
        <v>476</v>
      </c>
      <c r="AE64" s="1057">
        <v>1.0</v>
      </c>
      <c r="AF64" s="746" t="s">
        <v>485</v>
      </c>
      <c r="AG64" s="759" t="s">
        <v>476</v>
      </c>
      <c r="AH64" s="1057">
        <v>1.0</v>
      </c>
      <c r="AI64" s="746" t="s">
        <v>485</v>
      </c>
      <c r="AJ64" s="759" t="s">
        <v>476</v>
      </c>
      <c r="AK64" s="1057">
        <v>1.0</v>
      </c>
      <c r="AL64" s="746" t="s">
        <v>485</v>
      </c>
      <c r="AM64" s="759" t="s">
        <v>476</v>
      </c>
      <c r="AN64" s="1057">
        <v>1.0</v>
      </c>
      <c r="AO64" s="746" t="s">
        <v>485</v>
      </c>
      <c r="AP64" s="759" t="s">
        <v>476</v>
      </c>
      <c r="AQ64" s="1057">
        <v>1.0</v>
      </c>
      <c r="AR64" s="746" t="s">
        <v>485</v>
      </c>
      <c r="AS64" s="759" t="s">
        <v>476</v>
      </c>
      <c r="AT64" s="1057">
        <v>1.0</v>
      </c>
      <c r="AU64" s="746" t="s">
        <v>485</v>
      </c>
      <c r="AV64" s="759" t="s">
        <v>476</v>
      </c>
      <c r="AW64" s="1057">
        <v>1.0</v>
      </c>
      <c r="AX64" s="746" t="s">
        <v>485</v>
      </c>
      <c r="AY64" s="759" t="s">
        <v>476</v>
      </c>
      <c r="AZ64" s="1057">
        <v>1.0</v>
      </c>
      <c r="BA64" s="1069" t="s">
        <v>485</v>
      </c>
      <c r="BB64" s="1088" t="s">
        <v>476</v>
      </c>
      <c r="BC64" s="1078">
        <v>1.0</v>
      </c>
      <c r="BD64" s="1069" t="s">
        <v>485</v>
      </c>
      <c r="BE64" s="1088" t="s">
        <v>476</v>
      </c>
      <c r="BF64" s="1078">
        <v>1.0</v>
      </c>
      <c r="BG64" s="1069" t="s">
        <v>485</v>
      </c>
      <c r="BH64" s="1088" t="s">
        <v>476</v>
      </c>
      <c r="BI64" s="1078">
        <v>1.0</v>
      </c>
      <c r="BJ64" s="1069" t="s">
        <v>485</v>
      </c>
      <c r="BK64" s="1088" t="s">
        <v>476</v>
      </c>
      <c r="BL64" s="1078">
        <v>1.0</v>
      </c>
      <c r="BM64" s="1069" t="s">
        <v>485</v>
      </c>
      <c r="BN64" s="1088" t="s">
        <v>476</v>
      </c>
      <c r="BO64" s="1078">
        <v>1.0</v>
      </c>
      <c r="BP64" s="1069" t="s">
        <v>485</v>
      </c>
      <c r="BQ64" s="1088" t="s">
        <v>476</v>
      </c>
      <c r="BR64" s="1078">
        <v>1.0</v>
      </c>
      <c r="BS64" s="1069" t="s">
        <v>485</v>
      </c>
      <c r="BT64" s="1088" t="s">
        <v>476</v>
      </c>
      <c r="BU64" s="1078">
        <v>1.0</v>
      </c>
      <c r="BV64" s="1069" t="s">
        <v>485</v>
      </c>
      <c r="BW64" s="1088" t="s">
        <v>476</v>
      </c>
      <c r="BX64" s="1078">
        <v>1.0</v>
      </c>
      <c r="BY64" s="1069" t="s">
        <v>485</v>
      </c>
      <c r="BZ64" s="1088" t="s">
        <v>476</v>
      </c>
      <c r="CA64" s="1078">
        <v>1.0</v>
      </c>
      <c r="CB64" s="1069" t="s">
        <v>485</v>
      </c>
      <c r="CC64" s="1088" t="s">
        <v>476</v>
      </c>
      <c r="CD64" s="1078">
        <v>1.0</v>
      </c>
      <c r="CE64" s="1069" t="s">
        <v>485</v>
      </c>
      <c r="CF64" s="1088" t="s">
        <v>476</v>
      </c>
      <c r="CG64" s="1078">
        <v>1.0</v>
      </c>
      <c r="CH64" s="1069" t="s">
        <v>485</v>
      </c>
      <c r="CI64" s="1088" t="s">
        <v>476</v>
      </c>
      <c r="CJ64" s="1078">
        <v>1.0</v>
      </c>
      <c r="CK64" s="1069" t="s">
        <v>485</v>
      </c>
      <c r="CL64" s="1088" t="s">
        <v>476</v>
      </c>
      <c r="CM64" s="1078">
        <v>1.0</v>
      </c>
      <c r="CN64" s="1064" t="s">
        <v>485</v>
      </c>
      <c r="CO64" s="1065" t="s">
        <v>476</v>
      </c>
      <c r="CP64" s="1066">
        <v>1.0</v>
      </c>
      <c r="CQ64" s="1064" t="s">
        <v>485</v>
      </c>
      <c r="CR64" s="1065" t="s">
        <v>476</v>
      </c>
      <c r="CS64" s="1066">
        <v>1.0</v>
      </c>
      <c r="CT64" s="1064" t="s">
        <v>485</v>
      </c>
      <c r="CU64" s="1065" t="s">
        <v>476</v>
      </c>
      <c r="CV64" s="1066">
        <v>1.0</v>
      </c>
      <c r="CW64" s="1064" t="s">
        <v>485</v>
      </c>
      <c r="CX64" s="1065" t="s">
        <v>476</v>
      </c>
      <c r="CY64" s="1066">
        <v>1.0</v>
      </c>
      <c r="CZ64" s="1064" t="s">
        <v>485</v>
      </c>
      <c r="DA64" s="1065" t="s">
        <v>476</v>
      </c>
      <c r="DB64" s="1066">
        <v>1.0</v>
      </c>
      <c r="DC64" s="1064" t="s">
        <v>485</v>
      </c>
      <c r="DD64" s="1065" t="s">
        <v>476</v>
      </c>
      <c r="DE64" s="1066">
        <v>1.0</v>
      </c>
      <c r="DF64" s="1064" t="s">
        <v>485</v>
      </c>
      <c r="DG64" s="1065" t="s">
        <v>476</v>
      </c>
      <c r="DH64" s="1066">
        <v>1.0</v>
      </c>
      <c r="DI64" s="1064" t="s">
        <v>485</v>
      </c>
      <c r="DJ64" s="1065" t="s">
        <v>476</v>
      </c>
      <c r="DK64" s="1066">
        <v>1.0</v>
      </c>
      <c r="DL64" s="1064" t="s">
        <v>485</v>
      </c>
      <c r="DM64" s="1065" t="s">
        <v>476</v>
      </c>
      <c r="DN64" s="1066">
        <v>1.0</v>
      </c>
      <c r="DO64" s="1064" t="s">
        <v>485</v>
      </c>
      <c r="DP64" s="1065" t="s">
        <v>476</v>
      </c>
      <c r="DQ64" s="1066">
        <v>1.0</v>
      </c>
      <c r="DR64" s="1064" t="s">
        <v>485</v>
      </c>
      <c r="DS64" s="1065" t="s">
        <v>476</v>
      </c>
      <c r="DT64" s="1066">
        <v>1.0</v>
      </c>
      <c r="DU64" s="1064" t="s">
        <v>485</v>
      </c>
      <c r="DV64" s="1065" t="s">
        <v>476</v>
      </c>
      <c r="DW64" s="1066">
        <v>1.0</v>
      </c>
      <c r="DX64" s="1064" t="s">
        <v>485</v>
      </c>
      <c r="DY64" s="1065" t="s">
        <v>476</v>
      </c>
      <c r="DZ64" s="1066">
        <v>1.0</v>
      </c>
      <c r="EA64" s="1064" t="s">
        <v>485</v>
      </c>
      <c r="EB64" s="1065" t="s">
        <v>476</v>
      </c>
      <c r="EC64" s="1066">
        <v>1.0</v>
      </c>
      <c r="ED64" s="111"/>
      <c r="EE64" s="111"/>
      <c r="EF64" s="111"/>
    </row>
    <row r="65" ht="15.0" customHeight="1" outlineLevel="1">
      <c r="A65" s="60">
        <v>82.0</v>
      </c>
      <c r="B65" s="747" t="s">
        <v>262</v>
      </c>
      <c r="C65" s="747" t="s">
        <v>263</v>
      </c>
      <c r="D65" s="71" t="s">
        <v>85</v>
      </c>
      <c r="E65" s="1153" t="s">
        <v>256</v>
      </c>
      <c r="F65" s="72">
        <v>1118.0</v>
      </c>
      <c r="G65" s="72" t="s">
        <v>256</v>
      </c>
      <c r="H65" s="132">
        <v>1118.0</v>
      </c>
      <c r="I65" s="126" t="str">
        <f>IFERROR(VLOOKUP(C62:C204,'R22 RELATÓRIO ACC'!B:F,5,FALSE),"NOT PUBLISHED")</f>
        <v>V59</v>
      </c>
      <c r="J65" s="126" t="str">
        <f>IFERROR(VLOOKUP(C62:C204,'R22 RELATÓRIO ACC'!B:P,15,FALSE),"NOT PUBLISHED")</f>
        <v>17/04/2026</v>
      </c>
      <c r="K65" s="746" t="str">
        <f>IFERROR(VLOOKUP(B62:B204,'RELATÓRIO ACC'!B:F,5,FALSE),"NOT PUBLISHED")</f>
        <v>V5</v>
      </c>
      <c r="L65" s="748" t="str">
        <f>IFERROR(VLOOKUP(B62:B204,'RELATÓRIO ACC'!B:P,15,FALSE),"NOT PUBLISHED")</f>
        <v>06/07/2026</v>
      </c>
      <c r="M65" s="746" t="s">
        <v>510</v>
      </c>
      <c r="N65" s="1149" t="s">
        <v>503</v>
      </c>
      <c r="O65" s="1111" t="s">
        <v>482</v>
      </c>
      <c r="P65" s="1154" t="s">
        <v>102</v>
      </c>
      <c r="Q65" s="746" t="s">
        <v>477</v>
      </c>
      <c r="R65" s="766" t="s">
        <v>476</v>
      </c>
      <c r="S65" s="773">
        <v>0.48</v>
      </c>
      <c r="T65" s="746" t="s">
        <v>477</v>
      </c>
      <c r="U65" s="766" t="s">
        <v>476</v>
      </c>
      <c r="V65" s="773">
        <v>0.67</v>
      </c>
      <c r="W65" s="746" t="s">
        <v>484</v>
      </c>
      <c r="X65" s="766" t="s">
        <v>476</v>
      </c>
      <c r="Y65" s="762">
        <v>1.0</v>
      </c>
      <c r="Z65" s="746" t="s">
        <v>484</v>
      </c>
      <c r="AA65" s="766" t="s">
        <v>476</v>
      </c>
      <c r="AB65" s="762">
        <v>1.0</v>
      </c>
      <c r="AC65" s="746" t="s">
        <v>484</v>
      </c>
      <c r="AD65" s="766" t="s">
        <v>476</v>
      </c>
      <c r="AE65" s="1057">
        <v>1.0</v>
      </c>
      <c r="AF65" s="746" t="s">
        <v>485</v>
      </c>
      <c r="AG65" s="766" t="s">
        <v>476</v>
      </c>
      <c r="AH65" s="1057">
        <v>1.0</v>
      </c>
      <c r="AI65" s="746" t="s">
        <v>485</v>
      </c>
      <c r="AJ65" s="766" t="s">
        <v>476</v>
      </c>
      <c r="AK65" s="1057">
        <v>1.0</v>
      </c>
      <c r="AL65" s="746" t="s">
        <v>485</v>
      </c>
      <c r="AM65" s="766" t="s">
        <v>476</v>
      </c>
      <c r="AN65" s="1057">
        <v>1.0</v>
      </c>
      <c r="AO65" s="746" t="s">
        <v>485</v>
      </c>
      <c r="AP65" s="766" t="s">
        <v>476</v>
      </c>
      <c r="AQ65" s="1057">
        <v>1.0</v>
      </c>
      <c r="AR65" s="746" t="s">
        <v>485</v>
      </c>
      <c r="AS65" s="766" t="s">
        <v>476</v>
      </c>
      <c r="AT65" s="1057">
        <v>1.0</v>
      </c>
      <c r="AU65" s="746" t="s">
        <v>485</v>
      </c>
      <c r="AV65" s="766" t="s">
        <v>476</v>
      </c>
      <c r="AW65" s="1057">
        <v>1.0</v>
      </c>
      <c r="AX65" s="746" t="s">
        <v>485</v>
      </c>
      <c r="AY65" s="766" t="s">
        <v>476</v>
      </c>
      <c r="AZ65" s="1057">
        <v>1.0</v>
      </c>
      <c r="BA65" s="1069" t="s">
        <v>485</v>
      </c>
      <c r="BB65" s="1046" t="s">
        <v>476</v>
      </c>
      <c r="BC65" s="1078">
        <v>1.0</v>
      </c>
      <c r="BD65" s="1069" t="s">
        <v>485</v>
      </c>
      <c r="BE65" s="1046" t="s">
        <v>476</v>
      </c>
      <c r="BF65" s="1078">
        <v>1.0</v>
      </c>
      <c r="BG65" s="1069" t="s">
        <v>485</v>
      </c>
      <c r="BH65" s="1046" t="s">
        <v>476</v>
      </c>
      <c r="BI65" s="1078">
        <v>1.0</v>
      </c>
      <c r="BJ65" s="1069" t="s">
        <v>485</v>
      </c>
      <c r="BK65" s="1046" t="s">
        <v>476</v>
      </c>
      <c r="BL65" s="1078">
        <v>1.0</v>
      </c>
      <c r="BM65" s="1069" t="s">
        <v>485</v>
      </c>
      <c r="BN65" s="1046" t="s">
        <v>476</v>
      </c>
      <c r="BO65" s="1078">
        <v>1.0</v>
      </c>
      <c r="BP65" s="1069" t="s">
        <v>485</v>
      </c>
      <c r="BQ65" s="1046" t="s">
        <v>476</v>
      </c>
      <c r="BR65" s="1078">
        <v>1.0</v>
      </c>
      <c r="BS65" s="1069" t="s">
        <v>485</v>
      </c>
      <c r="BT65" s="1046" t="s">
        <v>476</v>
      </c>
      <c r="BU65" s="1078">
        <v>1.0</v>
      </c>
      <c r="BV65" s="1069" t="s">
        <v>485</v>
      </c>
      <c r="BW65" s="1046" t="s">
        <v>476</v>
      </c>
      <c r="BX65" s="1078">
        <v>1.0</v>
      </c>
      <c r="BY65" s="1069" t="s">
        <v>485</v>
      </c>
      <c r="BZ65" s="1046" t="s">
        <v>476</v>
      </c>
      <c r="CA65" s="1078">
        <v>1.0</v>
      </c>
      <c r="CB65" s="1069" t="s">
        <v>485</v>
      </c>
      <c r="CC65" s="1046" t="s">
        <v>476</v>
      </c>
      <c r="CD65" s="1078">
        <v>1.0</v>
      </c>
      <c r="CE65" s="1069" t="s">
        <v>485</v>
      </c>
      <c r="CF65" s="1046" t="s">
        <v>476</v>
      </c>
      <c r="CG65" s="1078">
        <v>1.0</v>
      </c>
      <c r="CH65" s="1069" t="s">
        <v>485</v>
      </c>
      <c r="CI65" s="1046" t="s">
        <v>476</v>
      </c>
      <c r="CJ65" s="1078">
        <v>1.0</v>
      </c>
      <c r="CK65" s="1069" t="s">
        <v>485</v>
      </c>
      <c r="CL65" s="1046" t="s">
        <v>476</v>
      </c>
      <c r="CM65" s="1078">
        <v>1.0</v>
      </c>
      <c r="CN65" s="1064" t="s">
        <v>485</v>
      </c>
      <c r="CO65" s="1084" t="s">
        <v>476</v>
      </c>
      <c r="CP65" s="1066">
        <v>1.0</v>
      </c>
      <c r="CQ65" s="1064" t="s">
        <v>485</v>
      </c>
      <c r="CR65" s="1084" t="s">
        <v>476</v>
      </c>
      <c r="CS65" s="1066">
        <v>1.0</v>
      </c>
      <c r="CT65" s="1064" t="s">
        <v>485</v>
      </c>
      <c r="CU65" s="1084" t="s">
        <v>476</v>
      </c>
      <c r="CV65" s="1066">
        <v>1.0</v>
      </c>
      <c r="CW65" s="1064" t="s">
        <v>485</v>
      </c>
      <c r="CX65" s="1084" t="s">
        <v>476</v>
      </c>
      <c r="CY65" s="1066">
        <v>1.0</v>
      </c>
      <c r="CZ65" s="1064" t="s">
        <v>485</v>
      </c>
      <c r="DA65" s="1084" t="s">
        <v>476</v>
      </c>
      <c r="DB65" s="1066">
        <v>1.0</v>
      </c>
      <c r="DC65" s="1064" t="s">
        <v>485</v>
      </c>
      <c r="DD65" s="1084" t="s">
        <v>476</v>
      </c>
      <c r="DE65" s="1066">
        <v>1.0</v>
      </c>
      <c r="DF65" s="1064" t="s">
        <v>485</v>
      </c>
      <c r="DG65" s="1084" t="s">
        <v>476</v>
      </c>
      <c r="DH65" s="1066">
        <v>1.0</v>
      </c>
      <c r="DI65" s="1064" t="s">
        <v>485</v>
      </c>
      <c r="DJ65" s="1084" t="s">
        <v>476</v>
      </c>
      <c r="DK65" s="1066">
        <v>1.0</v>
      </c>
      <c r="DL65" s="1064" t="s">
        <v>485</v>
      </c>
      <c r="DM65" s="1084" t="s">
        <v>476</v>
      </c>
      <c r="DN65" s="1066">
        <v>1.0</v>
      </c>
      <c r="DO65" s="1064" t="s">
        <v>485</v>
      </c>
      <c r="DP65" s="1084" t="s">
        <v>476</v>
      </c>
      <c r="DQ65" s="1066">
        <v>1.0</v>
      </c>
      <c r="DR65" s="1064" t="s">
        <v>485</v>
      </c>
      <c r="DS65" s="1084" t="s">
        <v>476</v>
      </c>
      <c r="DT65" s="1066">
        <v>1.0</v>
      </c>
      <c r="DU65" s="1064" t="s">
        <v>485</v>
      </c>
      <c r="DV65" s="1084" t="s">
        <v>476</v>
      </c>
      <c r="DW65" s="1066">
        <v>1.0</v>
      </c>
      <c r="DX65" s="1064" t="s">
        <v>485</v>
      </c>
      <c r="DY65" s="1084" t="s">
        <v>476</v>
      </c>
      <c r="DZ65" s="1066">
        <v>1.0</v>
      </c>
      <c r="EA65" s="1064" t="s">
        <v>485</v>
      </c>
      <c r="EB65" s="1084" t="s">
        <v>476</v>
      </c>
      <c r="EC65" s="1066">
        <v>1.0</v>
      </c>
      <c r="ED65" s="111"/>
      <c r="EE65" s="111"/>
      <c r="EF65" s="111"/>
    </row>
    <row r="66" ht="15.0" customHeight="1" outlineLevel="1">
      <c r="A66" s="60">
        <v>93.0</v>
      </c>
      <c r="B66" s="747" t="s">
        <v>285</v>
      </c>
      <c r="C66" s="747" t="s">
        <v>286</v>
      </c>
      <c r="D66" s="71" t="s">
        <v>85</v>
      </c>
      <c r="E66" s="1153" t="s">
        <v>287</v>
      </c>
      <c r="F66" s="72"/>
      <c r="G66" s="125" t="s">
        <v>288</v>
      </c>
      <c r="H66" s="150"/>
      <c r="I66" s="126" t="str">
        <f>IFERROR(VLOOKUP(C63:C205,'R22 RELATÓRIO ACC'!B:F,5,FALSE),"NOT PUBLISHED")</f>
        <v>V10</v>
      </c>
      <c r="J66" s="126" t="str">
        <f>IFERROR(VLOOKUP(C63:C205,'R22 RELATÓRIO ACC'!B:P,15,FALSE),"NOT PUBLISHED")</f>
        <v>22/04/2026</v>
      </c>
      <c r="K66" s="746" t="str">
        <f>IFERROR(VLOOKUP(B63:B205,'RELATÓRIO ACC'!B:F,5,FALSE),"NOT PUBLISHED")</f>
        <v>V1</v>
      </c>
      <c r="L66" s="748" t="str">
        <f>IFERROR(VLOOKUP(B63:B205,'RELATÓRIO ACC'!B:P,15,FALSE),"NOT PUBLISHED")</f>
        <v>15/05/2026</v>
      </c>
      <c r="M66" s="746" t="s">
        <v>507</v>
      </c>
      <c r="N66" s="756" t="s">
        <v>511</v>
      </c>
      <c r="O66" s="740" t="s">
        <v>482</v>
      </c>
      <c r="P66" s="852" t="s">
        <v>102</v>
      </c>
      <c r="Q66" s="746" t="s">
        <v>466</v>
      </c>
      <c r="R66" s="74" t="s">
        <v>462</v>
      </c>
      <c r="S66" s="749" t="s">
        <v>466</v>
      </c>
      <c r="T66" s="746" t="s">
        <v>466</v>
      </c>
      <c r="U66" s="74" t="s">
        <v>462</v>
      </c>
      <c r="V66" s="749" t="s">
        <v>466</v>
      </c>
      <c r="W66" s="746" t="s">
        <v>477</v>
      </c>
      <c r="X66" s="766" t="s">
        <v>476</v>
      </c>
      <c r="Y66" s="1155">
        <v>0.27</v>
      </c>
      <c r="Z66" s="746" t="s">
        <v>477</v>
      </c>
      <c r="AA66" s="766" t="s">
        <v>476</v>
      </c>
      <c r="AB66" s="1155">
        <v>0.62</v>
      </c>
      <c r="AC66" s="755" t="s">
        <v>477</v>
      </c>
      <c r="AD66" s="766" t="s">
        <v>476</v>
      </c>
      <c r="AE66" s="1156">
        <v>0.63</v>
      </c>
      <c r="AF66" s="755" t="s">
        <v>478</v>
      </c>
      <c r="AG66" s="766" t="s">
        <v>476</v>
      </c>
      <c r="AH66" s="1157" t="s">
        <v>478</v>
      </c>
      <c r="AI66" s="755" t="s">
        <v>478</v>
      </c>
      <c r="AJ66" s="766" t="s">
        <v>476</v>
      </c>
      <c r="AK66" s="1157" t="s">
        <v>478</v>
      </c>
      <c r="AL66" s="755" t="s">
        <v>477</v>
      </c>
      <c r="AM66" s="766" t="s">
        <v>476</v>
      </c>
      <c r="AN66" s="1057">
        <v>0.98</v>
      </c>
      <c r="AO66" s="755" t="s">
        <v>478</v>
      </c>
      <c r="AP66" s="766" t="s">
        <v>476</v>
      </c>
      <c r="AQ66" s="1157" t="s">
        <v>478</v>
      </c>
      <c r="AR66" s="755" t="s">
        <v>484</v>
      </c>
      <c r="AS66" s="766" t="s">
        <v>476</v>
      </c>
      <c r="AT66" s="1057">
        <v>1.0</v>
      </c>
      <c r="AU66" s="746" t="s">
        <v>485</v>
      </c>
      <c r="AV66" s="766" t="s">
        <v>476</v>
      </c>
      <c r="AW66" s="1057">
        <v>1.0</v>
      </c>
      <c r="AX66" s="746" t="s">
        <v>485</v>
      </c>
      <c r="AY66" s="766" t="s">
        <v>476</v>
      </c>
      <c r="AZ66" s="1057">
        <v>1.0</v>
      </c>
      <c r="BA66" s="1069" t="s">
        <v>485</v>
      </c>
      <c r="BB66" s="1046" t="s">
        <v>476</v>
      </c>
      <c r="BC66" s="1078">
        <v>1.0</v>
      </c>
      <c r="BD66" s="1069" t="s">
        <v>485</v>
      </c>
      <c r="BE66" s="1046" t="s">
        <v>476</v>
      </c>
      <c r="BF66" s="1078">
        <v>1.0</v>
      </c>
      <c r="BG66" s="1069" t="s">
        <v>485</v>
      </c>
      <c r="BH66" s="1046" t="s">
        <v>476</v>
      </c>
      <c r="BI66" s="1078">
        <v>1.0</v>
      </c>
      <c r="BJ66" s="1069" t="s">
        <v>485</v>
      </c>
      <c r="BK66" s="1046" t="s">
        <v>476</v>
      </c>
      <c r="BL66" s="1078">
        <v>1.0</v>
      </c>
      <c r="BM66" s="1069" t="s">
        <v>485</v>
      </c>
      <c r="BN66" s="1046" t="s">
        <v>476</v>
      </c>
      <c r="BO66" s="1078">
        <v>1.0</v>
      </c>
      <c r="BP66" s="1069" t="s">
        <v>485</v>
      </c>
      <c r="BQ66" s="1046" t="s">
        <v>476</v>
      </c>
      <c r="BR66" s="1078">
        <v>1.0</v>
      </c>
      <c r="BS66" s="1069" t="s">
        <v>485</v>
      </c>
      <c r="BT66" s="1046" t="s">
        <v>476</v>
      </c>
      <c r="BU66" s="1078">
        <v>1.0</v>
      </c>
      <c r="BV66" s="1069" t="s">
        <v>485</v>
      </c>
      <c r="BW66" s="1046" t="s">
        <v>476</v>
      </c>
      <c r="BX66" s="1078">
        <v>1.0</v>
      </c>
      <c r="BY66" s="1069" t="s">
        <v>485</v>
      </c>
      <c r="BZ66" s="1046" t="s">
        <v>476</v>
      </c>
      <c r="CA66" s="1078">
        <v>1.0</v>
      </c>
      <c r="CB66" s="1069" t="s">
        <v>485</v>
      </c>
      <c r="CC66" s="1046" t="s">
        <v>476</v>
      </c>
      <c r="CD66" s="1078">
        <v>1.0</v>
      </c>
      <c r="CE66" s="1069" t="s">
        <v>485</v>
      </c>
      <c r="CF66" s="1046" t="s">
        <v>476</v>
      </c>
      <c r="CG66" s="1078">
        <v>1.0</v>
      </c>
      <c r="CH66" s="1069" t="s">
        <v>485</v>
      </c>
      <c r="CI66" s="1046" t="s">
        <v>476</v>
      </c>
      <c r="CJ66" s="1078">
        <v>1.0</v>
      </c>
      <c r="CK66" s="1069" t="s">
        <v>485</v>
      </c>
      <c r="CL66" s="1046" t="s">
        <v>476</v>
      </c>
      <c r="CM66" s="1078">
        <v>1.0</v>
      </c>
      <c r="CN66" s="1064" t="s">
        <v>485</v>
      </c>
      <c r="CO66" s="1084" t="s">
        <v>476</v>
      </c>
      <c r="CP66" s="1066">
        <v>1.0</v>
      </c>
      <c r="CQ66" s="1064" t="s">
        <v>485</v>
      </c>
      <c r="CR66" s="1084" t="s">
        <v>476</v>
      </c>
      <c r="CS66" s="1066">
        <v>1.0</v>
      </c>
      <c r="CT66" s="1064" t="s">
        <v>485</v>
      </c>
      <c r="CU66" s="1084" t="s">
        <v>476</v>
      </c>
      <c r="CV66" s="1066">
        <v>1.0</v>
      </c>
      <c r="CW66" s="1064" t="s">
        <v>485</v>
      </c>
      <c r="CX66" s="1084" t="s">
        <v>476</v>
      </c>
      <c r="CY66" s="1066">
        <v>1.0</v>
      </c>
      <c r="CZ66" s="1064" t="s">
        <v>485</v>
      </c>
      <c r="DA66" s="1084" t="s">
        <v>476</v>
      </c>
      <c r="DB66" s="1066">
        <v>1.0</v>
      </c>
      <c r="DC66" s="1064" t="s">
        <v>485</v>
      </c>
      <c r="DD66" s="1084" t="s">
        <v>476</v>
      </c>
      <c r="DE66" s="1066">
        <v>1.0</v>
      </c>
      <c r="DF66" s="1064" t="s">
        <v>485</v>
      </c>
      <c r="DG66" s="1084" t="s">
        <v>476</v>
      </c>
      <c r="DH66" s="1066">
        <v>1.0</v>
      </c>
      <c r="DI66" s="1064" t="s">
        <v>485</v>
      </c>
      <c r="DJ66" s="1084" t="s">
        <v>476</v>
      </c>
      <c r="DK66" s="1066">
        <v>1.0</v>
      </c>
      <c r="DL66" s="1064" t="s">
        <v>485</v>
      </c>
      <c r="DM66" s="1084" t="s">
        <v>476</v>
      </c>
      <c r="DN66" s="1066">
        <v>1.0</v>
      </c>
      <c r="DO66" s="1064" t="s">
        <v>485</v>
      </c>
      <c r="DP66" s="1084" t="s">
        <v>476</v>
      </c>
      <c r="DQ66" s="1066">
        <v>1.0</v>
      </c>
      <c r="DR66" s="1064" t="s">
        <v>485</v>
      </c>
      <c r="DS66" s="1084" t="s">
        <v>476</v>
      </c>
      <c r="DT66" s="1066">
        <v>1.0</v>
      </c>
      <c r="DU66" s="1064" t="s">
        <v>485</v>
      </c>
      <c r="DV66" s="1084" t="s">
        <v>476</v>
      </c>
      <c r="DW66" s="1066">
        <v>1.0</v>
      </c>
      <c r="DX66" s="1064" t="s">
        <v>485</v>
      </c>
      <c r="DY66" s="1084" t="s">
        <v>476</v>
      </c>
      <c r="DZ66" s="1066">
        <v>1.0</v>
      </c>
      <c r="EA66" s="1064" t="s">
        <v>485</v>
      </c>
      <c r="EB66" s="1084" t="s">
        <v>476</v>
      </c>
      <c r="EC66" s="1066">
        <v>1.0</v>
      </c>
      <c r="ED66" s="111"/>
      <c r="EE66" s="111"/>
      <c r="EF66" s="111"/>
    </row>
    <row r="67" ht="15.0" customHeight="1" outlineLevel="1">
      <c r="A67" s="60">
        <v>95.0</v>
      </c>
      <c r="B67" s="747" t="s">
        <v>291</v>
      </c>
      <c r="C67" s="747" t="s">
        <v>292</v>
      </c>
      <c r="D67" s="71" t="s">
        <v>85</v>
      </c>
      <c r="E67" s="1158" t="s">
        <v>293</v>
      </c>
      <c r="F67" s="72"/>
      <c r="G67" s="125" t="s">
        <v>288</v>
      </c>
      <c r="H67" s="150"/>
      <c r="I67" s="126" t="str">
        <f>IFERROR(VLOOKUP(C64:C206,'R22 RELATÓRIO ACC'!B:F,5,FALSE),"NOT PUBLISHED")</f>
        <v>V11</v>
      </c>
      <c r="J67" s="126" t="str">
        <f>IFERROR(VLOOKUP(C64:C206,'R22 RELATÓRIO ACC'!B:P,15,FALSE),"NOT PUBLISHED")</f>
        <v>28/04/2026</v>
      </c>
      <c r="K67" s="746" t="str">
        <f>IFERROR(VLOOKUP(B64:B206,'RELATÓRIO ACC'!B:F,5,FALSE),"NOT PUBLISHED")</f>
        <v>V1</v>
      </c>
      <c r="L67" s="748" t="str">
        <f>IFERROR(VLOOKUP(B64:B206,'RELATÓRIO ACC'!B:P,15,FALSE),"NOT PUBLISHED")</f>
        <v>15/05/2026</v>
      </c>
      <c r="M67" s="746" t="s">
        <v>479</v>
      </c>
      <c r="N67" s="756" t="s">
        <v>512</v>
      </c>
      <c r="O67" s="740" t="s">
        <v>482</v>
      </c>
      <c r="P67" s="852" t="s">
        <v>146</v>
      </c>
      <c r="Q67" s="746" t="s">
        <v>466</v>
      </c>
      <c r="R67" s="74" t="s">
        <v>462</v>
      </c>
      <c r="S67" s="749" t="s">
        <v>466</v>
      </c>
      <c r="T67" s="746" t="s">
        <v>466</v>
      </c>
      <c r="U67" s="74" t="s">
        <v>462</v>
      </c>
      <c r="V67" s="749" t="s">
        <v>466</v>
      </c>
      <c r="W67" s="746" t="s">
        <v>477</v>
      </c>
      <c r="X67" s="759" t="s">
        <v>476</v>
      </c>
      <c r="Y67" s="1155">
        <v>0.27</v>
      </c>
      <c r="Z67" s="746" t="s">
        <v>477</v>
      </c>
      <c r="AA67" s="759" t="s">
        <v>476</v>
      </c>
      <c r="AB67" s="1155">
        <v>0.73</v>
      </c>
      <c r="AC67" s="755" t="s">
        <v>478</v>
      </c>
      <c r="AD67" s="766" t="s">
        <v>476</v>
      </c>
      <c r="AE67" s="1157" t="s">
        <v>478</v>
      </c>
      <c r="AF67" s="755" t="s">
        <v>478</v>
      </c>
      <c r="AG67" s="766" t="s">
        <v>476</v>
      </c>
      <c r="AH67" s="1157" t="s">
        <v>478</v>
      </c>
      <c r="AI67" s="755" t="s">
        <v>478</v>
      </c>
      <c r="AJ67" s="766" t="s">
        <v>476</v>
      </c>
      <c r="AK67" s="1157" t="s">
        <v>478</v>
      </c>
      <c r="AL67" s="755" t="s">
        <v>484</v>
      </c>
      <c r="AM67" s="1159">
        <v>45945.0</v>
      </c>
      <c r="AN67" s="1057">
        <v>1.0</v>
      </c>
      <c r="AO67" s="746" t="s">
        <v>485</v>
      </c>
      <c r="AP67" s="766" t="s">
        <v>476</v>
      </c>
      <c r="AQ67" s="1057">
        <v>1.0</v>
      </c>
      <c r="AR67" s="746" t="s">
        <v>485</v>
      </c>
      <c r="AS67" s="766" t="s">
        <v>476</v>
      </c>
      <c r="AT67" s="1057">
        <v>1.0</v>
      </c>
      <c r="AU67" s="746" t="s">
        <v>485</v>
      </c>
      <c r="AV67" s="766" t="s">
        <v>476</v>
      </c>
      <c r="AW67" s="1057">
        <v>1.0</v>
      </c>
      <c r="AX67" s="746" t="s">
        <v>485</v>
      </c>
      <c r="AY67" s="766" t="s">
        <v>476</v>
      </c>
      <c r="AZ67" s="1057">
        <v>1.0</v>
      </c>
      <c r="BA67" s="1069" t="s">
        <v>485</v>
      </c>
      <c r="BB67" s="1046" t="s">
        <v>476</v>
      </c>
      <c r="BC67" s="1078">
        <v>1.0</v>
      </c>
      <c r="BD67" s="1069" t="s">
        <v>485</v>
      </c>
      <c r="BE67" s="1046" t="s">
        <v>476</v>
      </c>
      <c r="BF67" s="1078">
        <v>1.0</v>
      </c>
      <c r="BG67" s="1069" t="s">
        <v>485</v>
      </c>
      <c r="BH67" s="1046" t="s">
        <v>476</v>
      </c>
      <c r="BI67" s="1078">
        <v>1.0</v>
      </c>
      <c r="BJ67" s="1069" t="s">
        <v>485</v>
      </c>
      <c r="BK67" s="1046" t="s">
        <v>476</v>
      </c>
      <c r="BL67" s="1078">
        <v>1.0</v>
      </c>
      <c r="BM67" s="1069" t="s">
        <v>485</v>
      </c>
      <c r="BN67" s="1046" t="s">
        <v>476</v>
      </c>
      <c r="BO67" s="1078">
        <v>1.0</v>
      </c>
      <c r="BP67" s="1069" t="s">
        <v>485</v>
      </c>
      <c r="BQ67" s="1046" t="s">
        <v>476</v>
      </c>
      <c r="BR67" s="1078">
        <v>1.0</v>
      </c>
      <c r="BS67" s="1069" t="s">
        <v>485</v>
      </c>
      <c r="BT67" s="1046" t="s">
        <v>476</v>
      </c>
      <c r="BU67" s="1078">
        <v>1.0</v>
      </c>
      <c r="BV67" s="1069" t="s">
        <v>485</v>
      </c>
      <c r="BW67" s="1046" t="s">
        <v>476</v>
      </c>
      <c r="BX67" s="1078">
        <v>1.0</v>
      </c>
      <c r="BY67" s="1069" t="s">
        <v>485</v>
      </c>
      <c r="BZ67" s="1046" t="s">
        <v>476</v>
      </c>
      <c r="CA67" s="1078">
        <v>1.0</v>
      </c>
      <c r="CB67" s="1069" t="s">
        <v>485</v>
      </c>
      <c r="CC67" s="1046" t="s">
        <v>476</v>
      </c>
      <c r="CD67" s="1078">
        <v>1.0</v>
      </c>
      <c r="CE67" s="1069" t="s">
        <v>485</v>
      </c>
      <c r="CF67" s="1046" t="s">
        <v>476</v>
      </c>
      <c r="CG67" s="1078">
        <v>1.0</v>
      </c>
      <c r="CH67" s="1069" t="s">
        <v>485</v>
      </c>
      <c r="CI67" s="1046" t="s">
        <v>476</v>
      </c>
      <c r="CJ67" s="1078">
        <v>1.0</v>
      </c>
      <c r="CK67" s="1069" t="s">
        <v>485</v>
      </c>
      <c r="CL67" s="1046" t="s">
        <v>476</v>
      </c>
      <c r="CM67" s="1078">
        <v>1.0</v>
      </c>
      <c r="CN67" s="1064" t="s">
        <v>485</v>
      </c>
      <c r="CO67" s="1084" t="s">
        <v>476</v>
      </c>
      <c r="CP67" s="1066">
        <v>1.0</v>
      </c>
      <c r="CQ67" s="1064" t="s">
        <v>485</v>
      </c>
      <c r="CR67" s="1084" t="s">
        <v>476</v>
      </c>
      <c r="CS67" s="1066">
        <v>1.0</v>
      </c>
      <c r="CT67" s="1064" t="s">
        <v>485</v>
      </c>
      <c r="CU67" s="1084" t="s">
        <v>476</v>
      </c>
      <c r="CV67" s="1066">
        <v>1.0</v>
      </c>
      <c r="CW67" s="1064" t="s">
        <v>485</v>
      </c>
      <c r="CX67" s="1084" t="s">
        <v>476</v>
      </c>
      <c r="CY67" s="1066">
        <v>1.0</v>
      </c>
      <c r="CZ67" s="1064" t="s">
        <v>485</v>
      </c>
      <c r="DA67" s="1084" t="s">
        <v>476</v>
      </c>
      <c r="DB67" s="1066">
        <v>1.0</v>
      </c>
      <c r="DC67" s="1064" t="s">
        <v>485</v>
      </c>
      <c r="DD67" s="1084" t="s">
        <v>476</v>
      </c>
      <c r="DE67" s="1066">
        <v>1.0</v>
      </c>
      <c r="DF67" s="1064" t="s">
        <v>485</v>
      </c>
      <c r="DG67" s="1084" t="s">
        <v>476</v>
      </c>
      <c r="DH67" s="1066">
        <v>1.0</v>
      </c>
      <c r="DI67" s="1064" t="s">
        <v>485</v>
      </c>
      <c r="DJ67" s="1084" t="s">
        <v>476</v>
      </c>
      <c r="DK67" s="1066">
        <v>1.0</v>
      </c>
      <c r="DL67" s="1064" t="s">
        <v>485</v>
      </c>
      <c r="DM67" s="1084" t="s">
        <v>476</v>
      </c>
      <c r="DN67" s="1066">
        <v>1.0</v>
      </c>
      <c r="DO67" s="1064" t="s">
        <v>485</v>
      </c>
      <c r="DP67" s="1084" t="s">
        <v>476</v>
      </c>
      <c r="DQ67" s="1066">
        <v>1.0</v>
      </c>
      <c r="DR67" s="1064" t="s">
        <v>485</v>
      </c>
      <c r="DS67" s="1084" t="s">
        <v>476</v>
      </c>
      <c r="DT67" s="1066">
        <v>1.0</v>
      </c>
      <c r="DU67" s="1064" t="s">
        <v>485</v>
      </c>
      <c r="DV67" s="1084" t="s">
        <v>476</v>
      </c>
      <c r="DW67" s="1066">
        <v>1.0</v>
      </c>
      <c r="DX67" s="1064" t="s">
        <v>485</v>
      </c>
      <c r="DY67" s="1084" t="s">
        <v>476</v>
      </c>
      <c r="DZ67" s="1066">
        <v>1.0</v>
      </c>
      <c r="EA67" s="1064" t="s">
        <v>485</v>
      </c>
      <c r="EB67" s="1084" t="s">
        <v>476</v>
      </c>
      <c r="EC67" s="1066">
        <v>1.0</v>
      </c>
      <c r="ED67" s="111"/>
      <c r="EE67" s="111"/>
      <c r="EF67" s="111"/>
    </row>
    <row r="68" ht="15.0" customHeight="1" outlineLevel="1">
      <c r="A68" s="60">
        <v>106.0</v>
      </c>
      <c r="B68" s="747" t="s">
        <v>318</v>
      </c>
      <c r="C68" s="747" t="s">
        <v>318</v>
      </c>
      <c r="D68" s="71" t="s">
        <v>319</v>
      </c>
      <c r="E68" s="1153" t="s">
        <v>317</v>
      </c>
      <c r="F68" s="72">
        <v>1125.0</v>
      </c>
      <c r="G68" s="72" t="s">
        <v>317</v>
      </c>
      <c r="H68" s="139">
        <v>1125.0</v>
      </c>
      <c r="I68" s="126" t="str">
        <f>IFERROR(VLOOKUP(C65:C207,'R22 RELATÓRIO ACC'!B:F,5,FALSE),"NOT PUBLISHED")</f>
        <v>V7</v>
      </c>
      <c r="J68" s="126" t="str">
        <f>IFERROR(VLOOKUP(C65:C207,'R22 RELATÓRIO ACC'!B:P,15,FALSE),"NOT PUBLISHED")</f>
        <v>07/11/2025</v>
      </c>
      <c r="K68" s="746" t="str">
        <f>IFERROR(VLOOKUP(B65:B207,'RELATÓRIO ACC'!B:F,5,FALSE),"NOT PUBLISHED")</f>
        <v>V1</v>
      </c>
      <c r="L68" s="748" t="str">
        <f>IFERROR(VLOOKUP(B65:B207,'RELATÓRIO ACC'!B:P,15,FALSE),"NOT PUBLISHED")</f>
        <v>21/05/2026</v>
      </c>
      <c r="M68" s="746" t="s">
        <v>494</v>
      </c>
      <c r="N68" s="1160">
        <v>45856.0</v>
      </c>
      <c r="O68" s="851" t="s">
        <v>482</v>
      </c>
      <c r="P68" s="852" t="s">
        <v>194</v>
      </c>
      <c r="Q68" s="746" t="s">
        <v>477</v>
      </c>
      <c r="R68" s="759" t="s">
        <v>476</v>
      </c>
      <c r="S68" s="773">
        <v>0.74</v>
      </c>
      <c r="T68" s="746" t="s">
        <v>466</v>
      </c>
      <c r="U68" s="466" t="s">
        <v>483</v>
      </c>
      <c r="V68" s="767" t="s">
        <v>478</v>
      </c>
      <c r="W68" s="746" t="s">
        <v>484</v>
      </c>
      <c r="X68" s="766" t="s">
        <v>476</v>
      </c>
      <c r="Y68" s="762">
        <v>1.0</v>
      </c>
      <c r="Z68" s="746" t="s">
        <v>484</v>
      </c>
      <c r="AA68" s="766" t="s">
        <v>476</v>
      </c>
      <c r="AB68" s="762">
        <v>1.0</v>
      </c>
      <c r="AC68" s="746" t="s">
        <v>484</v>
      </c>
      <c r="AD68" s="766" t="s">
        <v>476</v>
      </c>
      <c r="AE68" s="1057">
        <v>1.0</v>
      </c>
      <c r="AF68" s="746" t="s">
        <v>485</v>
      </c>
      <c r="AG68" s="766" t="s">
        <v>476</v>
      </c>
      <c r="AH68" s="1057">
        <v>1.0</v>
      </c>
      <c r="AI68" s="746" t="s">
        <v>485</v>
      </c>
      <c r="AJ68" s="766" t="s">
        <v>476</v>
      </c>
      <c r="AK68" s="1057">
        <v>1.0</v>
      </c>
      <c r="AL68" s="746" t="s">
        <v>485</v>
      </c>
      <c r="AM68" s="766" t="s">
        <v>476</v>
      </c>
      <c r="AN68" s="1057">
        <v>1.0</v>
      </c>
      <c r="AO68" s="746" t="s">
        <v>485</v>
      </c>
      <c r="AP68" s="766" t="s">
        <v>476</v>
      </c>
      <c r="AQ68" s="1057">
        <v>1.0</v>
      </c>
      <c r="AR68" s="746" t="s">
        <v>485</v>
      </c>
      <c r="AS68" s="766" t="s">
        <v>476</v>
      </c>
      <c r="AT68" s="1057">
        <v>1.0</v>
      </c>
      <c r="AU68" s="746" t="s">
        <v>485</v>
      </c>
      <c r="AV68" s="766" t="s">
        <v>476</v>
      </c>
      <c r="AW68" s="1057">
        <v>1.0</v>
      </c>
      <c r="AX68" s="746" t="s">
        <v>485</v>
      </c>
      <c r="AY68" s="766" t="s">
        <v>476</v>
      </c>
      <c r="AZ68" s="1057">
        <v>1.0</v>
      </c>
      <c r="BA68" s="1069" t="s">
        <v>485</v>
      </c>
      <c r="BB68" s="1046" t="s">
        <v>476</v>
      </c>
      <c r="BC68" s="1078">
        <v>1.0</v>
      </c>
      <c r="BD68" s="1069" t="s">
        <v>485</v>
      </c>
      <c r="BE68" s="1046" t="s">
        <v>476</v>
      </c>
      <c r="BF68" s="1078">
        <v>1.0</v>
      </c>
      <c r="BG68" s="1069" t="s">
        <v>485</v>
      </c>
      <c r="BH68" s="1046" t="s">
        <v>476</v>
      </c>
      <c r="BI68" s="1078">
        <v>1.0</v>
      </c>
      <c r="BJ68" s="1069" t="s">
        <v>485</v>
      </c>
      <c r="BK68" s="1046" t="s">
        <v>476</v>
      </c>
      <c r="BL68" s="1078">
        <v>1.0</v>
      </c>
      <c r="BM68" s="1069" t="s">
        <v>485</v>
      </c>
      <c r="BN68" s="1046" t="s">
        <v>476</v>
      </c>
      <c r="BO68" s="1078">
        <v>1.0</v>
      </c>
      <c r="BP68" s="1069" t="s">
        <v>485</v>
      </c>
      <c r="BQ68" s="1046" t="s">
        <v>476</v>
      </c>
      <c r="BR68" s="1078">
        <v>1.0</v>
      </c>
      <c r="BS68" s="1069" t="s">
        <v>485</v>
      </c>
      <c r="BT68" s="1046" t="s">
        <v>476</v>
      </c>
      <c r="BU68" s="1078">
        <v>1.0</v>
      </c>
      <c r="BV68" s="1069" t="s">
        <v>485</v>
      </c>
      <c r="BW68" s="1046" t="s">
        <v>476</v>
      </c>
      <c r="BX68" s="1078">
        <v>1.0</v>
      </c>
      <c r="BY68" s="1069" t="s">
        <v>485</v>
      </c>
      <c r="BZ68" s="1046" t="s">
        <v>476</v>
      </c>
      <c r="CA68" s="1078">
        <v>1.0</v>
      </c>
      <c r="CB68" s="1069" t="s">
        <v>485</v>
      </c>
      <c r="CC68" s="1046" t="s">
        <v>476</v>
      </c>
      <c r="CD68" s="1078">
        <v>1.0</v>
      </c>
      <c r="CE68" s="1069" t="s">
        <v>485</v>
      </c>
      <c r="CF68" s="1046" t="s">
        <v>476</v>
      </c>
      <c r="CG68" s="1078">
        <v>1.0</v>
      </c>
      <c r="CH68" s="1069" t="s">
        <v>485</v>
      </c>
      <c r="CI68" s="1046" t="s">
        <v>476</v>
      </c>
      <c r="CJ68" s="1078">
        <v>1.0</v>
      </c>
      <c r="CK68" s="1069" t="s">
        <v>485</v>
      </c>
      <c r="CL68" s="1046" t="s">
        <v>476</v>
      </c>
      <c r="CM68" s="1078">
        <v>1.0</v>
      </c>
      <c r="CN68" s="1064" t="s">
        <v>485</v>
      </c>
      <c r="CO68" s="1084" t="s">
        <v>476</v>
      </c>
      <c r="CP68" s="1066">
        <v>1.0</v>
      </c>
      <c r="CQ68" s="1064" t="s">
        <v>485</v>
      </c>
      <c r="CR68" s="1084" t="s">
        <v>476</v>
      </c>
      <c r="CS68" s="1066">
        <v>1.0</v>
      </c>
      <c r="CT68" s="1064" t="s">
        <v>485</v>
      </c>
      <c r="CU68" s="1084" t="s">
        <v>476</v>
      </c>
      <c r="CV68" s="1066">
        <v>1.0</v>
      </c>
      <c r="CW68" s="1064" t="s">
        <v>485</v>
      </c>
      <c r="CX68" s="1084" t="s">
        <v>476</v>
      </c>
      <c r="CY68" s="1066">
        <v>1.0</v>
      </c>
      <c r="CZ68" s="1064" t="s">
        <v>485</v>
      </c>
      <c r="DA68" s="1084" t="s">
        <v>476</v>
      </c>
      <c r="DB68" s="1066">
        <v>1.0</v>
      </c>
      <c r="DC68" s="1064" t="s">
        <v>485</v>
      </c>
      <c r="DD68" s="1084" t="s">
        <v>476</v>
      </c>
      <c r="DE68" s="1066">
        <v>1.0</v>
      </c>
      <c r="DF68" s="1064" t="s">
        <v>485</v>
      </c>
      <c r="DG68" s="1084" t="s">
        <v>476</v>
      </c>
      <c r="DH68" s="1066">
        <v>1.0</v>
      </c>
      <c r="DI68" s="1064" t="s">
        <v>485</v>
      </c>
      <c r="DJ68" s="1084" t="s">
        <v>476</v>
      </c>
      <c r="DK68" s="1066">
        <v>1.0</v>
      </c>
      <c r="DL68" s="1064" t="s">
        <v>485</v>
      </c>
      <c r="DM68" s="1084" t="s">
        <v>476</v>
      </c>
      <c r="DN68" s="1066">
        <v>1.0</v>
      </c>
      <c r="DO68" s="1064" t="s">
        <v>485</v>
      </c>
      <c r="DP68" s="1084" t="s">
        <v>476</v>
      </c>
      <c r="DQ68" s="1066">
        <v>1.0</v>
      </c>
      <c r="DR68" s="1064" t="s">
        <v>485</v>
      </c>
      <c r="DS68" s="1084" t="s">
        <v>476</v>
      </c>
      <c r="DT68" s="1066">
        <v>1.0</v>
      </c>
      <c r="DU68" s="1064" t="s">
        <v>485</v>
      </c>
      <c r="DV68" s="1084" t="s">
        <v>476</v>
      </c>
      <c r="DW68" s="1066">
        <v>1.0</v>
      </c>
      <c r="DX68" s="1064" t="s">
        <v>485</v>
      </c>
      <c r="DY68" s="1084" t="s">
        <v>476</v>
      </c>
      <c r="DZ68" s="1066">
        <v>1.0</v>
      </c>
      <c r="EA68" s="1064" t="s">
        <v>485</v>
      </c>
      <c r="EB68" s="1084" t="s">
        <v>476</v>
      </c>
      <c r="EC68" s="1066">
        <v>1.0</v>
      </c>
      <c r="ED68" s="111"/>
      <c r="EE68" s="111"/>
      <c r="EF68" s="111"/>
    </row>
    <row r="69" ht="498.0" customHeight="1" outlineLevel="1">
      <c r="A69" s="569"/>
      <c r="B69" s="570"/>
      <c r="C69" s="570"/>
      <c r="D69" s="570"/>
      <c r="E69" s="571"/>
      <c r="F69" s="571"/>
      <c r="G69" s="571"/>
      <c r="H69" s="571"/>
      <c r="I69" s="68"/>
      <c r="J69" s="68"/>
      <c r="K69" s="68"/>
      <c r="L69" s="572"/>
      <c r="M69" s="68"/>
      <c r="N69" s="573"/>
      <c r="O69" s="573"/>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row>
    <row r="70" ht="52.5" customHeight="1" outlineLevel="1">
      <c r="A70" s="59"/>
      <c r="B70" s="59"/>
      <c r="C70" s="59"/>
      <c r="D70" s="574"/>
      <c r="E70" s="575"/>
      <c r="F70" s="575"/>
      <c r="G70" s="575"/>
      <c r="H70" s="575"/>
      <c r="I70" s="59"/>
      <c r="J70" s="59"/>
      <c r="K70" s="59"/>
      <c r="L70" s="59"/>
      <c r="M70" s="59"/>
      <c r="N70" s="59"/>
      <c r="O70" s="59"/>
      <c r="P70" s="59"/>
      <c r="Q70" s="59"/>
      <c r="R70" s="59"/>
      <c r="S70" s="576"/>
      <c r="T70" s="59"/>
      <c r="U70" s="59"/>
      <c r="V70" s="576"/>
      <c r="W70" s="576"/>
      <c r="X70" s="576"/>
      <c r="Y70" s="576"/>
      <c r="Z70" s="576"/>
      <c r="AA70" s="576"/>
      <c r="AB70" s="576"/>
      <c r="AC70" s="576"/>
      <c r="AD70" s="576"/>
      <c r="AE70" s="576"/>
      <c r="AF70" s="576"/>
      <c r="AG70" s="576"/>
      <c r="AH70" s="576"/>
      <c r="AI70" s="576"/>
      <c r="AJ70" s="576"/>
      <c r="AK70" s="576"/>
      <c r="AL70" s="576"/>
      <c r="AM70" s="576"/>
      <c r="AN70" s="576"/>
      <c r="AO70" s="576"/>
      <c r="AP70" s="576"/>
      <c r="AQ70" s="576"/>
      <c r="AR70" s="576"/>
      <c r="AS70" s="576"/>
      <c r="AT70" s="576"/>
      <c r="AU70" s="576"/>
      <c r="AV70" s="576"/>
      <c r="AW70" s="576"/>
      <c r="AX70" s="576"/>
      <c r="AY70" s="576"/>
      <c r="AZ70" s="576"/>
      <c r="BA70" s="576"/>
      <c r="BB70" s="576"/>
      <c r="BC70" s="576"/>
      <c r="BD70" s="576"/>
      <c r="BE70" s="576"/>
      <c r="BF70" s="576"/>
      <c r="BG70" s="576"/>
      <c r="BH70" s="576"/>
      <c r="BI70" s="576"/>
      <c r="BJ70" s="576"/>
      <c r="BK70" s="576"/>
      <c r="BL70" s="576"/>
      <c r="BM70" s="576"/>
      <c r="BN70" s="576"/>
      <c r="BO70" s="576"/>
      <c r="BP70" s="576"/>
      <c r="BQ70" s="576"/>
      <c r="BR70" s="576"/>
      <c r="BS70" s="576"/>
      <c r="BT70" s="576"/>
      <c r="BU70" s="576"/>
      <c r="BV70" s="576"/>
      <c r="BW70" s="576"/>
      <c r="BX70" s="576"/>
      <c r="BY70" s="576"/>
      <c r="BZ70" s="576"/>
      <c r="CA70" s="576"/>
      <c r="CB70" s="576"/>
      <c r="CC70" s="576"/>
      <c r="CD70" s="576"/>
      <c r="CE70" s="576"/>
      <c r="CF70" s="576"/>
      <c r="CG70" s="576"/>
      <c r="CH70" s="576"/>
      <c r="CI70" s="576"/>
      <c r="CJ70" s="576"/>
      <c r="CK70" s="576"/>
      <c r="CL70" s="576"/>
      <c r="CM70" s="576"/>
      <c r="CN70" s="576"/>
      <c r="CO70" s="576"/>
      <c r="CP70" s="576"/>
      <c r="CQ70" s="576"/>
      <c r="CR70" s="576"/>
      <c r="CS70" s="576"/>
      <c r="CT70" s="576"/>
      <c r="CU70" s="576"/>
      <c r="CV70" s="576"/>
      <c r="CW70" s="576"/>
      <c r="CX70" s="576"/>
      <c r="CY70" s="576"/>
      <c r="CZ70" s="576"/>
      <c r="DA70" s="576"/>
      <c r="DB70" s="576"/>
      <c r="DC70" s="576"/>
      <c r="DD70" s="576"/>
      <c r="DE70" s="576"/>
      <c r="DF70" s="576"/>
      <c r="DG70" s="576"/>
      <c r="DH70" s="576"/>
      <c r="DI70" s="576"/>
      <c r="DJ70" s="576"/>
      <c r="DK70" s="576"/>
      <c r="DL70" s="576"/>
      <c r="DM70" s="576"/>
      <c r="DN70" s="576"/>
      <c r="DO70" s="576"/>
      <c r="DP70" s="576"/>
      <c r="DQ70" s="576"/>
      <c r="DR70" s="576"/>
      <c r="DS70" s="576"/>
      <c r="DT70" s="576"/>
      <c r="DU70" s="576"/>
      <c r="DV70" s="576"/>
      <c r="DW70" s="576"/>
      <c r="DX70" s="576"/>
      <c r="DY70" s="576"/>
      <c r="DZ70" s="576"/>
      <c r="EA70" s="576"/>
      <c r="EB70" s="576"/>
      <c r="EC70" s="576"/>
      <c r="ED70" s="577"/>
      <c r="EE70" s="577"/>
      <c r="EF70" s="577"/>
    </row>
  </sheetData>
  <autoFilter ref="$A$3:$EF$68">
    <filterColumn colId="3">
      <filters>
        <filter val="C12A"/>
        <filter val="DATA"/>
        <filter val="ADMN"/>
        <filter val="COL5"/>
        <filter val="COL4"/>
        <filter val="COL3"/>
        <filter val="COL2"/>
        <filter val="C345"/>
        <filter val="COL1"/>
      </filters>
    </filterColumn>
    <sortState ref="A3:EF68">
      <sortCondition ref="DO3:DO68"/>
      <sortCondition ref="A3:A68"/>
      <sortCondition descending="1" ref="M3:M68"/>
    </sortState>
  </autoFilter>
  <mergeCells count="3">
    <mergeCell ref="D1:AL1"/>
    <mergeCell ref="AM1:AN1"/>
    <mergeCell ref="Q2:AT2"/>
  </mergeCells>
  <conditionalFormatting sqref="DK63:EC63">
    <cfRule type="cellIs" dxfId="2" priority="1" operator="between">
      <formula>"0%"</formula>
      <formula>"50%"</formula>
    </cfRule>
  </conditionalFormatting>
  <conditionalFormatting sqref="S3:S8 V3:V13 Y3:Y13 Z3:Z42 AA3:AA4 AB3:AB13 AC3:AC70 AD3:AD44 AE3:AE13 AF3:AG70 AH3:AH13 AI3:AJ70 AK3:AK13 AL3:AM70 AN3:AN13 AO3:AP70 AQ3:BE13 BF3:EC19 ED3:EF70 AA6:AA9 S11:S13 AA11:AA14 Y15:Y18 AB15:AB18 AE15:AE18 AH15:AH18 AK15:AK18 AN15:AN18 AQ15:BE18 S17:S18 V17:V18 AA17 AA19:AA20 BF21:CP27 CQ21:CQ59 CR21:EC27 S22:S27 V22:V27 Y22:Y27 AA22:AA24 AB22:AB27 AE22:AE27 AH22:AH27 AK22:AK27 AN22:AN27 AQ22:BE27 AA26 AA28 Y29:Y42 AB29:AB42 AE29:AE59 AH29:AH59 AK29:AK59 AN29:AN59 AQ29:AQ59 AR29:AS70 AT29:AT59 AU29:AV70 AW29:AW59 AX29:AY70 AZ29:CP59 CR29:EC59 S30:S42 V30:V42 AA30 AA32 AA34:AA38 AA41:AA42 S44 V44 Y44:Z59 AA44 AB44:AB59 S46:S51 V46:V51 AA46:AA50 AD46:AD57 S53:S57 V53:V57 AA53 AA55:AA57 AD59:AD70 O61 S63:S70 V63:V70 Y63:Z70 AA63 AB63:AB70 AE63:AE70 AH63:AH70 AK63:AK70 AN63:AN70 AQ63:AQ70 AT63:AT70 AW63:AW70 AZ63:CY70 DK63:EC70 CZ64:DJ70 AA65:AA70">
    <cfRule type="cellIs" dxfId="0" priority="2" operator="greaterThanOrEqual">
      <formula>"70%"</formula>
    </cfRule>
  </conditionalFormatting>
  <conditionalFormatting sqref="S3:S8 V3:V13 Y3:Y13 Z3:Z42 AA3:AA4 AB3:AB13 AC3:AC70 AD3:AD44 AE3:AE13 AF3:AG70 AH3:AH13 AI3:AJ70 AK3:AK13 AL3:AM70 AN3:AN13 AO3:AP70 AQ3:BE13 BF3:EC19 AA6:AA9 ED8:EF8 S11:S13 AA11:AA14 Y15:Y18 AB15:AB18 AE15:AE18 AH15:AH18 AK15:AK18 AN15:AN18 AQ15:BE18 S17:S18 V17:V18 AA17 AA19:AA20 BF21:CP27 CQ21:CQ59 CR21:EC27 S22:S27 V22:V27 Y22:Y27 AA22:AA24 AB22:AB27 AE22:AE27 AH22:AH27 AK22:AK27 AN22:AN27 AQ22:BE27 AA26 AA28 Y29:Y42 AB29:AB42 AE29:AE59 AH29:AH59 AK29:AK59 AN29:AN59 AQ29:AQ59 AR29:AS70 AT29:AT59 AU29:AV70 AW29:AW59 AX29:AY70 AZ29:CP59 CR29:EC59 S30:S42 V30:V42 AA30 ED31:EF31 AA32 AA34:AA38 AA41:AA42 ED43:EF43 S44 V44 Y44:Z59 AA44 AB44:AB59 S46:S51 V46:V51 AA46:AA50 AD46:AD57 S53:S57 V53:V57 AA53 AA55:AA57 AD59:AD70 O61 S63:S70 V63:V70 Y63:Z70 AA63 AB63:AB70 AE63:AE70 AH63:AH70 AK63:AK70 AN63:AN70 AQ63:AQ70 AT63:AT70 AW63:AW70 AZ63:CY70 DK63:EC70 CZ64:DJ70 AA65:AA70">
    <cfRule type="cellIs" dxfId="1" priority="3" operator="between">
      <formula>"49%"</formula>
      <formula>"69%"</formula>
    </cfRule>
  </conditionalFormatting>
  <conditionalFormatting sqref="S3:S8 V3:V13 Y3:Y13 Z3:Z42 AA3:AA4 AB3:AB13 AC3:AC70 AD3:AD44 AE3:AE13 AF3:AG70 AH3:AH13 AI3:AJ70 AK3:AK13 AL3:AM70 AN3:AN13 AO3:AP70 AQ3:BE13 BF3:EC19 AA6:AA9 ED8:EF8 S11:S13 AA11:AA14 Y15:Y18 AB15:AB18 AE15:AE18 AH15:AH18 AK15:AK18 AN15:AN18 AQ15:BE18 S17:S18 V17:V18 AA17 AA19:AA20 BF21:CP27 CQ21:CQ59 CR21:EC27 S22:S27 V22:V27 Y22:Y27 AA22:AA24 AB22:AB27 AE22:AE27 AH22:AH27 AK22:AK27 AN22:AN27 AQ22:BE27 AA26 AA28 Y29:Y42 AB29:AB42 AE29:AE59 AH29:AH59 AK29:AK59 AN29:AN59 AQ29:AQ59 AR29:AS70 AT29:AT59 AU29:AV70 AW29:AW59 AX29:AY70 AZ29:CP59 CR29:EC59 S30:S42 V30:V42 AA30 ED31:EF31 AA32 AA34:AA38 AA41:AA42 ED43:EF43 S44 V44 Y44:Z59 AA44 AB44:AB59 S46:S51 V46:V51 AA46:AA50 AD46:AD57 S53:S57 V53:V57 AA53 AA55:AA57 AD59:AD70 O61 S63:S70 V63:V70 Y63:Z70 AA63 AB63:AB70 AE63:AE70 AH63:AH70 AK63:AK70 AN63:AN70 AQ63:AQ70 AT63:AT70 AW63:AW70 AZ63:CY70 DK63:EC70 CZ64:DJ70 AA65:AA70">
    <cfRule type="cellIs" dxfId="2" priority="4" operator="between">
      <formula>"1%"</formula>
      <formula>"50%"</formula>
    </cfRule>
  </conditionalFormatting>
  <conditionalFormatting sqref="S3:S8 V3:V13 Y3:Y13 Z3:Z42 AA3:AA4 AB3:AB13 AC3:AC70 AD3:AD44 AE3:AE13 AF3:AG70 AH3:AH13 AI3:AJ70 AK3:AK13 AL3:AM70 AN3:AN13 AO3:AP70 AQ3:BE13 BF3:EC19 ED3:EF70 AA6:AA9 S11:S13 AA11:AA14 Y15:Y18 AB15:AB18 AE15:AE18 AH15:AH18 AK15:AK18 AN15:AN18 AQ15:BE18 S17:S18 V17:V18 AA17 AA19:AA20 BF21:CP27 CQ21:CQ59 CR21:EC27 S22:S27 V22:V27 Y22:Y27 AA22:AA24 AB22:AB27 AE22:AE27 AH22:AH27 AK22:AK27 AN22:AN27 AQ22:BE27 AA26 AA28 Y29:Y42 AB29:AB42 AE29:AE59 AH29:AH59 AK29:AK59 AN29:AN59 AQ29:AQ59 AR29:AS70 AT29:AT59 AU29:AV70 AW29:AW59 AX29:AY70 AZ29:CP59 CR29:EC59 S30:S42 V30:V42 AA30 AA32 AA34:AA38 AA41:AA42 S44 V44 Y44:Z59 AA44 AB44:AB59 S46:S51 V46:V51 AA46:AA50 AD46:AD57 S53:S57 V53:V57 AA53 AA55:AA57 AD59:AD70 S63:S70 V63:V70 Y63:Z70 AA63 AB63:AB70 AE63:AE70 AH63:AH70 AK63:AK70 AN63:AN70 AQ63:AQ70 AT63:AT70 AW63:AW70 AZ63:CY70 DK63:EC70 CZ64:DJ70 AA65:AA70">
    <cfRule type="cellIs" dxfId="2" priority="5" operator="between">
      <formula>"1%"</formula>
      <formula>"50%"</formula>
    </cfRule>
  </conditionalFormatting>
  <conditionalFormatting sqref="S3:S8 V3:V13 Y3:Y13 Z3:Z42 AA3:AA4 AB3:AB13 AC3:AC70 AD3:AD44 AE3:AE13 AF3:AG70 AH3:AH13 AI3:AJ70 AK3:AK13 AL3:AM70 AN3:AN13 AO3:AP70 AQ3:BE13 BF3:EC19 ED3:EF70 AA6:AA9 S11:S13 AA11:AA14 Y15:Y18 AB15:AB18 AE15:AE18 AH15:AH18 AK15:AK18 AN15:AN18 AQ15:BE18 S17:S18 V17:V18 AA17 AA19:AA20 BF21:CP27 CQ21:CQ59 CR21:EC27 S22:S27 V22:V27 Y22:Y27 AA22:AA24 AB22:AB27 AE22:AE27 AH22:AH27 AK22:AK27 AN22:AN27 AQ22:BE27 AA26 AA28 Y29:Y42 AB29:AB42 AE29:AE59 AH29:AH59 AK29:AK59 AN29:AN59 AQ29:AQ59 AR29:AS70 AT29:AT59 AU29:AV70 AW29:AW59 AX29:AY70 AZ29:CP59 CR29:EC59 S30:S42 V30:V42 AA30 AA32 AA34:AA38 AA41:AA42 S44 V44 Y44:Z59 AA44 AB44:AB59 S46:S51 V46:V51 AA46:AA50 AD46:AD57 S53:S57 V53:V57 AA53 AA55:AA57 AD59:AD70 S63:S70 V63:V70 Y63:Z70 AA63 AB63:AB70 AE63:AE70 AH63:AH70 AK63:AK70 AN63:AN70 AQ63:AQ70 AT63:AT70 AW63:AW70 AZ63:CY70 DK63:EC70 CZ64:DJ70 AA65:AA70">
    <cfRule type="cellIs" dxfId="1" priority="6" operator="between">
      <formula>"49%"</formula>
      <formula>"69%"</formula>
    </cfRule>
  </conditionalFormatting>
  <conditionalFormatting sqref="I3:M3">
    <cfRule type="cellIs" dxfId="3" priority="7" operator="equal">
      <formula>"VERSION"</formula>
    </cfRule>
  </conditionalFormatting>
  <conditionalFormatting sqref="M4:M69 N14:O16 N19:N21 O19 N28:N29 O36:O39 N43:O43 O58:O68 N60:N62">
    <cfRule type="expression" dxfId="1" priority="8">
      <formula>IFERROR(ARRAYFORMULA(VALUE(MID(K4,2,10))) &gt; VALUE(MID(M4,2,10)), FALSE)</formula>
    </cfRule>
  </conditionalFormatting>
  <conditionalFormatting sqref="I3:K70 L3 M3:M45 L5:L70 N14:O16 N19:N21 O19 N28:N29 O36:O39 N43:O43 M47:M69 O58:O68 N60:N62">
    <cfRule type="beginsWith" dxfId="4" priority="9" operator="beginsWith" text="V">
      <formula>LEFT((I3),LEN("V"))=("V")</formula>
    </cfRule>
  </conditionalFormatting>
  <conditionalFormatting sqref="X3:X9 AA3 AD3 AG3 AJ3 AM3 AP3 AS3 AV3 AY3 CI5:CI7 CL5:CL7 AA6:AA9 AD6:AD8 AG6:AG8 AJ6:AJ8 AM6:AM8 AY6:AY7 BE6:BE7 BH6:BH7 BK6:BK7 BN6:BN7 BQ6:BQ7 BT6:BT7 BW6:BW7 BZ6:BZ7 CC6:CC7 CF6:CF7 X12:X15 AA12:AA16 AD12:AD16 AG12:AG16 AJ12:AJ16 AM12:AM16 X17:X26 AA18:AA20 AJ18:AJ20 AM18:AM20 AD19:AD20 AG19:AG20 AA25 X28 X30:X38 AA31 AA33 AD33 AG33 AJ33 AM33 X40:X42 AD43 AG43 AJ43 AM43 AR43 AU43 X44:X48 AA47 X50:X57 X60:X62 AD60:AD62 AG60:AG62 AJ60:AJ62 AM60:AM62 AP60:AP62 AS60:AS62 AV60:AV62 AY60:AY62 X65:X70">
    <cfRule type="timePeriod" dxfId="12" priority="10" timePeriod="today"/>
  </conditionalFormatting>
  <conditionalFormatting sqref="P3:P70">
    <cfRule type="cellIs" dxfId="5" priority="11" operator="equal">
      <formula>"YASMIN"</formula>
    </cfRule>
  </conditionalFormatting>
  <conditionalFormatting sqref="P3:P70">
    <cfRule type="cellIs" dxfId="6" priority="12" operator="equal">
      <formula>"LETÍCIA"</formula>
    </cfRule>
  </conditionalFormatting>
  <conditionalFormatting sqref="P2:P70">
    <cfRule type="cellIs" dxfId="7" priority="13" operator="equal">
      <formula>"CICI"</formula>
    </cfRule>
  </conditionalFormatting>
  <conditionalFormatting sqref="P2:P70">
    <cfRule type="cellIs" dxfId="1" priority="14" operator="equal">
      <formula>"AIRTON"</formula>
    </cfRule>
  </conditionalFormatting>
  <conditionalFormatting sqref="P2:P70">
    <cfRule type="cellIs" dxfId="8" priority="15" operator="equal">
      <formula>"GUILHERME"</formula>
    </cfRule>
  </conditionalFormatting>
  <conditionalFormatting sqref="P51:P52">
    <cfRule type="cellIs" dxfId="9" priority="16" operator="equal">
      <formula>"JOÃO"</formula>
    </cfRule>
  </conditionalFormatting>
  <conditionalFormatting sqref="M4">
    <cfRule type="notContainsBlanks" dxfId="10" priority="17">
      <formula>LEN(TRIM(M4))&gt;0</formula>
    </cfRule>
  </conditionalFormatting>
  <dataValidations>
    <dataValidation type="list" allowBlank="1" showDropDown="1" showErrorMessage="1" sqref="D5:D21 D23 D25 D27 D29 D31 D33 D35 D37 D39 D41 D43 D45 D47 D49 D51:D52 D54 D58:D69">
      <formula1>"DATA,SITE,GUAR,C345,C12A,PUMP,UTLS,ADMN,COL1,COL2,COL3,COL4,COL5,STIR"</formula1>
    </dataValidation>
    <dataValidation type="list" allowBlank="1" showDropDown="1" showErrorMessage="1" sqref="AX61:AX62 AZ61:AZ62 BD61:BD62 BF61:BF62">
      <formula1>"APPROVED,REPROVED,N/A,IN ANALYSIS,NOT FOUND,TO BE AUDITED,OUTDATED MODEL,IMPROPER"</formula1>
    </dataValidation>
    <dataValidation type="list" allowBlank="1" showErrorMessage="1" sqref="O5:O21 O23 O25 O27 O29 O31 O33 O35 O37 O39 O41 O43 O45 O47 O49 O51:O52 O54 O58:O68">
      <formula1>"R22,R24,AWAITING APPROVAL,N/A,NOT PUBLISHED"</formula1>
    </dataValidation>
    <dataValidation type="list" allowBlank="1" showDropDown="1" showErrorMessage="1" sqref="Q5 S5:T5 V5:W5 Y5:Z5 AB5:AC5 AE5:AF5 AH5:AI5 AK5:AL5 AN5:AO5 AQ5:AR5 AT5:AU5 AW5:AX5 AZ5:EC5 Q8 T8 W8 Z6:Z12 AC6:AC12 AF6:AF12 AI6:AI12 AL6:AL12 AO6:AO12 AR6:AR12 AU6:AU12 AX6:AX12 BA6:BA12 BD6:BD12 BG6:BG12 BJ6:BJ12 BM6:BM12 BP6:BP12 BS6:BS12 BV6:BV12 BY6:BY12 CB6:CB12 CE6:CE12 CH6:CH12 CK6:CK12 CN6:CN12 CQ6:CQ12 CT6:CT12 CW6:CW12 CZ6:CZ12 DC6:DC12 DF6:DF12 DI6:DI12 DL6:DL12 DO6:EC12 AZ13:EC20 Q13:Q21 S13:T21 V13:W21 Y13:Z21 AB13:AC21 AE13:AF21 AH13:AI21 AK13:AL21 AN13:AO21 AQ13:AR21 AT13:AU21 AW13:AX21 Q23 S23:T23 V23:W23 Y23:Z23 AB23:AC23 AE23:AF23 AH23:AI23 AK23:AL23 AN23:AO23 AQ23:AR23 AT23:AU23 AW23:AX23 AZ23:CZ23 DC23 DF23 DI23 DL23 Q25 T25 W25 Z25 Q27 S27:T27 V27:W27 Z27 AC27 Q29 S29:T29 V29:W29 Z29 AC29 Q31 T31 W31 Z31 AC31 Q33 T33 W33 Z33 AC33 Q35 T35 W35 Z35 AC35 Q37 T37 W37 Z37 Q39 T39 W39 Z39 AC39 Q41 T41 W41 Z41 AC41 Q43 T43 W43 Z43 AC43 Q45 T45 W45 Z45 AC45 Q47 T47 W47 Z47 AC47 Q49 T49 W49 Z49 AC49 Q51:Q52 T51:T52 W51:W52 Z51:Z52 AC51:AC52 Q54 T54 W54 Z54 AC54 T58 W58 Z58 AC58 Y59:Z59 AB59:AC59 AE59:AF59 AH59:AI59 AK59:AL59 AN59 S59:T60 V59:W60 T61:T65 W61:W65 AC63:AC65 S66:T67 V66:W67 Q58:Q68 T68 W68 AC68 Z60:Z69">
      <formula1>"APPROVED,REPROVED,N/A,ANALYSING,NOT PUBLISHED,NEXT ROUND,OUTDATED MODEL"</formula1>
    </dataValidation>
    <dataValidation type="list" allowBlank="1" showDropDown="1" showErrorMessage="1" sqref="AU25 AR59 BD59 BA61:BA62 BC61:BC62 BG61:BG62">
      <formula1>"APPROVED,REPROVED,N/A,ANALYSING,NOT PUBLISHED,OUTDATED MODEL,NEXT ROUND"</formula1>
    </dataValidation>
    <dataValidation type="list" allowBlank="1" showDropDown="1" showErrorMessage="1" sqref="Q6 T6 W6 Q9:Q12 T9:T12 W9:W12 Q69 T69 W69">
      <formula1>"APPROVED,REPROVED,N/A"</formula1>
    </dataValidation>
    <dataValidation type="list" allowBlank="1" showDropDown="1" showErrorMessage="1" sqref="AX25 BA25 BD25 BG25 BJ25 BM25 BP25 BS25 BV25 BY25 CB25 CE25 CH25 CK25 CN25 CQ25 CT25 CW25 CZ25 DC25 DF25 DI25 DL25 DO25 DR25 DU25 DX25 EA25 AF27 AI27 AL27 AO27 AR27 AU27 AX27 BA27 BD27 BG27 BJ27 BM27 BP27 BS27 BV27 BY27 CB27 CE27 CH27 CK27 CN27 CQ27 CT27 CW27 CZ27 DC27 DF27 DI27 DL27 DO27 DR27 DU27 DX27 EA27 AF29 AI29 AL29 AO29 AR29 AU29 AX29 BA29 BD29 BG29 BJ29 BM29 BP29 BS29 BV29 BY29 CB29 CE29 CH29 CK29 CN29 CQ29 CT29 CW29 CZ29 DC29 DF29 DI29 DL29 DO29 DR29 DU29 DX29 EA29 AF31 AI31 AL31 AO31 AR31 AU31 AX31 BA31 BD31 BG31 BJ31 BM31 BP31 BS31 BV31 BY31 CB31 CE31 CH31 CK31 CN31 CQ31 CT31 CW31 CZ31 DC31 DF31 DI31 DL31 DO31 DR31 DU31 DX31 EA31 AF33 AI33 AL33 AO33 AR33 AU33 AX33 BA33 BD33 BG33 BJ33 BM33 BP33 BS33 BV33 BY33 CB33 CE33 CH33 CK33 CN33 CQ33 CT33 CW33 CZ33 DC33 DF33 DI33 DL33 DO33 DR33 DU33 DX33 EA33 AF35 AI35 AL35 AO35 AR35 AU35 AX35 BA35 BD35 BG35 BJ35 BM35 BP35 BS35 BV35 BY35 CB35 CE35 CH35 CK35 CN35 CQ35 CT35 CW35 CZ35 DC35 DF35 DI35 DL35 DO35 DR35 DU35 DX35 EA35 AU37 AX37 BA37 BD37 BG37 BJ37 BM37 BP37 BS37 BV37 BY37 CB37 CE37 CH37 CK37 CN37 CQ37 CT37 CW37 CZ37 DC37 DF37 DI37 DL37 DO37 DR37 DU37 DX37 EA37 AF39 AI39 AL39 AO39 AR39 AU39 AX39 BA39 BD39 BG39 BJ39 BM39 BP39 BS39 BV39 BY39 CB39 CE39 CH39 CK39 CN39 CQ39 CT39 CW39 CZ39 DC39 DF39 DI39 DL39 DO39 DR39 DU39 DX39 EA39 AF41 AI41 AL41 AO41 AR41 AU41 AX41 BA41 BD41 BG41 BJ41 BM41 BP41 BS41 BV41 BY41 CB41 CE41 CH41 CK41 CN41 CQ41 CT41 CW41 CZ41 DC41 DF41 DI41 DL41 DO41 DR41 DU41 DX41 EA41 AF43 AI43 AL43 AO43 AR43 AU43 AX43 BA43 BD43 BG43 BJ43 BM43 BP43 BS43 BV43 BY43 CB43 CE43 CH43 CK43 CN43 CQ43 CT43 CW43 CZ43 DC43 DF43 DI43 DL43 DO43 DR43 DU43 DX43 EA43 AF45 AI45 AL45 AO45 AR45 AU45 AX45 BA45 BD45 BG45 BJ45 BM45 BP45 BS45 BV45 BY45 CB45 CE45 CH45 CK45 CN45 CQ45 CT45 CW45 CZ45 DC45 DF45 DI45 DL45 DO45 DR45 DU45 DX45 EA45 AF47 AI47 AL47 AO47 AR47 AU47 AX47 BA47 BD47 BG47 BJ47 BM47 BP47 BS47 BV47 BY47 CB47 CE47 CH47 CK47 CN47 CQ47 CT47 CW47 CZ47 DC47 DF47 DI47 DL47 DO47 DR47 DU47 DX47 EA47 AF49 AI49 AL49 AO49 AR49 AU49 AX49 BA49 BD49 BG49 BJ49 BM49 BP49 BS49 BV49 BY49 CB49 CE49 CH49 CK49 CN49 CQ49 CT49 CW49 CZ49 DC49 DF49 DI49 DL49 DO49 DR49 DU49 DX49 EA49 AF51:AF52 AI51:AI52 AL51:AL52 AO51:AO52 AR51:AR52 AU51:AU52 AX51:AX52 BA51:BA52 BD51:BD52 BG51:BG52 BJ51:BJ52 BM51:BM52 BP51:BP52 BS51:BS52 BV51:BV52 BY51:BY52 CB51:CB52 CE51:CE52 CH51:CH52 CK51:CK52 CN51:CN52 CQ51:CQ52 CT51:CT52 CW51:CW52 CZ51:CZ52 DC51:DC52 DF51:DF52 DI51:DI52 DL51:DL52 DO51:DO52 DR51:DR52 DU51:DU52 DX51:DX52 EA51:EA52 AF54 AI54 AL54 AO54 AR54 AU54 AX54 BA54 BD54 BG54 BJ54 BM54 BP54 BS54 BV54 BY54 CB54 CE54 CH54 CK54 CN54 CQ54 CT54 CW54 CZ54 DC54 DF54 DI54 DL54 DO54 DR54 DU54 DX54 EA54 AF58 AI58 AL58 AO58 AR58 AU58 AX58 BA58 BD58 AF60 AI60 AL60 AO60 AR60 AU60 AX60 BA60 BD60 BG58:BG60 BJ58:BJ60 BM58:BM60 BP58:BP60 BS58:BS60 BV58:BV60 BY58:BY60 CB58:CB60 CE58:CE60 CH58:CH60 CK58:CK60 CN58:CN60 CQ58:CQ61 CT58:CT61 CW58:CW61 CZ58:CZ61 AF63:AF65 AI63:AI65 AL63:AL65 AO63:AO65 AR63:AR65 AF68 AI68 AL68 AO67:AO68 AR67:AR68 AU63:AU68 AX63:AX68 BA63:BA68 BD63:BD68 BG63:BG68 BJ63:BJ68 BM63:BM68 BP63:BP68 BS63:BS68 BV63:BV68 BY63:BY68 CB63:CB68 CE63:CE68 CH63:CH68 CK63:CK68 CN63:CN68 CQ63:CQ68 CT63:CT68 CW63:CW68 CZ63:CZ68 DC58:DC68 DF58:DF68 DI58:DI68 DL58:DL68 DO58:DO68 DR58:DR68 DU58:DU68 DX58:DX68 EA58:EA68">
      <formula1>"APPROVED,REPROVED,N/A,IN ANALYSIS,NOT FOUND,NOT PUBLISHED,TO BE AUDITED,PREVIOUSLY APPROVED"</formula1>
    </dataValidation>
    <dataValidation type="list" allowBlank="1" showDropDown="1" showErrorMessage="1" sqref="BA21 BC21:BD21 BF21:BG21 BI21:BJ21 BL21:BM21 BO21:BP21 BR21:BS21 BU21:BV21 CB21 CD21:CE21 V25 AC25 AE25:AF25 AH25:AI25 AK25:AL25 AO25 AQ25:AR25 AT25 AC37 AE37:AF37 AH37:AI37 AL37 AN37:AO37 AR37 AO59 AU59 AW59:AX59 AZ59:BB59 V61:V62 AC60:AC62 AE61:AF62 AH61:AI62 AK61:AL62 AN61:AO62 AQ61:AR62 AT61:AU62 AW61:AW62 BJ61:BJ62 BL61:BL62 V64 AF66 AO66 AQ66:AR66 AC66:AC67 AE67:AF67 AH66:AI67 AK66:AL67 V68">
      <formula1>"APPROVED,REPROVED,N/A,ANALYSING,NOT FOUND,OUTDATED MODEL,NEXT ROUND"</formula1>
    </dataValidation>
    <dataValidation type="list" allowBlank="1" showDropDown="1" showErrorMessage="1" sqref="BX21:BY21 CA21 CH21 CJ21:CK21 CM21:CN21 CP21:CQ21 CS21:CT21 CV21:CW21 CY21:CZ21 DB21:DC21 DE21:DF21 DH21:DI21 DK21:DL21 DN21:DO21 DQ21:DR21 DT21:DU21 DW21:DX21 DZ21:EA21 EC21 DO23 DQ23:DR23 DU23 DW23:DX23 DZ23:EA23 EC23 BY61 CD61:CE61 CH61 BM61:BM62 BO61:BP62 BR61:BS62 BU61:BV62 BX62:BY62 CA61:CB62 CE62 CG62:CH62 CK61:CK62 CM61:CN62 CP62:CQ62 CS62:CT62 CV62:CW62 CY62:CZ62">
      <formula1>"APPROVED,REPROVED,N/A,ANALYSING,NOT PUBLISHED,OUTDATED MODEL,NEXT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Row="1"/>
  <cols>
    <col customWidth="1" hidden="1" min="1" max="1" width="5.88"/>
    <col customWidth="1" min="2" max="3" width="33.88"/>
    <col customWidth="1" min="4" max="4" width="10.88"/>
    <col customWidth="1" min="5" max="5" width="19.75"/>
    <col customWidth="1" hidden="1" min="6" max="6" width="10.75"/>
    <col customWidth="1" min="7" max="7" width="18.63"/>
    <col customWidth="1" hidden="1" min="8" max="8" width="9.38"/>
    <col customWidth="1" min="9" max="11" width="20.38"/>
    <col customWidth="1" min="12" max="12" width="18.75"/>
    <col customWidth="1" min="13" max="13" width="15.88"/>
    <col customWidth="1" min="14" max="15" width="15.25"/>
    <col customWidth="1" hidden="1" min="16" max="16" width="22.13"/>
    <col customWidth="1" hidden="1" min="17" max="112" width="16.75"/>
    <col customWidth="1" min="113" max="121" width="16.75"/>
    <col customWidth="1" min="122" max="122" width="21.88"/>
    <col customWidth="1" min="123" max="123" width="153.13"/>
    <col customWidth="1" min="124" max="124" width="16.25"/>
    <col customWidth="1" min="125" max="125" width="51.75"/>
  </cols>
  <sheetData>
    <row r="1" ht="111.0" customHeight="1">
      <c r="A1" s="1"/>
      <c r="B1" s="677"/>
      <c r="C1" s="678"/>
      <c r="D1" s="680" t="s">
        <v>598</v>
      </c>
      <c r="E1" s="681"/>
      <c r="F1" s="681"/>
      <c r="G1" s="681"/>
      <c r="H1" s="681"/>
      <c r="I1" s="681"/>
      <c r="J1" s="681"/>
      <c r="K1" s="681"/>
      <c r="L1" s="681"/>
      <c r="M1" s="681"/>
      <c r="N1" s="681"/>
      <c r="O1" s="681"/>
      <c r="P1" s="681"/>
      <c r="Q1" s="681"/>
      <c r="R1" s="681"/>
      <c r="S1" s="681"/>
      <c r="T1" s="681"/>
      <c r="U1" s="681"/>
      <c r="V1" s="681"/>
      <c r="W1" s="681"/>
      <c r="X1" s="681"/>
      <c r="Y1" s="681"/>
      <c r="Z1" s="681"/>
      <c r="AA1" s="682"/>
      <c r="AB1" s="681"/>
      <c r="AC1" s="682"/>
      <c r="AD1" s="682"/>
      <c r="AE1" s="682"/>
      <c r="AF1" s="682"/>
      <c r="AG1" s="682"/>
      <c r="AH1" s="682"/>
      <c r="AI1" s="682"/>
      <c r="AJ1" s="682"/>
      <c r="AK1" s="682"/>
      <c r="AL1" s="682"/>
      <c r="AM1" s="682"/>
      <c r="AN1" s="682"/>
      <c r="AO1" s="682"/>
      <c r="AP1" s="682"/>
      <c r="AQ1" s="682"/>
      <c r="AR1" s="682"/>
      <c r="AS1" s="682"/>
      <c r="AT1" s="682"/>
      <c r="AU1" s="682"/>
      <c r="AV1" s="682"/>
      <c r="AW1" s="682"/>
      <c r="AX1" s="682"/>
      <c r="AY1" s="682"/>
      <c r="AZ1" s="682"/>
      <c r="BA1" s="682"/>
      <c r="BB1" s="682"/>
      <c r="BC1" s="682"/>
      <c r="BD1" s="682"/>
      <c r="BE1" s="682"/>
      <c r="BF1" s="682"/>
      <c r="BG1" s="682"/>
      <c r="BH1" s="682"/>
      <c r="BI1" s="682"/>
      <c r="BJ1" s="682"/>
      <c r="BK1" s="682"/>
      <c r="BL1" s="682"/>
      <c r="BM1" s="682"/>
      <c r="BN1" s="682"/>
      <c r="BO1" s="682"/>
      <c r="BP1" s="682"/>
      <c r="BQ1" s="682"/>
      <c r="BR1" s="682"/>
      <c r="BS1" s="682"/>
      <c r="BT1" s="682"/>
      <c r="BU1" s="682"/>
      <c r="BV1" s="682"/>
      <c r="BW1" s="682"/>
      <c r="BX1" s="682"/>
      <c r="BY1" s="682"/>
      <c r="BZ1" s="682"/>
      <c r="CA1" s="682"/>
      <c r="CB1" s="682"/>
      <c r="CC1" s="682"/>
      <c r="CD1" s="682"/>
      <c r="CE1" s="682"/>
      <c r="CF1" s="682"/>
      <c r="CG1" s="682"/>
      <c r="CH1" s="682"/>
      <c r="CI1" s="682"/>
      <c r="CJ1" s="682"/>
      <c r="CK1" s="682"/>
      <c r="CL1" s="682"/>
      <c r="CM1" s="682"/>
      <c r="CN1" s="682"/>
      <c r="CO1" s="682"/>
      <c r="CP1" s="682"/>
      <c r="CQ1" s="682"/>
      <c r="CR1" s="682"/>
      <c r="CS1" s="682"/>
      <c r="CT1" s="682"/>
      <c r="CU1" s="682"/>
      <c r="CV1" s="682"/>
      <c r="CW1" s="682"/>
      <c r="CX1" s="682"/>
      <c r="CY1" s="682"/>
      <c r="CZ1" s="682"/>
      <c r="DA1" s="682"/>
      <c r="DB1" s="682"/>
      <c r="DC1" s="682"/>
      <c r="DD1" s="682"/>
      <c r="DE1" s="682"/>
      <c r="DF1" s="682"/>
      <c r="DG1" s="682"/>
      <c r="DH1" s="682"/>
      <c r="DI1" s="682"/>
      <c r="DJ1" s="682"/>
      <c r="DK1" s="682"/>
      <c r="DL1" s="682"/>
      <c r="DM1" s="682"/>
      <c r="DN1" s="682"/>
      <c r="DO1" s="682"/>
      <c r="DP1" s="682"/>
      <c r="DQ1" s="682"/>
      <c r="DR1" s="679"/>
      <c r="DS1" s="8"/>
      <c r="DT1" s="8"/>
      <c r="DU1" s="8"/>
    </row>
    <row r="2">
      <c r="A2" s="9"/>
      <c r="B2" s="683"/>
      <c r="C2" s="684"/>
      <c r="D2" s="684"/>
      <c r="E2" s="684"/>
      <c r="F2" s="685"/>
      <c r="G2" s="684"/>
      <c r="H2" s="685"/>
      <c r="I2" s="686"/>
      <c r="J2" s="686"/>
      <c r="K2" s="686"/>
      <c r="L2" s="684"/>
      <c r="M2" s="687"/>
      <c r="N2" s="684"/>
      <c r="O2" s="684"/>
      <c r="P2" s="688" t="s">
        <v>2</v>
      </c>
      <c r="Q2" s="994" t="s">
        <v>5</v>
      </c>
      <c r="R2" s="690"/>
      <c r="S2" s="690"/>
      <c r="T2" s="690"/>
      <c r="U2" s="690"/>
      <c r="V2" s="690"/>
      <c r="W2" s="690"/>
      <c r="X2" s="690"/>
      <c r="Y2" s="690"/>
      <c r="Z2" s="690"/>
      <c r="AA2" s="690"/>
      <c r="AB2" s="691"/>
      <c r="AC2" s="994"/>
      <c r="AD2" s="994"/>
      <c r="AE2" s="994"/>
      <c r="AF2" s="994"/>
      <c r="AG2" s="994"/>
      <c r="AH2" s="994"/>
      <c r="AI2" s="994"/>
      <c r="AJ2" s="994"/>
      <c r="AK2" s="994"/>
      <c r="AL2" s="994"/>
      <c r="AM2" s="994"/>
      <c r="AN2" s="994"/>
      <c r="AO2" s="994"/>
      <c r="AP2" s="994"/>
      <c r="AQ2" s="994"/>
      <c r="AR2" s="994"/>
      <c r="AS2" s="994"/>
      <c r="AT2" s="994"/>
      <c r="AU2" s="994"/>
      <c r="AV2" s="994"/>
      <c r="AW2" s="994"/>
      <c r="AX2" s="994"/>
      <c r="AY2" s="994"/>
      <c r="AZ2" s="994"/>
      <c r="BA2" s="994"/>
      <c r="BB2" s="994"/>
      <c r="BC2" s="994"/>
      <c r="BD2" s="994"/>
      <c r="BE2" s="994"/>
      <c r="BF2" s="994"/>
      <c r="BG2" s="994"/>
      <c r="BH2" s="994"/>
      <c r="BI2" s="994"/>
      <c r="BJ2" s="994"/>
      <c r="BK2" s="994"/>
      <c r="BL2" s="994"/>
      <c r="BM2" s="994"/>
      <c r="BN2" s="994"/>
      <c r="BO2" s="994"/>
      <c r="BP2" s="994"/>
      <c r="BQ2" s="994"/>
      <c r="BR2" s="994"/>
      <c r="BS2" s="994"/>
      <c r="BT2" s="994"/>
      <c r="BU2" s="994"/>
      <c r="BV2" s="994"/>
      <c r="BW2" s="994"/>
      <c r="BX2" s="994"/>
      <c r="BY2" s="994"/>
      <c r="BZ2" s="994"/>
      <c r="CA2" s="994"/>
      <c r="CB2" s="994"/>
      <c r="CC2" s="994"/>
      <c r="CD2" s="994"/>
      <c r="CE2" s="994"/>
      <c r="CF2" s="994"/>
      <c r="CG2" s="994"/>
      <c r="CH2" s="994"/>
      <c r="CI2" s="994"/>
      <c r="CJ2" s="994"/>
      <c r="CK2" s="994"/>
      <c r="CL2" s="994"/>
      <c r="CM2" s="994"/>
      <c r="CN2" s="994"/>
      <c r="CO2" s="994"/>
      <c r="CP2" s="994"/>
      <c r="CQ2" s="994"/>
      <c r="CR2" s="994"/>
      <c r="CS2" s="994"/>
      <c r="CT2" s="994"/>
      <c r="CU2" s="994"/>
      <c r="CV2" s="994"/>
      <c r="CW2" s="994"/>
      <c r="CX2" s="994"/>
      <c r="CY2" s="994"/>
      <c r="CZ2" s="994"/>
      <c r="DA2" s="994"/>
      <c r="DB2" s="994"/>
      <c r="DC2" s="994"/>
      <c r="DD2" s="994"/>
      <c r="DE2" s="994"/>
      <c r="DF2" s="994"/>
      <c r="DG2" s="994"/>
      <c r="DH2" s="994"/>
      <c r="DI2" s="994"/>
      <c r="DJ2" s="994"/>
      <c r="DK2" s="994"/>
      <c r="DL2" s="994"/>
      <c r="DM2" s="994"/>
      <c r="DN2" s="994"/>
      <c r="DO2" s="994"/>
      <c r="DP2" s="994"/>
      <c r="DQ2" s="994"/>
      <c r="DR2" s="1161"/>
      <c r="DS2" s="8"/>
      <c r="DT2" s="8"/>
      <c r="DU2" s="8"/>
    </row>
    <row r="3" ht="54.0" customHeight="1">
      <c r="A3" s="19"/>
      <c r="B3" s="694" t="s">
        <v>9</v>
      </c>
      <c r="C3" s="695" t="s">
        <v>10</v>
      </c>
      <c r="D3" s="696" t="s">
        <v>11</v>
      </c>
      <c r="E3" s="697" t="s">
        <v>12</v>
      </c>
      <c r="F3" s="698" t="s">
        <v>13</v>
      </c>
      <c r="G3" s="697" t="s">
        <v>14</v>
      </c>
      <c r="H3" s="699" t="s">
        <v>13</v>
      </c>
      <c r="I3" s="700" t="s">
        <v>338</v>
      </c>
      <c r="J3" s="700" t="s">
        <v>16</v>
      </c>
      <c r="K3" s="701" t="s">
        <v>599</v>
      </c>
      <c r="L3" s="701" t="s">
        <v>600</v>
      </c>
      <c r="M3" s="702" t="s">
        <v>340</v>
      </c>
      <c r="N3" s="703" t="s">
        <v>341</v>
      </c>
      <c r="O3" s="997" t="s">
        <v>601</v>
      </c>
      <c r="P3" s="705" t="s">
        <v>28</v>
      </c>
      <c r="Q3" s="998" t="s">
        <v>602</v>
      </c>
      <c r="R3" s="999" t="s">
        <v>603</v>
      </c>
      <c r="S3" s="1000" t="s">
        <v>604</v>
      </c>
      <c r="T3" s="1001" t="s">
        <v>605</v>
      </c>
      <c r="U3" s="1002" t="s">
        <v>606</v>
      </c>
      <c r="V3" s="1003" t="s">
        <v>607</v>
      </c>
      <c r="W3" s="1004" t="s">
        <v>608</v>
      </c>
      <c r="X3" s="1005" t="s">
        <v>609</v>
      </c>
      <c r="Y3" s="1162" t="s">
        <v>610</v>
      </c>
      <c r="Z3" s="1004" t="s">
        <v>611</v>
      </c>
      <c r="AA3" s="1005" t="s">
        <v>612</v>
      </c>
      <c r="AB3" s="1162" t="s">
        <v>613</v>
      </c>
      <c r="AC3" s="1007" t="s">
        <v>614</v>
      </c>
      <c r="AD3" s="1008" t="s">
        <v>615</v>
      </c>
      <c r="AE3" s="1163" t="s">
        <v>616</v>
      </c>
      <c r="AF3" s="1007" t="s">
        <v>617</v>
      </c>
      <c r="AG3" s="1008" t="s">
        <v>618</v>
      </c>
      <c r="AH3" s="1163" t="s">
        <v>619</v>
      </c>
      <c r="AI3" s="1007" t="s">
        <v>620</v>
      </c>
      <c r="AJ3" s="1008" t="s">
        <v>621</v>
      </c>
      <c r="AK3" s="1163" t="s">
        <v>622</v>
      </c>
      <c r="AL3" s="1007" t="s">
        <v>623</v>
      </c>
      <c r="AM3" s="1008" t="s">
        <v>624</v>
      </c>
      <c r="AN3" s="1163" t="s">
        <v>625</v>
      </c>
      <c r="AO3" s="1007" t="s">
        <v>626</v>
      </c>
      <c r="AP3" s="1008" t="s">
        <v>627</v>
      </c>
      <c r="AQ3" s="1163" t="s">
        <v>628</v>
      </c>
      <c r="AR3" s="1007" t="s">
        <v>629</v>
      </c>
      <c r="AS3" s="1008" t="s">
        <v>630</v>
      </c>
      <c r="AT3" s="1163" t="s">
        <v>631</v>
      </c>
      <c r="AU3" s="1007" t="s">
        <v>632</v>
      </c>
      <c r="AV3" s="1008" t="s">
        <v>633</v>
      </c>
      <c r="AW3" s="1163" t="s">
        <v>634</v>
      </c>
      <c r="AX3" s="1007" t="s">
        <v>635</v>
      </c>
      <c r="AY3" s="1008" t="s">
        <v>636</v>
      </c>
      <c r="AZ3" s="1163" t="s">
        <v>637</v>
      </c>
      <c r="BA3" s="1007" t="s">
        <v>638</v>
      </c>
      <c r="BB3" s="1008" t="s">
        <v>639</v>
      </c>
      <c r="BC3" s="1163" t="s">
        <v>640</v>
      </c>
      <c r="BD3" s="1007" t="s">
        <v>641</v>
      </c>
      <c r="BE3" s="1008" t="s">
        <v>642</v>
      </c>
      <c r="BF3" s="1163" t="s">
        <v>643</v>
      </c>
      <c r="BG3" s="1007" t="s">
        <v>644</v>
      </c>
      <c r="BH3" s="1008" t="s">
        <v>645</v>
      </c>
      <c r="BI3" s="1163" t="s">
        <v>646</v>
      </c>
      <c r="BJ3" s="1007" t="s">
        <v>647</v>
      </c>
      <c r="BK3" s="1008" t="s">
        <v>648</v>
      </c>
      <c r="BL3" s="1163" t="s">
        <v>649</v>
      </c>
      <c r="BM3" s="1007" t="s">
        <v>650</v>
      </c>
      <c r="BN3" s="1008" t="s">
        <v>651</v>
      </c>
      <c r="BO3" s="1163" t="s">
        <v>652</v>
      </c>
      <c r="BP3" s="1007" t="s">
        <v>653</v>
      </c>
      <c r="BQ3" s="1008" t="s">
        <v>654</v>
      </c>
      <c r="BR3" s="1163" t="s">
        <v>655</v>
      </c>
      <c r="BS3" s="1007" t="s">
        <v>656</v>
      </c>
      <c r="BT3" s="1008" t="s">
        <v>657</v>
      </c>
      <c r="BU3" s="1163" t="s">
        <v>658</v>
      </c>
      <c r="BV3" s="1007" t="s">
        <v>659</v>
      </c>
      <c r="BW3" s="1008" t="s">
        <v>660</v>
      </c>
      <c r="BX3" s="1163" t="s">
        <v>661</v>
      </c>
      <c r="BY3" s="1007" t="s">
        <v>662</v>
      </c>
      <c r="BZ3" s="1008" t="s">
        <v>663</v>
      </c>
      <c r="CA3" s="1163" t="s">
        <v>664</v>
      </c>
      <c r="CB3" s="1007" t="s">
        <v>665</v>
      </c>
      <c r="CC3" s="1008" t="s">
        <v>666</v>
      </c>
      <c r="CD3" s="1163" t="s">
        <v>667</v>
      </c>
      <c r="CE3" s="1007" t="s">
        <v>668</v>
      </c>
      <c r="CF3" s="1008" t="s">
        <v>669</v>
      </c>
      <c r="CG3" s="1163" t="s">
        <v>670</v>
      </c>
      <c r="CH3" s="1007" t="s">
        <v>671</v>
      </c>
      <c r="CI3" s="1008" t="s">
        <v>672</v>
      </c>
      <c r="CJ3" s="1163" t="s">
        <v>673</v>
      </c>
      <c r="CK3" s="1007" t="s">
        <v>674</v>
      </c>
      <c r="CL3" s="1008" t="s">
        <v>675</v>
      </c>
      <c r="CM3" s="1163" t="s">
        <v>676</v>
      </c>
      <c r="CN3" s="1007" t="s">
        <v>677</v>
      </c>
      <c r="CO3" s="1008" t="s">
        <v>678</v>
      </c>
      <c r="CP3" s="1163" t="s">
        <v>679</v>
      </c>
      <c r="CQ3" s="1007" t="s">
        <v>680</v>
      </c>
      <c r="CR3" s="1008" t="s">
        <v>681</v>
      </c>
      <c r="CS3" s="1163" t="s">
        <v>682</v>
      </c>
      <c r="CT3" s="1007" t="s">
        <v>683</v>
      </c>
      <c r="CU3" s="1008" t="s">
        <v>684</v>
      </c>
      <c r="CV3" s="1163" t="s">
        <v>685</v>
      </c>
      <c r="CW3" s="1007" t="s">
        <v>686</v>
      </c>
      <c r="CX3" s="1008" t="s">
        <v>687</v>
      </c>
      <c r="CY3" s="1163" t="s">
        <v>688</v>
      </c>
      <c r="CZ3" s="1007" t="s">
        <v>689</v>
      </c>
      <c r="DA3" s="1008" t="s">
        <v>690</v>
      </c>
      <c r="DB3" s="1163" t="s">
        <v>691</v>
      </c>
      <c r="DC3" s="1007" t="s">
        <v>692</v>
      </c>
      <c r="DD3" s="1008" t="s">
        <v>693</v>
      </c>
      <c r="DE3" s="1163" t="s">
        <v>694</v>
      </c>
      <c r="DF3" s="1007" t="s">
        <v>695</v>
      </c>
      <c r="DG3" s="1008" t="s">
        <v>696</v>
      </c>
      <c r="DH3" s="1163" t="s">
        <v>697</v>
      </c>
      <c r="DI3" s="1007" t="s">
        <v>698</v>
      </c>
      <c r="DJ3" s="1008" t="s">
        <v>699</v>
      </c>
      <c r="DK3" s="1163" t="s">
        <v>700</v>
      </c>
      <c r="DL3" s="1007" t="s">
        <v>701</v>
      </c>
      <c r="DM3" s="1008" t="s">
        <v>702</v>
      </c>
      <c r="DN3" s="1163" t="s">
        <v>703</v>
      </c>
      <c r="DO3" s="1007" t="s">
        <v>704</v>
      </c>
      <c r="DP3" s="1008" t="s">
        <v>705</v>
      </c>
      <c r="DQ3" s="1163" t="s">
        <v>706</v>
      </c>
      <c r="DR3" s="1164" t="s">
        <v>707</v>
      </c>
      <c r="DS3" s="59"/>
      <c r="DT3" s="59"/>
      <c r="DU3" s="59"/>
    </row>
    <row r="4" hidden="1">
      <c r="A4" s="60">
        <v>1.0</v>
      </c>
      <c r="B4" s="1021" t="s">
        <v>82</v>
      </c>
      <c r="C4" s="1022"/>
      <c r="D4" s="1023"/>
      <c r="E4" s="1024"/>
      <c r="F4" s="1023"/>
      <c r="G4" s="1023"/>
      <c r="H4" s="63"/>
      <c r="I4" s="63"/>
      <c r="J4" s="63"/>
      <c r="K4" s="1025"/>
      <c r="L4" s="1023"/>
      <c r="M4" s="798"/>
      <c r="N4" s="796"/>
      <c r="O4" s="1165"/>
      <c r="P4" s="1026"/>
      <c r="Q4" s="63"/>
      <c r="R4" s="63"/>
      <c r="S4" s="1028"/>
      <c r="T4" s="63"/>
      <c r="U4" s="797"/>
      <c r="V4" s="63"/>
      <c r="W4" s="63"/>
      <c r="X4" s="797"/>
      <c r="Y4" s="63"/>
      <c r="Z4" s="63"/>
      <c r="AA4" s="797"/>
      <c r="AB4" s="1166"/>
      <c r="AC4" s="1165"/>
      <c r="AD4" s="1165"/>
      <c r="AE4" s="1165"/>
      <c r="AF4" s="808"/>
      <c r="AG4" s="808"/>
      <c r="AH4" s="801"/>
      <c r="AI4" s="801"/>
      <c r="AJ4" s="797"/>
      <c r="AK4" s="799"/>
      <c r="AL4" s="801"/>
      <c r="AM4" s="797"/>
      <c r="AN4" s="804"/>
      <c r="AO4" s="801"/>
      <c r="AP4" s="808"/>
      <c r="AQ4" s="808"/>
      <c r="AR4" s="801"/>
      <c r="AS4" s="808"/>
      <c r="AT4" s="808"/>
      <c r="AU4" s="801"/>
      <c r="AV4" s="808"/>
      <c r="AW4" s="801"/>
      <c r="AX4" s="801"/>
      <c r="AY4" s="808"/>
      <c r="AZ4" s="801"/>
      <c r="BA4" s="801"/>
      <c r="BB4" s="808"/>
      <c r="BC4" s="801"/>
      <c r="BD4" s="801"/>
      <c r="BE4" s="808"/>
      <c r="BF4" s="801"/>
      <c r="BG4" s="801"/>
      <c r="BH4" s="808"/>
      <c r="BI4" s="801"/>
      <c r="BJ4" s="801"/>
      <c r="BK4" s="808"/>
      <c r="BL4" s="808"/>
      <c r="BM4" s="801"/>
      <c r="BN4" s="808"/>
      <c r="BO4" s="801"/>
      <c r="BP4" s="801"/>
      <c r="BQ4" s="808"/>
      <c r="BR4" s="801"/>
      <c r="BS4" s="801"/>
      <c r="BT4" s="808"/>
      <c r="BU4" s="808"/>
      <c r="BV4" s="801"/>
      <c r="BW4" s="808"/>
      <c r="BX4" s="808"/>
      <c r="BY4" s="801"/>
      <c r="BZ4" s="808"/>
      <c r="CA4" s="808"/>
      <c r="CB4" s="808"/>
      <c r="CC4" s="808"/>
      <c r="CD4" s="808"/>
      <c r="CE4" s="808"/>
      <c r="CF4" s="808"/>
      <c r="CG4" s="808"/>
      <c r="CH4" s="808"/>
      <c r="CI4" s="808"/>
      <c r="CJ4" s="808"/>
      <c r="CK4" s="808"/>
      <c r="CL4" s="808"/>
      <c r="CM4" s="808"/>
      <c r="CN4" s="808"/>
      <c r="CO4" s="808"/>
      <c r="CP4" s="808"/>
      <c r="CQ4" s="808"/>
      <c r="CR4" s="808"/>
      <c r="CS4" s="808"/>
      <c r="CT4" s="808"/>
      <c r="CU4" s="808"/>
      <c r="CV4" s="808"/>
      <c r="CW4" s="808"/>
      <c r="CX4" s="808"/>
      <c r="CY4" s="808"/>
      <c r="CZ4" s="808"/>
      <c r="DA4" s="808"/>
      <c r="DB4" s="808"/>
      <c r="DC4" s="808"/>
      <c r="DD4" s="808"/>
      <c r="DE4" s="808"/>
      <c r="DF4" s="808"/>
      <c r="DG4" s="808"/>
      <c r="DH4" s="808"/>
      <c r="DI4" s="808"/>
      <c r="DJ4" s="808"/>
      <c r="DK4" s="808"/>
      <c r="DL4" s="808"/>
      <c r="DM4" s="808"/>
      <c r="DN4" s="808"/>
      <c r="DO4" s="808"/>
      <c r="DP4" s="808"/>
      <c r="DQ4" s="808"/>
      <c r="DR4" s="1023"/>
      <c r="DS4" s="68"/>
      <c r="DT4" s="68"/>
      <c r="DU4" s="68"/>
    </row>
    <row r="5" ht="16.5" customHeight="1" outlineLevel="1">
      <c r="A5" s="60">
        <v>32.0</v>
      </c>
      <c r="B5" s="747" t="s">
        <v>160</v>
      </c>
      <c r="C5" s="747" t="s">
        <v>161</v>
      </c>
      <c r="D5" s="71" t="s">
        <v>85</v>
      </c>
      <c r="E5" s="138" t="s">
        <v>162</v>
      </c>
      <c r="F5" s="125" t="s">
        <v>162</v>
      </c>
      <c r="G5" s="147" t="s">
        <v>162</v>
      </c>
      <c r="H5" s="150"/>
      <c r="I5" s="126" t="str">
        <f>IFERROR(VLOOKUP(C2:C144,'R22 RELATÓRIO ACC'!B:F,5,FALSE),"NOT PUBLISHED")</f>
        <v>V9</v>
      </c>
      <c r="J5" s="126" t="str">
        <f>IFERROR(VLOOKUP(C2:C144,'R22 RELATÓRIO ACC'!B:P,15,FALSE),"NOT PUBLISHED")</f>
        <v>28/02/2026</v>
      </c>
      <c r="K5" s="746" t="str">
        <f>IFERROR(VLOOKUP(B2:B144,'RELATÓRIO ACC'!B:F,5,FALSE),"NOT PUBLISHED")</f>
        <v>V1</v>
      </c>
      <c r="L5" s="748" t="str">
        <f>IFERROR(VLOOKUP(B2:B144,'RELATÓRIO ACC'!B:P,15,FALSE),"NOT PUBLISHED")</f>
        <v>20/05/2026</v>
      </c>
      <c r="M5" s="141" t="s">
        <v>494</v>
      </c>
      <c r="N5" s="756" t="s">
        <v>495</v>
      </c>
      <c r="O5" s="740" t="s">
        <v>462</v>
      </c>
      <c r="P5" s="1043"/>
      <c r="Q5" s="746" t="s">
        <v>462</v>
      </c>
      <c r="R5" s="74" t="s">
        <v>462</v>
      </c>
      <c r="S5" s="1037" t="s">
        <v>462</v>
      </c>
      <c r="T5" s="746" t="s">
        <v>462</v>
      </c>
      <c r="U5" s="749" t="s">
        <v>462</v>
      </c>
      <c r="V5" s="68" t="s">
        <v>462</v>
      </c>
      <c r="W5" s="141" t="s">
        <v>462</v>
      </c>
      <c r="X5" s="749" t="s">
        <v>462</v>
      </c>
      <c r="Y5" s="68" t="s">
        <v>462</v>
      </c>
      <c r="Z5" s="141" t="s">
        <v>462</v>
      </c>
      <c r="AA5" s="749" t="s">
        <v>462</v>
      </c>
      <c r="AB5" s="746" t="s">
        <v>462</v>
      </c>
      <c r="AC5" s="126" t="s">
        <v>462</v>
      </c>
      <c r="AD5" s="126" t="s">
        <v>462</v>
      </c>
      <c r="AE5" s="126" t="s">
        <v>462</v>
      </c>
      <c r="AF5" s="126" t="s">
        <v>462</v>
      </c>
      <c r="AG5" s="68" t="s">
        <v>462</v>
      </c>
      <c r="AH5" s="746" t="s">
        <v>462</v>
      </c>
      <c r="AI5" s="746" t="s">
        <v>462</v>
      </c>
      <c r="AJ5" s="74" t="s">
        <v>462</v>
      </c>
      <c r="AK5" s="753" t="s">
        <v>462</v>
      </c>
      <c r="AL5" s="746" t="s">
        <v>462</v>
      </c>
      <c r="AM5" s="74" t="s">
        <v>462</v>
      </c>
      <c r="AN5" s="746" t="s">
        <v>462</v>
      </c>
      <c r="AO5" s="746" t="s">
        <v>462</v>
      </c>
      <c r="AP5" s="74" t="s">
        <v>462</v>
      </c>
      <c r="AQ5" s="746" t="s">
        <v>462</v>
      </c>
      <c r="AR5" s="746" t="s">
        <v>462</v>
      </c>
      <c r="AS5" s="74" t="s">
        <v>462</v>
      </c>
      <c r="AT5" s="746" t="s">
        <v>462</v>
      </c>
      <c r="AU5" s="746" t="s">
        <v>462</v>
      </c>
      <c r="AV5" s="74" t="s">
        <v>462</v>
      </c>
      <c r="AW5" s="746" t="s">
        <v>462</v>
      </c>
      <c r="AX5" s="746" t="s">
        <v>462</v>
      </c>
      <c r="AY5" s="74" t="s">
        <v>462</v>
      </c>
      <c r="AZ5" s="746" t="s">
        <v>462</v>
      </c>
      <c r="BA5" s="746" t="s">
        <v>462</v>
      </c>
      <c r="BB5" s="74" t="s">
        <v>462</v>
      </c>
      <c r="BC5" s="746" t="s">
        <v>462</v>
      </c>
      <c r="BD5" s="746" t="s">
        <v>462</v>
      </c>
      <c r="BE5" s="74" t="s">
        <v>462</v>
      </c>
      <c r="BF5" s="746" t="s">
        <v>462</v>
      </c>
      <c r="BG5" s="746" t="s">
        <v>462</v>
      </c>
      <c r="BH5" s="74" t="s">
        <v>462</v>
      </c>
      <c r="BI5" s="746" t="s">
        <v>462</v>
      </c>
      <c r="BJ5" s="746" t="s">
        <v>462</v>
      </c>
      <c r="BK5" s="74" t="s">
        <v>462</v>
      </c>
      <c r="BL5" s="746" t="s">
        <v>462</v>
      </c>
      <c r="BM5" s="746" t="s">
        <v>462</v>
      </c>
      <c r="BN5" s="74" t="s">
        <v>462</v>
      </c>
      <c r="BO5" s="746" t="s">
        <v>462</v>
      </c>
      <c r="BP5" s="746" t="s">
        <v>462</v>
      </c>
      <c r="BQ5" s="74" t="s">
        <v>462</v>
      </c>
      <c r="BR5" s="68" t="s">
        <v>462</v>
      </c>
      <c r="BS5" s="746" t="s">
        <v>462</v>
      </c>
      <c r="BT5" s="74" t="s">
        <v>462</v>
      </c>
      <c r="BU5" s="746" t="s">
        <v>462</v>
      </c>
      <c r="BV5" s="746" t="s">
        <v>462</v>
      </c>
      <c r="BW5" s="74" t="s">
        <v>462</v>
      </c>
      <c r="BX5" s="68" t="s">
        <v>462</v>
      </c>
      <c r="BY5" s="746" t="s">
        <v>462</v>
      </c>
      <c r="BZ5" s="74" t="s">
        <v>462</v>
      </c>
      <c r="CA5" s="68" t="s">
        <v>462</v>
      </c>
      <c r="CB5" s="746" t="s">
        <v>462</v>
      </c>
      <c r="CC5" s="74" t="s">
        <v>462</v>
      </c>
      <c r="CD5" s="68" t="s">
        <v>462</v>
      </c>
      <c r="CE5" s="746" t="s">
        <v>462</v>
      </c>
      <c r="CF5" s="74" t="s">
        <v>462</v>
      </c>
      <c r="CG5" s="68" t="s">
        <v>462</v>
      </c>
      <c r="CH5" s="746" t="s">
        <v>462</v>
      </c>
      <c r="CI5" s="74" t="s">
        <v>462</v>
      </c>
      <c r="CJ5" s="68" t="s">
        <v>462</v>
      </c>
      <c r="CK5" s="746" t="s">
        <v>462</v>
      </c>
      <c r="CL5" s="74" t="s">
        <v>462</v>
      </c>
      <c r="CM5" s="68" t="s">
        <v>462</v>
      </c>
      <c r="CN5" s="746" t="s">
        <v>462</v>
      </c>
      <c r="CO5" s="74" t="s">
        <v>462</v>
      </c>
      <c r="CP5" s="68" t="s">
        <v>462</v>
      </c>
      <c r="CQ5" s="746" t="s">
        <v>462</v>
      </c>
      <c r="CR5" s="74" t="s">
        <v>462</v>
      </c>
      <c r="CS5" s="68" t="s">
        <v>462</v>
      </c>
      <c r="CT5" s="746" t="s">
        <v>462</v>
      </c>
      <c r="CU5" s="74" t="s">
        <v>462</v>
      </c>
      <c r="CV5" s="68" t="s">
        <v>462</v>
      </c>
      <c r="CW5" s="746" t="s">
        <v>462</v>
      </c>
      <c r="CX5" s="74" t="s">
        <v>462</v>
      </c>
      <c r="CY5" s="68" t="s">
        <v>462</v>
      </c>
      <c r="CZ5" s="746" t="s">
        <v>462</v>
      </c>
      <c r="DA5" s="74" t="s">
        <v>462</v>
      </c>
      <c r="DB5" s="68" t="s">
        <v>462</v>
      </c>
      <c r="DC5" s="746" t="s">
        <v>462</v>
      </c>
      <c r="DD5" s="746" t="s">
        <v>462</v>
      </c>
      <c r="DE5" s="746" t="s">
        <v>462</v>
      </c>
      <c r="DF5" s="746" t="s">
        <v>462</v>
      </c>
      <c r="DG5" s="746" t="s">
        <v>462</v>
      </c>
      <c r="DH5" s="746" t="s">
        <v>462</v>
      </c>
      <c r="DI5" s="746" t="s">
        <v>462</v>
      </c>
      <c r="DJ5" s="746" t="s">
        <v>462</v>
      </c>
      <c r="DK5" s="746" t="s">
        <v>462</v>
      </c>
      <c r="DL5" s="746" t="s">
        <v>462</v>
      </c>
      <c r="DM5" s="746" t="s">
        <v>462</v>
      </c>
      <c r="DN5" s="746" t="s">
        <v>462</v>
      </c>
      <c r="DO5" s="746" t="s">
        <v>462</v>
      </c>
      <c r="DP5" s="746" t="s">
        <v>462</v>
      </c>
      <c r="DQ5" s="746" t="s">
        <v>462</v>
      </c>
      <c r="DR5" s="126"/>
      <c r="DS5" s="111"/>
      <c r="DT5" s="111"/>
      <c r="DU5" s="111"/>
    </row>
    <row r="6" outlineLevel="1">
      <c r="A6" s="60">
        <v>105.0</v>
      </c>
      <c r="B6" s="747" t="s">
        <v>316</v>
      </c>
      <c r="C6" s="747" t="s">
        <v>316</v>
      </c>
      <c r="D6" s="71" t="s">
        <v>3</v>
      </c>
      <c r="E6" s="146" t="s">
        <v>317</v>
      </c>
      <c r="F6" s="72">
        <v>1125.0</v>
      </c>
      <c r="G6" s="139" t="s">
        <v>317</v>
      </c>
      <c r="H6" s="139">
        <v>1125.0</v>
      </c>
      <c r="I6" s="126" t="str">
        <f>IFERROR(VLOOKUP(C3:C145,'R22 RELATÓRIO ACC'!B:F,5,FALSE),"NOT PUBLISHED")</f>
        <v>V8</v>
      </c>
      <c r="J6" s="126" t="str">
        <f>IFERROR(VLOOKUP(C3:C145,'R22 RELATÓRIO ACC'!B:P,15,FALSE),"NOT PUBLISHED")</f>
        <v>07/11/2025</v>
      </c>
      <c r="K6" s="746" t="str">
        <f>IFERROR(VLOOKUP(B3:B145,'RELATÓRIO ACC'!B:F,5,FALSE),"NOT PUBLISHED")</f>
        <v>V1</v>
      </c>
      <c r="L6" s="748" t="str">
        <f>IFERROR(VLOOKUP(B3:B145,'RELATÓRIO ACC'!B:P,15,FALSE),"NOT PUBLISHED")</f>
        <v>21/05/2026</v>
      </c>
      <c r="M6" s="141" t="s">
        <v>507</v>
      </c>
      <c r="N6" s="1038">
        <v>45856.0</v>
      </c>
      <c r="O6" s="740" t="s">
        <v>462</v>
      </c>
      <c r="P6" s="1043" t="s">
        <v>129</v>
      </c>
      <c r="Q6" s="746" t="s">
        <v>462</v>
      </c>
      <c r="R6" s="74" t="s">
        <v>462</v>
      </c>
      <c r="S6" s="1037" t="s">
        <v>462</v>
      </c>
      <c r="T6" s="746" t="s">
        <v>462</v>
      </c>
      <c r="U6" s="74" t="s">
        <v>462</v>
      </c>
      <c r="V6" s="1167" t="s">
        <v>462</v>
      </c>
      <c r="W6" s="746" t="s">
        <v>462</v>
      </c>
      <c r="X6" s="749" t="s">
        <v>462</v>
      </c>
      <c r="Y6" s="68" t="s">
        <v>462</v>
      </c>
      <c r="Z6" s="746" t="s">
        <v>462</v>
      </c>
      <c r="AA6" s="74" t="s">
        <v>462</v>
      </c>
      <c r="AB6" s="1037" t="s">
        <v>462</v>
      </c>
      <c r="AC6" s="126" t="s">
        <v>462</v>
      </c>
      <c r="AD6" s="126" t="s">
        <v>462</v>
      </c>
      <c r="AE6" s="126" t="s">
        <v>462</v>
      </c>
      <c r="AF6" s="746" t="s">
        <v>462</v>
      </c>
      <c r="AG6" s="74" t="s">
        <v>462</v>
      </c>
      <c r="AH6" s="746" t="s">
        <v>462</v>
      </c>
      <c r="AI6" s="746" t="s">
        <v>462</v>
      </c>
      <c r="AJ6" s="74" t="s">
        <v>462</v>
      </c>
      <c r="AK6" s="753" t="s">
        <v>462</v>
      </c>
      <c r="AL6" s="746" t="s">
        <v>462</v>
      </c>
      <c r="AM6" s="74" t="s">
        <v>462</v>
      </c>
      <c r="AN6" s="746" t="s">
        <v>462</v>
      </c>
      <c r="AO6" s="746" t="s">
        <v>462</v>
      </c>
      <c r="AP6" s="68" t="s">
        <v>462</v>
      </c>
      <c r="AQ6" s="68" t="s">
        <v>462</v>
      </c>
      <c r="AR6" s="746" t="s">
        <v>462</v>
      </c>
      <c r="AS6" s="68" t="s">
        <v>462</v>
      </c>
      <c r="AT6" s="746" t="s">
        <v>462</v>
      </c>
      <c r="AU6" s="126" t="s">
        <v>462</v>
      </c>
      <c r="AV6" s="126" t="s">
        <v>462</v>
      </c>
      <c r="AW6" s="126" t="s">
        <v>462</v>
      </c>
      <c r="AX6" s="126" t="s">
        <v>462</v>
      </c>
      <c r="AY6" s="126" t="s">
        <v>462</v>
      </c>
      <c r="AZ6" s="126" t="s">
        <v>462</v>
      </c>
      <c r="BA6" s="126" t="s">
        <v>462</v>
      </c>
      <c r="BB6" s="126" t="s">
        <v>462</v>
      </c>
      <c r="BC6" s="126" t="s">
        <v>462</v>
      </c>
      <c r="BD6" s="126" t="s">
        <v>462</v>
      </c>
      <c r="BE6" s="126" t="s">
        <v>462</v>
      </c>
      <c r="BF6" s="126" t="s">
        <v>462</v>
      </c>
      <c r="BG6" s="126" t="s">
        <v>462</v>
      </c>
      <c r="BH6" s="126" t="s">
        <v>462</v>
      </c>
      <c r="BI6" s="126" t="s">
        <v>462</v>
      </c>
      <c r="BJ6" s="746" t="s">
        <v>462</v>
      </c>
      <c r="BK6" s="126" t="s">
        <v>462</v>
      </c>
      <c r="BL6" s="746" t="s">
        <v>462</v>
      </c>
      <c r="BM6" s="746" t="s">
        <v>462</v>
      </c>
      <c r="BN6" s="126" t="s">
        <v>462</v>
      </c>
      <c r="BO6" s="746" t="s">
        <v>462</v>
      </c>
      <c r="BP6" s="126" t="s">
        <v>462</v>
      </c>
      <c r="BQ6" s="126" t="s">
        <v>462</v>
      </c>
      <c r="BR6" s="126" t="s">
        <v>462</v>
      </c>
      <c r="BS6" s="126" t="s">
        <v>462</v>
      </c>
      <c r="BT6" s="126" t="s">
        <v>462</v>
      </c>
      <c r="BU6" s="68" t="s">
        <v>462</v>
      </c>
      <c r="BV6" s="746" t="s">
        <v>462</v>
      </c>
      <c r="BW6" s="68" t="s">
        <v>462</v>
      </c>
      <c r="BX6" s="746" t="s">
        <v>462</v>
      </c>
      <c r="BY6" s="746" t="s">
        <v>462</v>
      </c>
      <c r="BZ6" s="68" t="s">
        <v>462</v>
      </c>
      <c r="CA6" s="746" t="s">
        <v>462</v>
      </c>
      <c r="CB6" s="746" t="s">
        <v>462</v>
      </c>
      <c r="CC6" s="68" t="s">
        <v>462</v>
      </c>
      <c r="CD6" s="746" t="s">
        <v>462</v>
      </c>
      <c r="CE6" s="746" t="s">
        <v>462</v>
      </c>
      <c r="CF6" s="68" t="s">
        <v>462</v>
      </c>
      <c r="CG6" s="746" t="s">
        <v>462</v>
      </c>
      <c r="CH6" s="746" t="s">
        <v>462</v>
      </c>
      <c r="CI6" s="68" t="s">
        <v>462</v>
      </c>
      <c r="CJ6" s="746" t="s">
        <v>462</v>
      </c>
      <c r="CK6" s="746" t="s">
        <v>462</v>
      </c>
      <c r="CL6" s="68" t="s">
        <v>462</v>
      </c>
      <c r="CM6" s="746" t="s">
        <v>462</v>
      </c>
      <c r="CN6" s="746" t="s">
        <v>462</v>
      </c>
      <c r="CO6" s="68" t="s">
        <v>462</v>
      </c>
      <c r="CP6" s="746" t="s">
        <v>462</v>
      </c>
      <c r="CQ6" s="746" t="s">
        <v>462</v>
      </c>
      <c r="CR6" s="68" t="s">
        <v>462</v>
      </c>
      <c r="CS6" s="746" t="s">
        <v>462</v>
      </c>
      <c r="CT6" s="746" t="s">
        <v>462</v>
      </c>
      <c r="CU6" s="68" t="s">
        <v>462</v>
      </c>
      <c r="CV6" s="746" t="s">
        <v>462</v>
      </c>
      <c r="CW6" s="746" t="s">
        <v>462</v>
      </c>
      <c r="CX6" s="68" t="s">
        <v>462</v>
      </c>
      <c r="CY6" s="746" t="s">
        <v>462</v>
      </c>
      <c r="CZ6" s="746" t="s">
        <v>462</v>
      </c>
      <c r="DA6" s="68" t="s">
        <v>462</v>
      </c>
      <c r="DB6" s="746" t="s">
        <v>462</v>
      </c>
      <c r="DC6" s="746" t="s">
        <v>462</v>
      </c>
      <c r="DD6" s="746" t="s">
        <v>462</v>
      </c>
      <c r="DE6" s="746" t="s">
        <v>462</v>
      </c>
      <c r="DF6" s="746" t="s">
        <v>462</v>
      </c>
      <c r="DG6" s="746" t="s">
        <v>462</v>
      </c>
      <c r="DH6" s="746" t="s">
        <v>462</v>
      </c>
      <c r="DI6" s="746" t="s">
        <v>462</v>
      </c>
      <c r="DJ6" s="746" t="s">
        <v>462</v>
      </c>
      <c r="DK6" s="746" t="s">
        <v>462</v>
      </c>
      <c r="DL6" s="746" t="s">
        <v>462</v>
      </c>
      <c r="DM6" s="746" t="s">
        <v>462</v>
      </c>
      <c r="DN6" s="746" t="s">
        <v>462</v>
      </c>
      <c r="DO6" s="746" t="s">
        <v>462</v>
      </c>
      <c r="DP6" s="746" t="s">
        <v>462</v>
      </c>
      <c r="DQ6" s="746" t="s">
        <v>462</v>
      </c>
      <c r="DR6" s="126"/>
      <c r="DS6" s="111"/>
      <c r="DT6" s="111"/>
      <c r="DU6" s="111"/>
    </row>
    <row r="7" ht="15.0" customHeight="1" outlineLevel="1">
      <c r="A7" s="60">
        <v>106.0</v>
      </c>
      <c r="B7" s="747" t="s">
        <v>318</v>
      </c>
      <c r="C7" s="747" t="s">
        <v>318</v>
      </c>
      <c r="D7" s="71" t="s">
        <v>319</v>
      </c>
      <c r="E7" s="146" t="s">
        <v>317</v>
      </c>
      <c r="F7" s="72">
        <v>1125.0</v>
      </c>
      <c r="G7" s="139" t="s">
        <v>317</v>
      </c>
      <c r="H7" s="139">
        <v>1125.0</v>
      </c>
      <c r="I7" s="126" t="str">
        <f>IFERROR(VLOOKUP(C4:C146,'R22 RELATÓRIO ACC'!B:F,5,FALSE),"NOT PUBLISHED")</f>
        <v>V7</v>
      </c>
      <c r="J7" s="126" t="str">
        <f>IFERROR(VLOOKUP(C4:C146,'R22 RELATÓRIO ACC'!B:P,15,FALSE),"NOT PUBLISHED")</f>
        <v>07/11/2025</v>
      </c>
      <c r="K7" s="746" t="str">
        <f>IFERROR(VLOOKUP(B4:B146,'RELATÓRIO ACC'!B:F,5,FALSE),"NOT PUBLISHED")</f>
        <v>V1</v>
      </c>
      <c r="L7" s="748" t="str">
        <f>IFERROR(VLOOKUP(B4:B146,'RELATÓRIO ACC'!B:P,15,FALSE),"NOT PUBLISHED")</f>
        <v>21/05/2026</v>
      </c>
      <c r="M7" s="141" t="s">
        <v>494</v>
      </c>
      <c r="N7" s="1038">
        <v>45856.0</v>
      </c>
      <c r="O7" s="740" t="s">
        <v>462</v>
      </c>
      <c r="P7" s="1043" t="s">
        <v>194</v>
      </c>
      <c r="Q7" s="746" t="s">
        <v>462</v>
      </c>
      <c r="R7" s="74" t="s">
        <v>462</v>
      </c>
      <c r="S7" s="746" t="s">
        <v>462</v>
      </c>
      <c r="T7" s="746" t="s">
        <v>462</v>
      </c>
      <c r="U7" s="749" t="s">
        <v>462</v>
      </c>
      <c r="V7" s="746" t="s">
        <v>462</v>
      </c>
      <c r="W7" s="746" t="s">
        <v>462</v>
      </c>
      <c r="X7" s="749" t="s">
        <v>462</v>
      </c>
      <c r="Y7" s="746" t="s">
        <v>462</v>
      </c>
      <c r="Z7" s="746" t="s">
        <v>462</v>
      </c>
      <c r="AA7" s="74" t="s">
        <v>462</v>
      </c>
      <c r="AB7" s="746" t="s">
        <v>462</v>
      </c>
      <c r="AC7" s="746" t="s">
        <v>462</v>
      </c>
      <c r="AD7" s="74" t="s">
        <v>462</v>
      </c>
      <c r="AE7" s="746" t="s">
        <v>462</v>
      </c>
      <c r="AF7" s="746" t="s">
        <v>462</v>
      </c>
      <c r="AG7" s="68" t="s">
        <v>462</v>
      </c>
      <c r="AH7" s="753" t="s">
        <v>462</v>
      </c>
      <c r="AI7" s="746" t="s">
        <v>462</v>
      </c>
      <c r="AJ7" s="74" t="s">
        <v>462</v>
      </c>
      <c r="AK7" s="753" t="s">
        <v>462</v>
      </c>
      <c r="AL7" s="746" t="s">
        <v>462</v>
      </c>
      <c r="AM7" s="74" t="s">
        <v>462</v>
      </c>
      <c r="AN7" s="746" t="s">
        <v>462</v>
      </c>
      <c r="AO7" s="746" t="s">
        <v>462</v>
      </c>
      <c r="AP7" s="68" t="s">
        <v>462</v>
      </c>
      <c r="AQ7" s="68" t="s">
        <v>462</v>
      </c>
      <c r="AR7" s="68" t="s">
        <v>462</v>
      </c>
      <c r="AS7" s="68" t="s">
        <v>462</v>
      </c>
      <c r="AT7" s="746" t="s">
        <v>462</v>
      </c>
      <c r="AU7" s="746" t="s">
        <v>462</v>
      </c>
      <c r="AV7" s="68" t="s">
        <v>462</v>
      </c>
      <c r="AW7" s="746" t="s">
        <v>462</v>
      </c>
      <c r="AX7" s="746" t="s">
        <v>462</v>
      </c>
      <c r="AY7" s="68" t="s">
        <v>462</v>
      </c>
      <c r="AZ7" s="746" t="s">
        <v>462</v>
      </c>
      <c r="BA7" s="746" t="s">
        <v>462</v>
      </c>
      <c r="BB7" s="68" t="s">
        <v>462</v>
      </c>
      <c r="BC7" s="746" t="s">
        <v>462</v>
      </c>
      <c r="BD7" s="746" t="s">
        <v>462</v>
      </c>
      <c r="BE7" s="68" t="s">
        <v>462</v>
      </c>
      <c r="BF7" s="746" t="s">
        <v>462</v>
      </c>
      <c r="BG7" s="746" t="s">
        <v>462</v>
      </c>
      <c r="BH7" s="68" t="s">
        <v>462</v>
      </c>
      <c r="BI7" s="746" t="s">
        <v>462</v>
      </c>
      <c r="BJ7" s="746" t="s">
        <v>462</v>
      </c>
      <c r="BK7" s="68" t="s">
        <v>462</v>
      </c>
      <c r="BL7" s="746" t="s">
        <v>462</v>
      </c>
      <c r="BM7" s="746" t="s">
        <v>462</v>
      </c>
      <c r="BN7" s="68" t="s">
        <v>462</v>
      </c>
      <c r="BO7" s="746" t="s">
        <v>462</v>
      </c>
      <c r="BP7" s="746" t="s">
        <v>462</v>
      </c>
      <c r="BQ7" s="68" t="s">
        <v>462</v>
      </c>
      <c r="BR7" s="746" t="s">
        <v>462</v>
      </c>
      <c r="BS7" s="746" t="s">
        <v>462</v>
      </c>
      <c r="BT7" s="68" t="s">
        <v>462</v>
      </c>
      <c r="BU7" s="746" t="s">
        <v>462</v>
      </c>
      <c r="BV7" s="746" t="s">
        <v>462</v>
      </c>
      <c r="BW7" s="68" t="s">
        <v>462</v>
      </c>
      <c r="BX7" s="746" t="s">
        <v>462</v>
      </c>
      <c r="BY7" s="746" t="s">
        <v>462</v>
      </c>
      <c r="BZ7" s="68" t="s">
        <v>462</v>
      </c>
      <c r="CA7" s="746" t="s">
        <v>462</v>
      </c>
      <c r="CB7" s="746" t="s">
        <v>462</v>
      </c>
      <c r="CC7" s="68" t="s">
        <v>462</v>
      </c>
      <c r="CD7" s="746" t="s">
        <v>462</v>
      </c>
      <c r="CE7" s="746" t="s">
        <v>462</v>
      </c>
      <c r="CF7" s="68" t="s">
        <v>462</v>
      </c>
      <c r="CG7" s="746" t="s">
        <v>462</v>
      </c>
      <c r="CH7" s="746" t="s">
        <v>462</v>
      </c>
      <c r="CI7" s="68" t="s">
        <v>462</v>
      </c>
      <c r="CJ7" s="746" t="s">
        <v>462</v>
      </c>
      <c r="CK7" s="746" t="s">
        <v>462</v>
      </c>
      <c r="CL7" s="68" t="s">
        <v>462</v>
      </c>
      <c r="CM7" s="746" t="s">
        <v>462</v>
      </c>
      <c r="CN7" s="746" t="s">
        <v>462</v>
      </c>
      <c r="CO7" s="68" t="s">
        <v>462</v>
      </c>
      <c r="CP7" s="746" t="s">
        <v>462</v>
      </c>
      <c r="CQ7" s="746" t="s">
        <v>462</v>
      </c>
      <c r="CR7" s="68" t="s">
        <v>462</v>
      </c>
      <c r="CS7" s="746" t="s">
        <v>462</v>
      </c>
      <c r="CT7" s="746" t="s">
        <v>462</v>
      </c>
      <c r="CU7" s="68" t="s">
        <v>462</v>
      </c>
      <c r="CV7" s="746" t="s">
        <v>462</v>
      </c>
      <c r="CW7" s="746" t="s">
        <v>462</v>
      </c>
      <c r="CX7" s="68" t="s">
        <v>462</v>
      </c>
      <c r="CY7" s="746" t="s">
        <v>462</v>
      </c>
      <c r="CZ7" s="746" t="s">
        <v>462</v>
      </c>
      <c r="DA7" s="68" t="s">
        <v>462</v>
      </c>
      <c r="DB7" s="746" t="s">
        <v>462</v>
      </c>
      <c r="DC7" s="746" t="s">
        <v>462</v>
      </c>
      <c r="DD7" s="746" t="s">
        <v>462</v>
      </c>
      <c r="DE7" s="746" t="s">
        <v>462</v>
      </c>
      <c r="DF7" s="746" t="s">
        <v>462</v>
      </c>
      <c r="DG7" s="746" t="s">
        <v>462</v>
      </c>
      <c r="DH7" s="746" t="s">
        <v>462</v>
      </c>
      <c r="DI7" s="746" t="s">
        <v>462</v>
      </c>
      <c r="DJ7" s="746" t="s">
        <v>462</v>
      </c>
      <c r="DK7" s="746" t="s">
        <v>462</v>
      </c>
      <c r="DL7" s="746" t="s">
        <v>462</v>
      </c>
      <c r="DM7" s="746" t="s">
        <v>462</v>
      </c>
      <c r="DN7" s="746" t="s">
        <v>462</v>
      </c>
      <c r="DO7" s="746" t="s">
        <v>462</v>
      </c>
      <c r="DP7" s="746" t="s">
        <v>462</v>
      </c>
      <c r="DQ7" s="746" t="s">
        <v>462</v>
      </c>
      <c r="DR7" s="126"/>
      <c r="DS7" s="111"/>
      <c r="DT7" s="111"/>
      <c r="DU7" s="111"/>
    </row>
    <row r="8" ht="15.0" customHeight="1" outlineLevel="1">
      <c r="A8" s="60">
        <v>20.0</v>
      </c>
      <c r="B8" s="747" t="s">
        <v>122</v>
      </c>
      <c r="C8" s="747" t="s">
        <v>123</v>
      </c>
      <c r="D8" s="71" t="s">
        <v>85</v>
      </c>
      <c r="E8" s="146" t="s">
        <v>124</v>
      </c>
      <c r="F8" s="146">
        <v>1108.0</v>
      </c>
      <c r="G8" s="138" t="s">
        <v>101</v>
      </c>
      <c r="H8" s="139">
        <v>1108.0</v>
      </c>
      <c r="I8" s="126" t="str">
        <f>IFERROR(VLOOKUP(C5:C147,'R22 RELATÓRIO ACC'!B:F,5,FALSE),"NOT PUBLISHED")</f>
        <v>V4</v>
      </c>
      <c r="J8" s="126" t="str">
        <f>IFERROR(VLOOKUP(C5:C147,'R22 RELATÓRIO ACC'!B:P,15,FALSE),"NOT PUBLISHED")</f>
        <v>10/04/2026</v>
      </c>
      <c r="K8" s="746" t="str">
        <f>IFERROR(VLOOKUP(B5:B147,'RELATÓRIO ACC'!B:F,5,FALSE),"NOT PUBLISHED")</f>
        <v>V2</v>
      </c>
      <c r="L8" s="748" t="str">
        <f>IFERROR(VLOOKUP(B5:B147,'RELATÓRIO ACC'!B:P,15,FALSE),"NOT PUBLISHED")</f>
        <v>04/06/2026</v>
      </c>
      <c r="M8" s="141" t="s">
        <v>462</v>
      </c>
      <c r="N8" s="749" t="s">
        <v>462</v>
      </c>
      <c r="O8" s="740" t="s">
        <v>462</v>
      </c>
      <c r="P8" s="1043"/>
      <c r="Q8" s="746" t="s">
        <v>466</v>
      </c>
      <c r="R8" s="74" t="s">
        <v>462</v>
      </c>
      <c r="S8" s="1037" t="s">
        <v>466</v>
      </c>
      <c r="T8" s="746" t="s">
        <v>466</v>
      </c>
      <c r="U8" s="749" t="s">
        <v>462</v>
      </c>
      <c r="V8" s="68" t="s">
        <v>466</v>
      </c>
      <c r="W8" s="746" t="s">
        <v>466</v>
      </c>
      <c r="X8" s="749" t="s">
        <v>462</v>
      </c>
      <c r="Y8" s="68" t="s">
        <v>466</v>
      </c>
      <c r="Z8" s="746" t="s">
        <v>466</v>
      </c>
      <c r="AA8" s="74" t="s">
        <v>462</v>
      </c>
      <c r="AB8" s="746" t="s">
        <v>466</v>
      </c>
      <c r="AC8" s="746" t="s">
        <v>466</v>
      </c>
      <c r="AD8" s="74" t="s">
        <v>462</v>
      </c>
      <c r="AE8" s="746" t="s">
        <v>466</v>
      </c>
      <c r="AF8" s="746" t="s">
        <v>466</v>
      </c>
      <c r="AG8" s="74" t="s">
        <v>462</v>
      </c>
      <c r="AH8" s="746" t="s">
        <v>466</v>
      </c>
      <c r="AI8" s="746" t="s">
        <v>466</v>
      </c>
      <c r="AJ8" s="74" t="s">
        <v>462</v>
      </c>
      <c r="AK8" s="746" t="s">
        <v>466</v>
      </c>
      <c r="AL8" s="746" t="s">
        <v>466</v>
      </c>
      <c r="AM8" s="74" t="s">
        <v>462</v>
      </c>
      <c r="AN8" s="746" t="s">
        <v>466</v>
      </c>
      <c r="AO8" s="746" t="s">
        <v>466</v>
      </c>
      <c r="AP8" s="74" t="s">
        <v>462</v>
      </c>
      <c r="AQ8" s="746" t="s">
        <v>466</v>
      </c>
      <c r="AR8" s="746" t="s">
        <v>466</v>
      </c>
      <c r="AS8" s="74" t="s">
        <v>462</v>
      </c>
      <c r="AT8" s="746" t="s">
        <v>466</v>
      </c>
      <c r="AU8" s="746" t="s">
        <v>466</v>
      </c>
      <c r="AV8" s="74" t="s">
        <v>462</v>
      </c>
      <c r="AW8" s="746" t="s">
        <v>466</v>
      </c>
      <c r="AX8" s="746" t="s">
        <v>466</v>
      </c>
      <c r="AY8" s="74" t="s">
        <v>462</v>
      </c>
      <c r="AZ8" s="746" t="s">
        <v>466</v>
      </c>
      <c r="BA8" s="746" t="s">
        <v>466</v>
      </c>
      <c r="BB8" s="74" t="s">
        <v>462</v>
      </c>
      <c r="BC8" s="746" t="s">
        <v>466</v>
      </c>
      <c r="BD8" s="746" t="s">
        <v>466</v>
      </c>
      <c r="BE8" s="74" t="s">
        <v>462</v>
      </c>
      <c r="BF8" s="746" t="s">
        <v>466</v>
      </c>
      <c r="BG8" s="746" t="s">
        <v>466</v>
      </c>
      <c r="BH8" s="74" t="s">
        <v>462</v>
      </c>
      <c r="BI8" s="746" t="s">
        <v>466</v>
      </c>
      <c r="BJ8" s="746" t="s">
        <v>466</v>
      </c>
      <c r="BK8" s="74" t="s">
        <v>462</v>
      </c>
      <c r="BL8" s="746" t="s">
        <v>466</v>
      </c>
      <c r="BM8" s="746" t="s">
        <v>462</v>
      </c>
      <c r="BN8" s="74" t="s">
        <v>462</v>
      </c>
      <c r="BO8" s="746" t="s">
        <v>462</v>
      </c>
      <c r="BP8" s="746" t="s">
        <v>462</v>
      </c>
      <c r="BQ8" s="74" t="s">
        <v>462</v>
      </c>
      <c r="BR8" s="746" t="s">
        <v>462</v>
      </c>
      <c r="BS8" s="746" t="s">
        <v>462</v>
      </c>
      <c r="BT8" s="74" t="s">
        <v>462</v>
      </c>
      <c r="BU8" s="746" t="s">
        <v>462</v>
      </c>
      <c r="BV8" s="746" t="s">
        <v>462</v>
      </c>
      <c r="BW8" s="74" t="s">
        <v>462</v>
      </c>
      <c r="BX8" s="746" t="s">
        <v>462</v>
      </c>
      <c r="BY8" s="746" t="s">
        <v>462</v>
      </c>
      <c r="BZ8" s="74" t="s">
        <v>462</v>
      </c>
      <c r="CA8" s="746" t="s">
        <v>462</v>
      </c>
      <c r="CB8" s="746" t="s">
        <v>462</v>
      </c>
      <c r="CC8" s="74" t="s">
        <v>462</v>
      </c>
      <c r="CD8" s="746" t="s">
        <v>462</v>
      </c>
      <c r="CE8" s="746" t="s">
        <v>462</v>
      </c>
      <c r="CF8" s="74" t="s">
        <v>462</v>
      </c>
      <c r="CG8" s="746" t="s">
        <v>462</v>
      </c>
      <c r="CH8" s="746" t="s">
        <v>462</v>
      </c>
      <c r="CI8" s="74" t="s">
        <v>462</v>
      </c>
      <c r="CJ8" s="746" t="s">
        <v>462</v>
      </c>
      <c r="CK8" s="746" t="s">
        <v>462</v>
      </c>
      <c r="CL8" s="74" t="s">
        <v>462</v>
      </c>
      <c r="CM8" s="746" t="s">
        <v>462</v>
      </c>
      <c r="CN8" s="746" t="s">
        <v>462</v>
      </c>
      <c r="CO8" s="74" t="s">
        <v>462</v>
      </c>
      <c r="CP8" s="746" t="s">
        <v>462</v>
      </c>
      <c r="CQ8" s="746" t="s">
        <v>462</v>
      </c>
      <c r="CR8" s="74" t="s">
        <v>462</v>
      </c>
      <c r="CS8" s="746" t="s">
        <v>462</v>
      </c>
      <c r="CT8" s="746" t="s">
        <v>462</v>
      </c>
      <c r="CU8" s="74" t="s">
        <v>462</v>
      </c>
      <c r="CV8" s="746" t="s">
        <v>462</v>
      </c>
      <c r="CW8" s="746" t="s">
        <v>462</v>
      </c>
      <c r="CX8" s="74" t="s">
        <v>462</v>
      </c>
      <c r="CY8" s="746" t="s">
        <v>462</v>
      </c>
      <c r="CZ8" s="746" t="s">
        <v>462</v>
      </c>
      <c r="DA8" s="74" t="s">
        <v>462</v>
      </c>
      <c r="DB8" s="746" t="s">
        <v>462</v>
      </c>
      <c r="DC8" s="746" t="s">
        <v>462</v>
      </c>
      <c r="DD8" s="746" t="s">
        <v>462</v>
      </c>
      <c r="DE8" s="746" t="s">
        <v>462</v>
      </c>
      <c r="DF8" s="746" t="s">
        <v>462</v>
      </c>
      <c r="DG8" s="746" t="s">
        <v>462</v>
      </c>
      <c r="DH8" s="746" t="s">
        <v>462</v>
      </c>
      <c r="DI8" s="746" t="s">
        <v>462</v>
      </c>
      <c r="DJ8" s="746" t="s">
        <v>462</v>
      </c>
      <c r="DK8" s="746" t="s">
        <v>462</v>
      </c>
      <c r="DL8" s="746" t="s">
        <v>462</v>
      </c>
      <c r="DM8" s="746" t="s">
        <v>462</v>
      </c>
      <c r="DN8" s="746" t="s">
        <v>462</v>
      </c>
      <c r="DO8" s="746" t="s">
        <v>462</v>
      </c>
      <c r="DP8" s="746" t="s">
        <v>462</v>
      </c>
      <c r="DQ8" s="746" t="s">
        <v>462</v>
      </c>
      <c r="DR8" s="126"/>
      <c r="DS8" s="68"/>
      <c r="DT8" s="68"/>
      <c r="DU8" s="68"/>
    </row>
    <row r="9" ht="32.25" customHeight="1" outlineLevel="1">
      <c r="A9" s="60">
        <v>25.0</v>
      </c>
      <c r="B9" s="747" t="s">
        <v>140</v>
      </c>
      <c r="C9" s="747" t="s">
        <v>141</v>
      </c>
      <c r="D9" s="71" t="s">
        <v>142</v>
      </c>
      <c r="E9" s="146" t="s">
        <v>138</v>
      </c>
      <c r="F9" s="125">
        <v>1101.0</v>
      </c>
      <c r="G9" s="139" t="s">
        <v>139</v>
      </c>
      <c r="H9" s="139">
        <v>1126.0</v>
      </c>
      <c r="I9" s="126" t="str">
        <f>IFERROR(VLOOKUP(C6:C148,'R22 RELATÓRIO ACC'!B:F,5,FALSE),"NOT PUBLISHED")</f>
        <v>V14</v>
      </c>
      <c r="J9" s="126" t="str">
        <f>IFERROR(VLOOKUP(C6:C148,'R22 RELATÓRIO ACC'!B:P,15,FALSE),"NOT PUBLISHED")</f>
        <v>30/01/2026</v>
      </c>
      <c r="K9" s="746" t="str">
        <f>IFERROR(VLOOKUP(B6:B148,'RELATÓRIO ACC'!B:F,5,FALSE),"NOT PUBLISHED")</f>
        <v>V1</v>
      </c>
      <c r="L9" s="748" t="str">
        <f>IFERROR(VLOOKUP(B6:B148,'RELATÓRIO ACC'!B:P,15,FALSE),"NOT PUBLISHED")</f>
        <v>19/05/2026</v>
      </c>
      <c r="M9" s="141" t="s">
        <v>462</v>
      </c>
      <c r="N9" s="141" t="s">
        <v>462</v>
      </c>
      <c r="O9" s="740" t="s">
        <v>462</v>
      </c>
      <c r="P9" s="1043"/>
      <c r="Q9" s="746" t="s">
        <v>462</v>
      </c>
      <c r="R9" s="74" t="s">
        <v>462</v>
      </c>
      <c r="S9" s="746" t="s">
        <v>462</v>
      </c>
      <c r="T9" s="746" t="s">
        <v>462</v>
      </c>
      <c r="U9" s="749" t="s">
        <v>462</v>
      </c>
      <c r="V9" s="746" t="s">
        <v>462</v>
      </c>
      <c r="W9" s="746" t="s">
        <v>462</v>
      </c>
      <c r="X9" s="749" t="s">
        <v>462</v>
      </c>
      <c r="Y9" s="746" t="s">
        <v>462</v>
      </c>
      <c r="Z9" s="746" t="s">
        <v>462</v>
      </c>
      <c r="AA9" s="74" t="s">
        <v>462</v>
      </c>
      <c r="AB9" s="746" t="s">
        <v>462</v>
      </c>
      <c r="AC9" s="746" t="s">
        <v>462</v>
      </c>
      <c r="AD9" s="74" t="s">
        <v>462</v>
      </c>
      <c r="AE9" s="746" t="s">
        <v>462</v>
      </c>
      <c r="AF9" s="126" t="s">
        <v>462</v>
      </c>
      <c r="AG9" s="68" t="s">
        <v>462</v>
      </c>
      <c r="AH9" s="746" t="s">
        <v>462</v>
      </c>
      <c r="AI9" s="746" t="s">
        <v>462</v>
      </c>
      <c r="AJ9" s="68" t="s">
        <v>462</v>
      </c>
      <c r="AK9" s="746" t="s">
        <v>462</v>
      </c>
      <c r="AL9" s="746" t="s">
        <v>462</v>
      </c>
      <c r="AM9" s="68" t="s">
        <v>462</v>
      </c>
      <c r="AN9" s="746" t="s">
        <v>462</v>
      </c>
      <c r="AO9" s="746" t="s">
        <v>462</v>
      </c>
      <c r="AP9" s="68" t="s">
        <v>462</v>
      </c>
      <c r="AQ9" s="746" t="s">
        <v>462</v>
      </c>
      <c r="AR9" s="746" t="s">
        <v>462</v>
      </c>
      <c r="AS9" s="68" t="s">
        <v>462</v>
      </c>
      <c r="AT9" s="746" t="s">
        <v>462</v>
      </c>
      <c r="AU9" s="746" t="s">
        <v>462</v>
      </c>
      <c r="AV9" s="68" t="s">
        <v>462</v>
      </c>
      <c r="AW9" s="746" t="s">
        <v>462</v>
      </c>
      <c r="AX9" s="746" t="s">
        <v>462</v>
      </c>
      <c r="AY9" s="68" t="s">
        <v>462</v>
      </c>
      <c r="AZ9" s="746" t="s">
        <v>462</v>
      </c>
      <c r="BA9" s="746" t="s">
        <v>462</v>
      </c>
      <c r="BB9" s="68" t="s">
        <v>462</v>
      </c>
      <c r="BC9" s="746" t="s">
        <v>462</v>
      </c>
      <c r="BD9" s="746" t="s">
        <v>462</v>
      </c>
      <c r="BE9" s="68" t="s">
        <v>462</v>
      </c>
      <c r="BF9" s="746" t="s">
        <v>462</v>
      </c>
      <c r="BG9" s="746" t="s">
        <v>462</v>
      </c>
      <c r="BH9" s="68" t="s">
        <v>462</v>
      </c>
      <c r="BI9" s="746" t="s">
        <v>462</v>
      </c>
      <c r="BJ9" s="746" t="s">
        <v>462</v>
      </c>
      <c r="BK9" s="68" t="s">
        <v>462</v>
      </c>
      <c r="BL9" s="746" t="s">
        <v>462</v>
      </c>
      <c r="BM9" s="746" t="s">
        <v>462</v>
      </c>
      <c r="BN9" s="68" t="s">
        <v>462</v>
      </c>
      <c r="BO9" s="746" t="s">
        <v>462</v>
      </c>
      <c r="BP9" s="746" t="s">
        <v>462</v>
      </c>
      <c r="BQ9" s="68" t="s">
        <v>462</v>
      </c>
      <c r="BR9" s="746" t="s">
        <v>462</v>
      </c>
      <c r="BS9" s="746" t="s">
        <v>462</v>
      </c>
      <c r="BT9" s="68" t="s">
        <v>462</v>
      </c>
      <c r="BU9" s="746" t="s">
        <v>462</v>
      </c>
      <c r="BV9" s="746" t="s">
        <v>462</v>
      </c>
      <c r="BW9" s="68" t="s">
        <v>462</v>
      </c>
      <c r="BX9" s="746" t="s">
        <v>462</v>
      </c>
      <c r="BY9" s="746" t="s">
        <v>462</v>
      </c>
      <c r="BZ9" s="68" t="s">
        <v>462</v>
      </c>
      <c r="CA9" s="746" t="s">
        <v>462</v>
      </c>
      <c r="CB9" s="746" t="s">
        <v>462</v>
      </c>
      <c r="CC9" s="68" t="s">
        <v>462</v>
      </c>
      <c r="CD9" s="746" t="s">
        <v>462</v>
      </c>
      <c r="CE9" s="746" t="s">
        <v>462</v>
      </c>
      <c r="CF9" s="68" t="s">
        <v>462</v>
      </c>
      <c r="CG9" s="746" t="s">
        <v>462</v>
      </c>
      <c r="CH9" s="746" t="s">
        <v>462</v>
      </c>
      <c r="CI9" s="68" t="s">
        <v>462</v>
      </c>
      <c r="CJ9" s="746" t="s">
        <v>462</v>
      </c>
      <c r="CK9" s="746" t="s">
        <v>462</v>
      </c>
      <c r="CL9" s="68" t="s">
        <v>462</v>
      </c>
      <c r="CM9" s="746" t="s">
        <v>462</v>
      </c>
      <c r="CN9" s="746" t="s">
        <v>462</v>
      </c>
      <c r="CO9" s="68" t="s">
        <v>462</v>
      </c>
      <c r="CP9" s="746" t="s">
        <v>462</v>
      </c>
      <c r="CQ9" s="746" t="s">
        <v>462</v>
      </c>
      <c r="CR9" s="68" t="s">
        <v>462</v>
      </c>
      <c r="CS9" s="746" t="s">
        <v>462</v>
      </c>
      <c r="CT9" s="746" t="s">
        <v>462</v>
      </c>
      <c r="CU9" s="68" t="s">
        <v>462</v>
      </c>
      <c r="CV9" s="746" t="s">
        <v>462</v>
      </c>
      <c r="CW9" s="746" t="s">
        <v>462</v>
      </c>
      <c r="CX9" s="68" t="s">
        <v>462</v>
      </c>
      <c r="CY9" s="746" t="s">
        <v>462</v>
      </c>
      <c r="CZ9" s="746" t="s">
        <v>462</v>
      </c>
      <c r="DA9" s="68" t="s">
        <v>462</v>
      </c>
      <c r="DB9" s="746" t="s">
        <v>462</v>
      </c>
      <c r="DC9" s="746" t="s">
        <v>462</v>
      </c>
      <c r="DD9" s="746" t="s">
        <v>462</v>
      </c>
      <c r="DE9" s="746" t="s">
        <v>462</v>
      </c>
      <c r="DF9" s="746" t="s">
        <v>462</v>
      </c>
      <c r="DG9" s="746" t="s">
        <v>462</v>
      </c>
      <c r="DH9" s="746" t="s">
        <v>462</v>
      </c>
      <c r="DI9" s="746" t="s">
        <v>462</v>
      </c>
      <c r="DJ9" s="746" t="s">
        <v>462</v>
      </c>
      <c r="DK9" s="746" t="s">
        <v>462</v>
      </c>
      <c r="DL9" s="746" t="s">
        <v>462</v>
      </c>
      <c r="DM9" s="746" t="s">
        <v>462</v>
      </c>
      <c r="DN9" s="746" t="s">
        <v>462</v>
      </c>
      <c r="DO9" s="746" t="s">
        <v>462</v>
      </c>
      <c r="DP9" s="746" t="s">
        <v>462</v>
      </c>
      <c r="DQ9" s="746" t="s">
        <v>462</v>
      </c>
      <c r="DR9" s="751"/>
      <c r="DS9" s="111"/>
      <c r="DT9" s="111"/>
      <c r="DU9" s="111"/>
    </row>
    <row r="10" ht="15.0" customHeight="1" outlineLevel="1">
      <c r="A10" s="60">
        <v>108.0</v>
      </c>
      <c r="B10" s="747" t="s">
        <v>322</v>
      </c>
      <c r="C10" s="747" t="s">
        <v>322</v>
      </c>
      <c r="D10" s="71" t="s">
        <v>323</v>
      </c>
      <c r="E10" s="146" t="s">
        <v>317</v>
      </c>
      <c r="F10" s="72">
        <v>1125.0</v>
      </c>
      <c r="G10" s="139" t="s">
        <v>317</v>
      </c>
      <c r="H10" s="139">
        <v>1125.0</v>
      </c>
      <c r="I10" s="126" t="str">
        <f>IFERROR(VLOOKUP(C7:C149,'R22 RELATÓRIO ACC'!B:F,5,FALSE),"NOT PUBLISHED")</f>
        <v>V6</v>
      </c>
      <c r="J10" s="126" t="str">
        <f>IFERROR(VLOOKUP(C7:C149,'R22 RELATÓRIO ACC'!B:P,15,FALSE),"NOT PUBLISHED")</f>
        <v>07/11/2025</v>
      </c>
      <c r="K10" s="746" t="str">
        <f>IFERROR(VLOOKUP(B7:B149,'RELATÓRIO ACC'!B:F,5,FALSE),"NOT PUBLISHED")</f>
        <v>V1</v>
      </c>
      <c r="L10" s="748" t="str">
        <f>IFERROR(VLOOKUP(B7:B149,'RELATÓRIO ACC'!B:P,15,FALSE),"NOT PUBLISHED")</f>
        <v>21/05/2026</v>
      </c>
      <c r="M10" s="141" t="s">
        <v>462</v>
      </c>
      <c r="N10" s="141" t="s">
        <v>462</v>
      </c>
      <c r="O10" s="740" t="s">
        <v>462</v>
      </c>
      <c r="P10" s="1043"/>
      <c r="Q10" s="746" t="s">
        <v>462</v>
      </c>
      <c r="R10" s="74" t="s">
        <v>462</v>
      </c>
      <c r="S10" s="746" t="s">
        <v>462</v>
      </c>
      <c r="T10" s="746" t="s">
        <v>462</v>
      </c>
      <c r="U10" s="749" t="s">
        <v>462</v>
      </c>
      <c r="V10" s="746" t="s">
        <v>462</v>
      </c>
      <c r="W10" s="746" t="s">
        <v>462</v>
      </c>
      <c r="X10" s="749" t="s">
        <v>462</v>
      </c>
      <c r="Y10" s="746" t="s">
        <v>462</v>
      </c>
      <c r="Z10" s="746" t="s">
        <v>462</v>
      </c>
      <c r="AA10" s="74" t="s">
        <v>462</v>
      </c>
      <c r="AB10" s="746" t="s">
        <v>462</v>
      </c>
      <c r="AC10" s="746" t="s">
        <v>462</v>
      </c>
      <c r="AD10" s="74" t="s">
        <v>462</v>
      </c>
      <c r="AE10" s="746" t="s">
        <v>462</v>
      </c>
      <c r="AF10" s="746" t="s">
        <v>462</v>
      </c>
      <c r="AG10" s="74" t="s">
        <v>462</v>
      </c>
      <c r="AH10" s="746" t="s">
        <v>462</v>
      </c>
      <c r="AI10" s="746" t="s">
        <v>462</v>
      </c>
      <c r="AJ10" s="74" t="s">
        <v>462</v>
      </c>
      <c r="AK10" s="746" t="s">
        <v>462</v>
      </c>
      <c r="AL10" s="746" t="s">
        <v>462</v>
      </c>
      <c r="AM10" s="74" t="s">
        <v>462</v>
      </c>
      <c r="AN10" s="746" t="s">
        <v>462</v>
      </c>
      <c r="AO10" s="746" t="s">
        <v>462</v>
      </c>
      <c r="AP10" s="74" t="s">
        <v>462</v>
      </c>
      <c r="AQ10" s="746" t="s">
        <v>462</v>
      </c>
      <c r="AR10" s="746" t="s">
        <v>462</v>
      </c>
      <c r="AS10" s="74" t="s">
        <v>462</v>
      </c>
      <c r="AT10" s="746" t="s">
        <v>462</v>
      </c>
      <c r="AU10" s="746" t="s">
        <v>462</v>
      </c>
      <c r="AV10" s="74" t="s">
        <v>462</v>
      </c>
      <c r="AW10" s="746" t="s">
        <v>462</v>
      </c>
      <c r="AX10" s="746" t="s">
        <v>462</v>
      </c>
      <c r="AY10" s="74" t="s">
        <v>462</v>
      </c>
      <c r="AZ10" s="746" t="s">
        <v>462</v>
      </c>
      <c r="BA10" s="746" t="s">
        <v>462</v>
      </c>
      <c r="BB10" s="74" t="s">
        <v>462</v>
      </c>
      <c r="BC10" s="746" t="s">
        <v>462</v>
      </c>
      <c r="BD10" s="746" t="s">
        <v>462</v>
      </c>
      <c r="BE10" s="74" t="s">
        <v>462</v>
      </c>
      <c r="BF10" s="746" t="s">
        <v>462</v>
      </c>
      <c r="BG10" s="746" t="s">
        <v>462</v>
      </c>
      <c r="BH10" s="74" t="s">
        <v>462</v>
      </c>
      <c r="BI10" s="746" t="s">
        <v>462</v>
      </c>
      <c r="BJ10" s="746" t="s">
        <v>462</v>
      </c>
      <c r="BK10" s="74" t="s">
        <v>462</v>
      </c>
      <c r="BL10" s="746" t="s">
        <v>462</v>
      </c>
      <c r="BM10" s="746" t="s">
        <v>462</v>
      </c>
      <c r="BN10" s="74" t="s">
        <v>462</v>
      </c>
      <c r="BO10" s="746" t="s">
        <v>462</v>
      </c>
      <c r="BP10" s="746" t="s">
        <v>462</v>
      </c>
      <c r="BQ10" s="74" t="s">
        <v>462</v>
      </c>
      <c r="BR10" s="746" t="s">
        <v>462</v>
      </c>
      <c r="BS10" s="746" t="s">
        <v>462</v>
      </c>
      <c r="BT10" s="74" t="s">
        <v>462</v>
      </c>
      <c r="BU10" s="746" t="s">
        <v>462</v>
      </c>
      <c r="BV10" s="746" t="s">
        <v>462</v>
      </c>
      <c r="BW10" s="74" t="s">
        <v>462</v>
      </c>
      <c r="BX10" s="746" t="s">
        <v>462</v>
      </c>
      <c r="BY10" s="746" t="s">
        <v>462</v>
      </c>
      <c r="BZ10" s="74" t="s">
        <v>462</v>
      </c>
      <c r="CA10" s="746" t="s">
        <v>462</v>
      </c>
      <c r="CB10" s="746" t="s">
        <v>462</v>
      </c>
      <c r="CC10" s="74" t="s">
        <v>462</v>
      </c>
      <c r="CD10" s="746" t="s">
        <v>462</v>
      </c>
      <c r="CE10" s="746" t="s">
        <v>462</v>
      </c>
      <c r="CF10" s="74" t="s">
        <v>462</v>
      </c>
      <c r="CG10" s="746" t="s">
        <v>462</v>
      </c>
      <c r="CH10" s="746" t="s">
        <v>462</v>
      </c>
      <c r="CI10" s="74" t="s">
        <v>462</v>
      </c>
      <c r="CJ10" s="746" t="s">
        <v>462</v>
      </c>
      <c r="CK10" s="746" t="s">
        <v>462</v>
      </c>
      <c r="CL10" s="74" t="s">
        <v>462</v>
      </c>
      <c r="CM10" s="746" t="s">
        <v>462</v>
      </c>
      <c r="CN10" s="746" t="s">
        <v>462</v>
      </c>
      <c r="CO10" s="74" t="s">
        <v>462</v>
      </c>
      <c r="CP10" s="746" t="s">
        <v>462</v>
      </c>
      <c r="CQ10" s="746" t="s">
        <v>462</v>
      </c>
      <c r="CR10" s="74" t="s">
        <v>462</v>
      </c>
      <c r="CS10" s="746" t="s">
        <v>462</v>
      </c>
      <c r="CT10" s="746" t="s">
        <v>462</v>
      </c>
      <c r="CU10" s="74" t="s">
        <v>462</v>
      </c>
      <c r="CV10" s="746" t="s">
        <v>462</v>
      </c>
      <c r="CW10" s="746" t="s">
        <v>462</v>
      </c>
      <c r="CX10" s="74" t="s">
        <v>462</v>
      </c>
      <c r="CY10" s="746" t="s">
        <v>462</v>
      </c>
      <c r="CZ10" s="746" t="s">
        <v>462</v>
      </c>
      <c r="DA10" s="74" t="s">
        <v>462</v>
      </c>
      <c r="DB10" s="746" t="s">
        <v>462</v>
      </c>
      <c r="DC10" s="746" t="s">
        <v>462</v>
      </c>
      <c r="DD10" s="746" t="s">
        <v>462</v>
      </c>
      <c r="DE10" s="746" t="s">
        <v>462</v>
      </c>
      <c r="DF10" s="746" t="s">
        <v>462</v>
      </c>
      <c r="DG10" s="746" t="s">
        <v>462</v>
      </c>
      <c r="DH10" s="746" t="s">
        <v>462</v>
      </c>
      <c r="DI10" s="746" t="s">
        <v>462</v>
      </c>
      <c r="DJ10" s="746" t="s">
        <v>462</v>
      </c>
      <c r="DK10" s="746" t="s">
        <v>462</v>
      </c>
      <c r="DL10" s="746" t="s">
        <v>462</v>
      </c>
      <c r="DM10" s="746" t="s">
        <v>462</v>
      </c>
      <c r="DN10" s="746" t="s">
        <v>462</v>
      </c>
      <c r="DO10" s="746" t="s">
        <v>462</v>
      </c>
      <c r="DP10" s="746" t="s">
        <v>462</v>
      </c>
      <c r="DQ10" s="746" t="s">
        <v>462</v>
      </c>
      <c r="DR10" s="126"/>
      <c r="DS10" s="111"/>
      <c r="DT10" s="111"/>
      <c r="DU10" s="111"/>
    </row>
    <row r="11" ht="15.0" customHeight="1" outlineLevel="1">
      <c r="A11" s="60">
        <v>109.0</v>
      </c>
      <c r="B11" s="747" t="s">
        <v>324</v>
      </c>
      <c r="C11" s="747" t="s">
        <v>324</v>
      </c>
      <c r="D11" s="71" t="s">
        <v>7</v>
      </c>
      <c r="E11" s="146" t="s">
        <v>317</v>
      </c>
      <c r="F11" s="72">
        <v>1125.0</v>
      </c>
      <c r="G11" s="139" t="s">
        <v>317</v>
      </c>
      <c r="H11" s="139">
        <v>1125.0</v>
      </c>
      <c r="I11" s="126" t="str">
        <f>IFERROR(VLOOKUP(C8:C150,'R22 RELATÓRIO ACC'!B:F,5,FALSE),"NOT PUBLISHED")</f>
        <v>V7</v>
      </c>
      <c r="J11" s="126" t="str">
        <f>IFERROR(VLOOKUP(C8:C150,'R22 RELATÓRIO ACC'!B:P,15,FALSE),"NOT PUBLISHED")</f>
        <v>05/12/2025</v>
      </c>
      <c r="K11" s="746" t="str">
        <f>IFERROR(VLOOKUP(B8:B150,'RELATÓRIO ACC'!B:F,5,FALSE),"NOT PUBLISHED")</f>
        <v>V1</v>
      </c>
      <c r="L11" s="748" t="str">
        <f>IFERROR(VLOOKUP(B8:B150,'RELATÓRIO ACC'!B:P,15,FALSE),"NOT PUBLISHED")</f>
        <v>21/05/2026</v>
      </c>
      <c r="M11" s="141" t="s">
        <v>462</v>
      </c>
      <c r="N11" s="749" t="s">
        <v>462</v>
      </c>
      <c r="O11" s="740" t="s">
        <v>462</v>
      </c>
      <c r="P11" s="1043"/>
      <c r="Q11" s="746" t="s">
        <v>462</v>
      </c>
      <c r="R11" s="74" t="s">
        <v>462</v>
      </c>
      <c r="S11" s="1037" t="s">
        <v>462</v>
      </c>
      <c r="T11" s="746" t="s">
        <v>462</v>
      </c>
      <c r="U11" s="749" t="s">
        <v>462</v>
      </c>
      <c r="V11" s="68" t="s">
        <v>462</v>
      </c>
      <c r="W11" s="746" t="s">
        <v>462</v>
      </c>
      <c r="X11" s="749" t="s">
        <v>462</v>
      </c>
      <c r="Y11" s="68" t="s">
        <v>462</v>
      </c>
      <c r="Z11" s="746" t="s">
        <v>462</v>
      </c>
      <c r="AA11" s="74" t="s">
        <v>462</v>
      </c>
      <c r="AB11" s="746" t="s">
        <v>462</v>
      </c>
      <c r="AC11" s="746" t="s">
        <v>462</v>
      </c>
      <c r="AD11" s="74" t="s">
        <v>462</v>
      </c>
      <c r="AE11" s="746" t="s">
        <v>462</v>
      </c>
      <c r="AF11" s="746" t="s">
        <v>462</v>
      </c>
      <c r="AG11" s="74" t="s">
        <v>462</v>
      </c>
      <c r="AH11" s="746" t="s">
        <v>462</v>
      </c>
      <c r="AI11" s="746" t="s">
        <v>462</v>
      </c>
      <c r="AJ11" s="74" t="s">
        <v>462</v>
      </c>
      <c r="AK11" s="746" t="s">
        <v>462</v>
      </c>
      <c r="AL11" s="126" t="s">
        <v>462</v>
      </c>
      <c r="AM11" s="126" t="s">
        <v>462</v>
      </c>
      <c r="AN11" s="126" t="s">
        <v>462</v>
      </c>
      <c r="AO11" s="126" t="s">
        <v>462</v>
      </c>
      <c r="AP11" s="126" t="s">
        <v>462</v>
      </c>
      <c r="AQ11" s="126" t="s">
        <v>462</v>
      </c>
      <c r="AR11" s="126" t="s">
        <v>462</v>
      </c>
      <c r="AS11" s="126" t="s">
        <v>462</v>
      </c>
      <c r="AT11" s="126" t="s">
        <v>462</v>
      </c>
      <c r="AU11" s="126" t="s">
        <v>462</v>
      </c>
      <c r="AV11" s="126" t="s">
        <v>462</v>
      </c>
      <c r="AW11" s="126" t="s">
        <v>462</v>
      </c>
      <c r="AX11" s="126" t="s">
        <v>462</v>
      </c>
      <c r="AY11" s="126" t="s">
        <v>462</v>
      </c>
      <c r="AZ11" s="126" t="s">
        <v>462</v>
      </c>
      <c r="BA11" s="126" t="s">
        <v>462</v>
      </c>
      <c r="BB11" s="126" t="s">
        <v>462</v>
      </c>
      <c r="BC11" s="126" t="s">
        <v>462</v>
      </c>
      <c r="BD11" s="126" t="s">
        <v>462</v>
      </c>
      <c r="BE11" s="126" t="s">
        <v>462</v>
      </c>
      <c r="BF11" s="126" t="s">
        <v>462</v>
      </c>
      <c r="BG11" s="126" t="s">
        <v>462</v>
      </c>
      <c r="BH11" s="126" t="s">
        <v>462</v>
      </c>
      <c r="BI11" s="126" t="s">
        <v>462</v>
      </c>
      <c r="BJ11" s="126" t="s">
        <v>462</v>
      </c>
      <c r="BK11" s="126" t="s">
        <v>462</v>
      </c>
      <c r="BL11" s="126" t="s">
        <v>462</v>
      </c>
      <c r="BM11" s="126" t="s">
        <v>462</v>
      </c>
      <c r="BN11" s="126" t="s">
        <v>462</v>
      </c>
      <c r="BO11" s="126" t="s">
        <v>462</v>
      </c>
      <c r="BP11" s="126" t="s">
        <v>462</v>
      </c>
      <c r="BQ11" s="126" t="s">
        <v>462</v>
      </c>
      <c r="BR11" s="126" t="s">
        <v>462</v>
      </c>
      <c r="BS11" s="126" t="s">
        <v>462</v>
      </c>
      <c r="BT11" s="126" t="s">
        <v>462</v>
      </c>
      <c r="BU11" s="126" t="s">
        <v>462</v>
      </c>
      <c r="BV11" s="126" t="s">
        <v>462</v>
      </c>
      <c r="BW11" s="126" t="s">
        <v>462</v>
      </c>
      <c r="BX11" s="126" t="s">
        <v>462</v>
      </c>
      <c r="BY11" s="126" t="s">
        <v>462</v>
      </c>
      <c r="BZ11" s="126" t="s">
        <v>462</v>
      </c>
      <c r="CA11" s="126" t="s">
        <v>462</v>
      </c>
      <c r="CB11" s="126" t="s">
        <v>462</v>
      </c>
      <c r="CC11" s="126" t="s">
        <v>462</v>
      </c>
      <c r="CD11" s="126" t="s">
        <v>462</v>
      </c>
      <c r="CE11" s="126" t="s">
        <v>462</v>
      </c>
      <c r="CF11" s="126" t="s">
        <v>462</v>
      </c>
      <c r="CG11" s="126" t="s">
        <v>462</v>
      </c>
      <c r="CH11" s="126" t="s">
        <v>462</v>
      </c>
      <c r="CI11" s="126" t="s">
        <v>462</v>
      </c>
      <c r="CJ11" s="126" t="s">
        <v>462</v>
      </c>
      <c r="CK11" s="126" t="s">
        <v>462</v>
      </c>
      <c r="CL11" s="126" t="s">
        <v>462</v>
      </c>
      <c r="CM11" s="126" t="s">
        <v>462</v>
      </c>
      <c r="CN11" s="126" t="s">
        <v>462</v>
      </c>
      <c r="CO11" s="126" t="s">
        <v>462</v>
      </c>
      <c r="CP11" s="126" t="s">
        <v>462</v>
      </c>
      <c r="CQ11" s="126" t="s">
        <v>462</v>
      </c>
      <c r="CR11" s="126" t="s">
        <v>462</v>
      </c>
      <c r="CS11" s="126" t="s">
        <v>462</v>
      </c>
      <c r="CT11" s="126" t="s">
        <v>462</v>
      </c>
      <c r="CU11" s="126" t="s">
        <v>462</v>
      </c>
      <c r="CV11" s="126" t="s">
        <v>462</v>
      </c>
      <c r="CW11" s="126" t="s">
        <v>462</v>
      </c>
      <c r="CX11" s="126" t="s">
        <v>462</v>
      </c>
      <c r="CY11" s="126" t="s">
        <v>462</v>
      </c>
      <c r="CZ11" s="126" t="s">
        <v>462</v>
      </c>
      <c r="DA11" s="126" t="s">
        <v>462</v>
      </c>
      <c r="DB11" s="126" t="s">
        <v>462</v>
      </c>
      <c r="DC11" s="746" t="s">
        <v>462</v>
      </c>
      <c r="DD11" s="746" t="s">
        <v>462</v>
      </c>
      <c r="DE11" s="746" t="s">
        <v>462</v>
      </c>
      <c r="DF11" s="746" t="s">
        <v>462</v>
      </c>
      <c r="DG11" s="746" t="s">
        <v>462</v>
      </c>
      <c r="DH11" s="746" t="s">
        <v>462</v>
      </c>
      <c r="DI11" s="746" t="s">
        <v>462</v>
      </c>
      <c r="DJ11" s="746" t="s">
        <v>462</v>
      </c>
      <c r="DK11" s="746" t="s">
        <v>462</v>
      </c>
      <c r="DL11" s="746" t="s">
        <v>462</v>
      </c>
      <c r="DM11" s="746" t="s">
        <v>462</v>
      </c>
      <c r="DN11" s="746" t="s">
        <v>462</v>
      </c>
      <c r="DO11" s="746" t="s">
        <v>462</v>
      </c>
      <c r="DP11" s="746" t="s">
        <v>462</v>
      </c>
      <c r="DQ11" s="746" t="s">
        <v>462</v>
      </c>
      <c r="DR11" s="126"/>
      <c r="DS11" s="111"/>
      <c r="DT11" s="111"/>
      <c r="DU11" s="111"/>
    </row>
    <row r="12" ht="15.0" customHeight="1" outlineLevel="1">
      <c r="A12" s="60">
        <v>110.0</v>
      </c>
      <c r="B12" s="747" t="s">
        <v>325</v>
      </c>
      <c r="C12" s="747" t="s">
        <v>325</v>
      </c>
      <c r="D12" s="71" t="s">
        <v>326</v>
      </c>
      <c r="E12" s="146" t="s">
        <v>317</v>
      </c>
      <c r="F12" s="72">
        <v>1125.0</v>
      </c>
      <c r="G12" s="139" t="s">
        <v>317</v>
      </c>
      <c r="H12" s="139">
        <v>1125.0</v>
      </c>
      <c r="I12" s="126" t="str">
        <f>IFERROR(VLOOKUP(C9:C151,'R22 RELATÓRIO ACC'!B:F,5,FALSE),"NOT PUBLISHED")</f>
        <v>V6</v>
      </c>
      <c r="J12" s="126" t="str">
        <f>IFERROR(VLOOKUP(C9:C151,'R22 RELATÓRIO ACC'!B:P,15,FALSE),"NOT PUBLISHED")</f>
        <v>07/11/2025</v>
      </c>
      <c r="K12" s="746" t="str">
        <f>IFERROR(VLOOKUP(B9:B151,'RELATÓRIO ACC'!B:F,5,FALSE),"NOT PUBLISHED")</f>
        <v>V1</v>
      </c>
      <c r="L12" s="748" t="str">
        <f>IFERROR(VLOOKUP(B9:B151,'RELATÓRIO ACC'!B:P,15,FALSE),"NOT PUBLISHED")</f>
        <v>21/05/2026</v>
      </c>
      <c r="M12" s="141" t="s">
        <v>462</v>
      </c>
      <c r="N12" s="141" t="s">
        <v>462</v>
      </c>
      <c r="O12" s="740" t="s">
        <v>462</v>
      </c>
      <c r="P12" s="1043"/>
      <c r="Q12" s="746" t="s">
        <v>462</v>
      </c>
      <c r="R12" s="74" t="s">
        <v>462</v>
      </c>
      <c r="S12" s="746" t="s">
        <v>462</v>
      </c>
      <c r="T12" s="746" t="s">
        <v>462</v>
      </c>
      <c r="U12" s="749" t="s">
        <v>462</v>
      </c>
      <c r="V12" s="746" t="s">
        <v>462</v>
      </c>
      <c r="W12" s="746" t="s">
        <v>462</v>
      </c>
      <c r="X12" s="749" t="s">
        <v>462</v>
      </c>
      <c r="Y12" s="746" t="s">
        <v>462</v>
      </c>
      <c r="Z12" s="746" t="s">
        <v>462</v>
      </c>
      <c r="AA12" s="74" t="s">
        <v>462</v>
      </c>
      <c r="AB12" s="746" t="s">
        <v>462</v>
      </c>
      <c r="AC12" s="746" t="s">
        <v>462</v>
      </c>
      <c r="AD12" s="74" t="s">
        <v>462</v>
      </c>
      <c r="AE12" s="746" t="s">
        <v>462</v>
      </c>
      <c r="AF12" s="746" t="s">
        <v>462</v>
      </c>
      <c r="AG12" s="74" t="s">
        <v>462</v>
      </c>
      <c r="AH12" s="746" t="s">
        <v>462</v>
      </c>
      <c r="AI12" s="746" t="s">
        <v>462</v>
      </c>
      <c r="AJ12" s="74" t="s">
        <v>462</v>
      </c>
      <c r="AK12" s="746" t="s">
        <v>462</v>
      </c>
      <c r="AL12" s="126" t="s">
        <v>462</v>
      </c>
      <c r="AM12" s="126" t="s">
        <v>462</v>
      </c>
      <c r="AN12" s="126" t="s">
        <v>462</v>
      </c>
      <c r="AO12" s="126" t="s">
        <v>462</v>
      </c>
      <c r="AP12" s="126" t="s">
        <v>462</v>
      </c>
      <c r="AQ12" s="126" t="s">
        <v>462</v>
      </c>
      <c r="AR12" s="126" t="s">
        <v>462</v>
      </c>
      <c r="AS12" s="126" t="s">
        <v>462</v>
      </c>
      <c r="AT12" s="126" t="s">
        <v>462</v>
      </c>
      <c r="AU12" s="126" t="s">
        <v>462</v>
      </c>
      <c r="AV12" s="126" t="s">
        <v>462</v>
      </c>
      <c r="AW12" s="126" t="s">
        <v>462</v>
      </c>
      <c r="AX12" s="126" t="s">
        <v>462</v>
      </c>
      <c r="AY12" s="126" t="s">
        <v>462</v>
      </c>
      <c r="AZ12" s="126" t="s">
        <v>462</v>
      </c>
      <c r="BA12" s="126" t="s">
        <v>462</v>
      </c>
      <c r="BB12" s="126" t="s">
        <v>462</v>
      </c>
      <c r="BC12" s="126" t="s">
        <v>462</v>
      </c>
      <c r="BD12" s="126" t="s">
        <v>462</v>
      </c>
      <c r="BE12" s="126" t="s">
        <v>462</v>
      </c>
      <c r="BF12" s="126" t="s">
        <v>462</v>
      </c>
      <c r="BG12" s="126" t="s">
        <v>462</v>
      </c>
      <c r="BH12" s="126" t="s">
        <v>462</v>
      </c>
      <c r="BI12" s="126" t="s">
        <v>462</v>
      </c>
      <c r="BJ12" s="126" t="s">
        <v>462</v>
      </c>
      <c r="BK12" s="126" t="s">
        <v>462</v>
      </c>
      <c r="BL12" s="126" t="s">
        <v>462</v>
      </c>
      <c r="BM12" s="126" t="s">
        <v>462</v>
      </c>
      <c r="BN12" s="126" t="s">
        <v>462</v>
      </c>
      <c r="BO12" s="126" t="s">
        <v>462</v>
      </c>
      <c r="BP12" s="126" t="s">
        <v>462</v>
      </c>
      <c r="BQ12" s="126" t="s">
        <v>462</v>
      </c>
      <c r="BR12" s="126" t="s">
        <v>462</v>
      </c>
      <c r="BS12" s="126" t="s">
        <v>462</v>
      </c>
      <c r="BT12" s="126" t="s">
        <v>462</v>
      </c>
      <c r="BU12" s="126" t="s">
        <v>462</v>
      </c>
      <c r="BV12" s="126" t="s">
        <v>462</v>
      </c>
      <c r="BW12" s="126" t="s">
        <v>462</v>
      </c>
      <c r="BX12" s="126" t="s">
        <v>462</v>
      </c>
      <c r="BY12" s="126" t="s">
        <v>462</v>
      </c>
      <c r="BZ12" s="126" t="s">
        <v>462</v>
      </c>
      <c r="CA12" s="126" t="s">
        <v>462</v>
      </c>
      <c r="CB12" s="126" t="s">
        <v>462</v>
      </c>
      <c r="CC12" s="126" t="s">
        <v>462</v>
      </c>
      <c r="CD12" s="126" t="s">
        <v>462</v>
      </c>
      <c r="CE12" s="126" t="s">
        <v>462</v>
      </c>
      <c r="CF12" s="126" t="s">
        <v>462</v>
      </c>
      <c r="CG12" s="126" t="s">
        <v>462</v>
      </c>
      <c r="CH12" s="126" t="s">
        <v>462</v>
      </c>
      <c r="CI12" s="126" t="s">
        <v>462</v>
      </c>
      <c r="CJ12" s="126" t="s">
        <v>462</v>
      </c>
      <c r="CK12" s="126" t="s">
        <v>462</v>
      </c>
      <c r="CL12" s="126" t="s">
        <v>462</v>
      </c>
      <c r="CM12" s="126" t="s">
        <v>462</v>
      </c>
      <c r="CN12" s="126" t="s">
        <v>462</v>
      </c>
      <c r="CO12" s="126" t="s">
        <v>462</v>
      </c>
      <c r="CP12" s="126" t="s">
        <v>462</v>
      </c>
      <c r="CQ12" s="126" t="s">
        <v>462</v>
      </c>
      <c r="CR12" s="126" t="s">
        <v>462</v>
      </c>
      <c r="CS12" s="126" t="s">
        <v>462</v>
      </c>
      <c r="CT12" s="126" t="s">
        <v>462</v>
      </c>
      <c r="CU12" s="126" t="s">
        <v>462</v>
      </c>
      <c r="CV12" s="126" t="s">
        <v>462</v>
      </c>
      <c r="CW12" s="126" t="s">
        <v>462</v>
      </c>
      <c r="CX12" s="126" t="s">
        <v>462</v>
      </c>
      <c r="CY12" s="126" t="s">
        <v>462</v>
      </c>
      <c r="CZ12" s="126" t="s">
        <v>462</v>
      </c>
      <c r="DA12" s="126" t="s">
        <v>462</v>
      </c>
      <c r="DB12" s="126" t="s">
        <v>462</v>
      </c>
      <c r="DC12" s="746" t="s">
        <v>462</v>
      </c>
      <c r="DD12" s="746" t="s">
        <v>462</v>
      </c>
      <c r="DE12" s="746" t="s">
        <v>462</v>
      </c>
      <c r="DF12" s="746" t="s">
        <v>462</v>
      </c>
      <c r="DG12" s="746" t="s">
        <v>462</v>
      </c>
      <c r="DH12" s="746" t="s">
        <v>462</v>
      </c>
      <c r="DI12" s="746" t="s">
        <v>462</v>
      </c>
      <c r="DJ12" s="746" t="s">
        <v>462</v>
      </c>
      <c r="DK12" s="746" t="s">
        <v>462</v>
      </c>
      <c r="DL12" s="746" t="s">
        <v>462</v>
      </c>
      <c r="DM12" s="746" t="s">
        <v>462</v>
      </c>
      <c r="DN12" s="746" t="s">
        <v>462</v>
      </c>
      <c r="DO12" s="746" t="s">
        <v>462</v>
      </c>
      <c r="DP12" s="746" t="s">
        <v>462</v>
      </c>
      <c r="DQ12" s="746" t="s">
        <v>462</v>
      </c>
      <c r="DR12" s="126"/>
      <c r="DS12" s="111"/>
      <c r="DT12" s="111"/>
      <c r="DU12" s="111"/>
    </row>
    <row r="13" ht="15.0" customHeight="1" outlineLevel="1">
      <c r="A13" s="60">
        <v>4.0</v>
      </c>
      <c r="B13" s="747" t="s">
        <v>463</v>
      </c>
      <c r="C13" s="747" t="s">
        <v>464</v>
      </c>
      <c r="D13" s="71" t="s">
        <v>85</v>
      </c>
      <c r="E13" s="141" t="s">
        <v>465</v>
      </c>
      <c r="F13" s="125">
        <v>1111.0</v>
      </c>
      <c r="G13" s="139" t="s">
        <v>86</v>
      </c>
      <c r="H13" s="139">
        <v>1130.0</v>
      </c>
      <c r="I13" s="126" t="str">
        <f>IFERROR(VLOOKUP(C10:C152,'R22 RELATÓRIO ACC'!B:F,5,FALSE),"NOT PUBLISHED")</f>
        <v>NOT PUBLISHED</v>
      </c>
      <c r="J13" s="126" t="str">
        <f>IFERROR(VLOOKUP(C10:C152,'R22 RELATÓRIO ACC'!B:P,15,FALSE),"NOT PUBLISHED")</f>
        <v>NOT PUBLISHED</v>
      </c>
      <c r="K13" s="746" t="str">
        <f>IFERROR(VLOOKUP(B10:B152,'RELATÓRIO ACC'!B:F,5,FALSE),"NOT PUBLISHED")</f>
        <v>NOT PUBLISHED</v>
      </c>
      <c r="L13" s="748" t="str">
        <f>IFERROR(VLOOKUP(B10:B152,'RELATÓRIO ACC'!B:P,15,FALSE),"NOT PUBLISHED")</f>
        <v>NOT PUBLISHED</v>
      </c>
      <c r="M13" s="141" t="s">
        <v>466</v>
      </c>
      <c r="N13" s="141" t="s">
        <v>466</v>
      </c>
      <c r="O13" s="740" t="s">
        <v>466</v>
      </c>
      <c r="P13" s="1043"/>
      <c r="Q13" s="746" t="s">
        <v>466</v>
      </c>
      <c r="R13" s="74" t="s">
        <v>462</v>
      </c>
      <c r="S13" s="746" t="s">
        <v>466</v>
      </c>
      <c r="T13" s="746" t="s">
        <v>466</v>
      </c>
      <c r="U13" s="749" t="s">
        <v>462</v>
      </c>
      <c r="V13" s="746" t="s">
        <v>466</v>
      </c>
      <c r="W13" s="746" t="s">
        <v>466</v>
      </c>
      <c r="X13" s="74" t="s">
        <v>462</v>
      </c>
      <c r="Y13" s="746" t="s">
        <v>466</v>
      </c>
      <c r="Z13" s="746" t="s">
        <v>466</v>
      </c>
      <c r="AA13" s="74" t="s">
        <v>462</v>
      </c>
      <c r="AB13" s="746" t="s">
        <v>466</v>
      </c>
      <c r="AC13" s="746" t="s">
        <v>466</v>
      </c>
      <c r="AD13" s="74" t="s">
        <v>462</v>
      </c>
      <c r="AE13" s="746" t="s">
        <v>466</v>
      </c>
      <c r="AF13" s="746" t="s">
        <v>466</v>
      </c>
      <c r="AG13" s="74" t="s">
        <v>462</v>
      </c>
      <c r="AH13" s="746" t="s">
        <v>466</v>
      </c>
      <c r="AI13" s="746" t="s">
        <v>466</v>
      </c>
      <c r="AJ13" s="74" t="s">
        <v>462</v>
      </c>
      <c r="AK13" s="746" t="s">
        <v>466</v>
      </c>
      <c r="AL13" s="746" t="s">
        <v>466</v>
      </c>
      <c r="AM13" s="74" t="s">
        <v>462</v>
      </c>
      <c r="AN13" s="746" t="s">
        <v>466</v>
      </c>
      <c r="AO13" s="746" t="s">
        <v>466</v>
      </c>
      <c r="AP13" s="74" t="s">
        <v>462</v>
      </c>
      <c r="AQ13" s="746" t="s">
        <v>466</v>
      </c>
      <c r="AR13" s="746" t="s">
        <v>466</v>
      </c>
      <c r="AS13" s="74" t="s">
        <v>462</v>
      </c>
      <c r="AT13" s="746" t="s">
        <v>466</v>
      </c>
      <c r="AU13" s="126" t="s">
        <v>466</v>
      </c>
      <c r="AV13" s="126" t="s">
        <v>462</v>
      </c>
      <c r="AW13" s="126" t="s">
        <v>466</v>
      </c>
      <c r="AX13" s="126" t="s">
        <v>466</v>
      </c>
      <c r="AY13" s="126" t="s">
        <v>462</v>
      </c>
      <c r="AZ13" s="126" t="s">
        <v>466</v>
      </c>
      <c r="BA13" s="126" t="s">
        <v>466</v>
      </c>
      <c r="BB13" s="126" t="s">
        <v>462</v>
      </c>
      <c r="BC13" s="126" t="s">
        <v>466</v>
      </c>
      <c r="BD13" s="126" t="s">
        <v>466</v>
      </c>
      <c r="BE13" s="126" t="s">
        <v>462</v>
      </c>
      <c r="BF13" s="126" t="s">
        <v>466</v>
      </c>
      <c r="BG13" s="126" t="s">
        <v>466</v>
      </c>
      <c r="BH13" s="126" t="s">
        <v>462</v>
      </c>
      <c r="BI13" s="126" t="s">
        <v>466</v>
      </c>
      <c r="BJ13" s="126" t="s">
        <v>466</v>
      </c>
      <c r="BK13" s="126" t="s">
        <v>462</v>
      </c>
      <c r="BL13" s="126" t="s">
        <v>466</v>
      </c>
      <c r="BM13" s="126" t="s">
        <v>466</v>
      </c>
      <c r="BN13" s="126" t="s">
        <v>462</v>
      </c>
      <c r="BO13" s="126" t="s">
        <v>466</v>
      </c>
      <c r="BP13" s="126" t="s">
        <v>466</v>
      </c>
      <c r="BQ13" s="126" t="s">
        <v>462</v>
      </c>
      <c r="BR13" s="126" t="s">
        <v>466</v>
      </c>
      <c r="BS13" s="126" t="s">
        <v>466</v>
      </c>
      <c r="BT13" s="126" t="s">
        <v>462</v>
      </c>
      <c r="BU13" s="126" t="s">
        <v>466</v>
      </c>
      <c r="BV13" s="126" t="s">
        <v>466</v>
      </c>
      <c r="BW13" s="126" t="s">
        <v>462</v>
      </c>
      <c r="BX13" s="126" t="s">
        <v>466</v>
      </c>
      <c r="BY13" s="126" t="s">
        <v>466</v>
      </c>
      <c r="BZ13" s="126" t="s">
        <v>462</v>
      </c>
      <c r="CA13" s="126" t="s">
        <v>466</v>
      </c>
      <c r="CB13" s="126" t="s">
        <v>466</v>
      </c>
      <c r="CC13" s="126" t="s">
        <v>462</v>
      </c>
      <c r="CD13" s="126" t="s">
        <v>466</v>
      </c>
      <c r="CE13" s="126" t="s">
        <v>466</v>
      </c>
      <c r="CF13" s="126" t="s">
        <v>462</v>
      </c>
      <c r="CG13" s="126" t="s">
        <v>466</v>
      </c>
      <c r="CH13" s="126" t="s">
        <v>466</v>
      </c>
      <c r="CI13" s="126" t="s">
        <v>462</v>
      </c>
      <c r="CJ13" s="126" t="s">
        <v>466</v>
      </c>
      <c r="CK13" s="126" t="s">
        <v>466</v>
      </c>
      <c r="CL13" s="126" t="s">
        <v>462</v>
      </c>
      <c r="CM13" s="126" t="s">
        <v>466</v>
      </c>
      <c r="CN13" s="126" t="s">
        <v>466</v>
      </c>
      <c r="CO13" s="126" t="s">
        <v>462</v>
      </c>
      <c r="CP13" s="126" t="s">
        <v>466</v>
      </c>
      <c r="CQ13" s="126" t="s">
        <v>466</v>
      </c>
      <c r="CR13" s="126" t="s">
        <v>462</v>
      </c>
      <c r="CS13" s="126" t="s">
        <v>466</v>
      </c>
      <c r="CT13" s="126" t="s">
        <v>466</v>
      </c>
      <c r="CU13" s="126" t="s">
        <v>462</v>
      </c>
      <c r="CV13" s="126" t="s">
        <v>466</v>
      </c>
      <c r="CW13" s="126" t="s">
        <v>466</v>
      </c>
      <c r="CX13" s="126" t="s">
        <v>462</v>
      </c>
      <c r="CY13" s="126" t="s">
        <v>466</v>
      </c>
      <c r="CZ13" s="126" t="s">
        <v>466</v>
      </c>
      <c r="DA13" s="126" t="s">
        <v>462</v>
      </c>
      <c r="DB13" s="126" t="s">
        <v>466</v>
      </c>
      <c r="DC13" s="126" t="s">
        <v>466</v>
      </c>
      <c r="DD13" s="126" t="s">
        <v>462</v>
      </c>
      <c r="DE13" s="126" t="s">
        <v>466</v>
      </c>
      <c r="DF13" s="126" t="s">
        <v>466</v>
      </c>
      <c r="DG13" s="126" t="s">
        <v>462</v>
      </c>
      <c r="DH13" s="126" t="s">
        <v>466</v>
      </c>
      <c r="DI13" s="126" t="s">
        <v>466</v>
      </c>
      <c r="DJ13" s="126" t="s">
        <v>462</v>
      </c>
      <c r="DK13" s="126" t="s">
        <v>466</v>
      </c>
      <c r="DL13" s="126" t="s">
        <v>466</v>
      </c>
      <c r="DM13" s="126" t="s">
        <v>462</v>
      </c>
      <c r="DN13" s="126" t="s">
        <v>466</v>
      </c>
      <c r="DO13" s="126" t="s">
        <v>466</v>
      </c>
      <c r="DP13" s="126" t="s">
        <v>462</v>
      </c>
      <c r="DQ13" s="126" t="s">
        <v>466</v>
      </c>
      <c r="DR13" s="126"/>
      <c r="DS13" s="68"/>
      <c r="DT13" s="68"/>
      <c r="DU13" s="68"/>
    </row>
    <row r="14" ht="15.0" customHeight="1" outlineLevel="1">
      <c r="A14" s="60">
        <v>6.0</v>
      </c>
      <c r="B14" s="747" t="s">
        <v>467</v>
      </c>
      <c r="C14" s="747" t="s">
        <v>468</v>
      </c>
      <c r="D14" s="71" t="s">
        <v>85</v>
      </c>
      <c r="E14" s="146" t="s">
        <v>469</v>
      </c>
      <c r="F14" s="72">
        <v>1102.0</v>
      </c>
      <c r="G14" s="139" t="s">
        <v>86</v>
      </c>
      <c r="H14" s="139">
        <v>1130.0</v>
      </c>
      <c r="I14" s="126" t="str">
        <f>IFERROR(VLOOKUP(C11:C153,'R22 RELATÓRIO ACC'!B:F,5,FALSE),"NOT PUBLISHED")</f>
        <v>NOT PUBLISHED</v>
      </c>
      <c r="J14" s="126" t="str">
        <f>IFERROR(VLOOKUP(C11:C153,'R22 RELATÓRIO ACC'!B:P,15,FALSE),"NOT PUBLISHED")</f>
        <v>NOT PUBLISHED</v>
      </c>
      <c r="K14" s="746" t="str">
        <f>IFERROR(VLOOKUP(B11:B153,'RELATÓRIO ACC'!B:F,5,FALSE),"NOT PUBLISHED")</f>
        <v>NOT PUBLISHED</v>
      </c>
      <c r="L14" s="748" t="str">
        <f>IFERROR(VLOOKUP(B11:B153,'RELATÓRIO ACC'!B:P,15,FALSE),"NOT PUBLISHED")</f>
        <v>NOT PUBLISHED</v>
      </c>
      <c r="M14" s="141" t="s">
        <v>466</v>
      </c>
      <c r="N14" s="749" t="s">
        <v>466</v>
      </c>
      <c r="O14" s="740" t="s">
        <v>466</v>
      </c>
      <c r="P14" s="1043"/>
      <c r="Q14" s="746" t="s">
        <v>466</v>
      </c>
      <c r="R14" s="74" t="s">
        <v>462</v>
      </c>
      <c r="S14" s="1037" t="s">
        <v>466</v>
      </c>
      <c r="T14" s="746" t="s">
        <v>466</v>
      </c>
      <c r="U14" s="74" t="s">
        <v>462</v>
      </c>
      <c r="V14" s="1037" t="s">
        <v>466</v>
      </c>
      <c r="W14" s="746" t="s">
        <v>466</v>
      </c>
      <c r="X14" s="74" t="s">
        <v>462</v>
      </c>
      <c r="Y14" s="1037" t="s">
        <v>466</v>
      </c>
      <c r="Z14" s="746" t="s">
        <v>466</v>
      </c>
      <c r="AA14" s="74" t="s">
        <v>462</v>
      </c>
      <c r="AB14" s="1037" t="s">
        <v>466</v>
      </c>
      <c r="AC14" s="746" t="s">
        <v>466</v>
      </c>
      <c r="AD14" s="74" t="s">
        <v>462</v>
      </c>
      <c r="AE14" s="746" t="s">
        <v>466</v>
      </c>
      <c r="AF14" s="746" t="s">
        <v>466</v>
      </c>
      <c r="AG14" s="74" t="s">
        <v>462</v>
      </c>
      <c r="AH14" s="746" t="s">
        <v>466</v>
      </c>
      <c r="AI14" s="746" t="s">
        <v>466</v>
      </c>
      <c r="AJ14" s="74" t="s">
        <v>462</v>
      </c>
      <c r="AK14" s="746" t="s">
        <v>466</v>
      </c>
      <c r="AL14" s="746" t="s">
        <v>466</v>
      </c>
      <c r="AM14" s="74" t="s">
        <v>462</v>
      </c>
      <c r="AN14" s="746" t="s">
        <v>466</v>
      </c>
      <c r="AO14" s="746" t="s">
        <v>466</v>
      </c>
      <c r="AP14" s="74" t="s">
        <v>462</v>
      </c>
      <c r="AQ14" s="746" t="s">
        <v>466</v>
      </c>
      <c r="AR14" s="746" t="s">
        <v>466</v>
      </c>
      <c r="AS14" s="74" t="s">
        <v>462</v>
      </c>
      <c r="AT14" s="746" t="s">
        <v>466</v>
      </c>
      <c r="AU14" s="746" t="s">
        <v>466</v>
      </c>
      <c r="AV14" s="74" t="s">
        <v>462</v>
      </c>
      <c r="AW14" s="746" t="s">
        <v>466</v>
      </c>
      <c r="AX14" s="746" t="s">
        <v>466</v>
      </c>
      <c r="AY14" s="74" t="s">
        <v>462</v>
      </c>
      <c r="AZ14" s="746" t="s">
        <v>466</v>
      </c>
      <c r="BA14" s="746" t="s">
        <v>466</v>
      </c>
      <c r="BB14" s="74" t="s">
        <v>462</v>
      </c>
      <c r="BC14" s="746" t="s">
        <v>466</v>
      </c>
      <c r="BD14" s="746" t="s">
        <v>466</v>
      </c>
      <c r="BE14" s="74" t="s">
        <v>462</v>
      </c>
      <c r="BF14" s="746" t="s">
        <v>466</v>
      </c>
      <c r="BG14" s="746" t="s">
        <v>466</v>
      </c>
      <c r="BH14" s="74" t="s">
        <v>462</v>
      </c>
      <c r="BI14" s="746" t="s">
        <v>466</v>
      </c>
      <c r="BJ14" s="746" t="s">
        <v>466</v>
      </c>
      <c r="BK14" s="74" t="s">
        <v>462</v>
      </c>
      <c r="BL14" s="746" t="s">
        <v>466</v>
      </c>
      <c r="BM14" s="746" t="s">
        <v>466</v>
      </c>
      <c r="BN14" s="74" t="s">
        <v>462</v>
      </c>
      <c r="BO14" s="746" t="s">
        <v>466</v>
      </c>
      <c r="BP14" s="746" t="s">
        <v>466</v>
      </c>
      <c r="BQ14" s="74" t="s">
        <v>462</v>
      </c>
      <c r="BR14" s="746" t="s">
        <v>466</v>
      </c>
      <c r="BS14" s="746" t="s">
        <v>466</v>
      </c>
      <c r="BT14" s="74" t="s">
        <v>462</v>
      </c>
      <c r="BU14" s="746" t="s">
        <v>466</v>
      </c>
      <c r="BV14" s="746" t="s">
        <v>466</v>
      </c>
      <c r="BW14" s="74" t="s">
        <v>462</v>
      </c>
      <c r="BX14" s="746" t="s">
        <v>466</v>
      </c>
      <c r="BY14" s="746" t="s">
        <v>466</v>
      </c>
      <c r="BZ14" s="74" t="s">
        <v>462</v>
      </c>
      <c r="CA14" s="746" t="s">
        <v>466</v>
      </c>
      <c r="CB14" s="746" t="s">
        <v>466</v>
      </c>
      <c r="CC14" s="74" t="s">
        <v>462</v>
      </c>
      <c r="CD14" s="746" t="s">
        <v>466</v>
      </c>
      <c r="CE14" s="746" t="s">
        <v>466</v>
      </c>
      <c r="CF14" s="74" t="s">
        <v>462</v>
      </c>
      <c r="CG14" s="746" t="s">
        <v>466</v>
      </c>
      <c r="CH14" s="746" t="s">
        <v>466</v>
      </c>
      <c r="CI14" s="74" t="s">
        <v>462</v>
      </c>
      <c r="CJ14" s="746" t="s">
        <v>466</v>
      </c>
      <c r="CK14" s="746" t="s">
        <v>466</v>
      </c>
      <c r="CL14" s="74" t="s">
        <v>462</v>
      </c>
      <c r="CM14" s="746" t="s">
        <v>466</v>
      </c>
      <c r="CN14" s="746" t="s">
        <v>466</v>
      </c>
      <c r="CO14" s="74" t="s">
        <v>462</v>
      </c>
      <c r="CP14" s="746" t="s">
        <v>466</v>
      </c>
      <c r="CQ14" s="746" t="s">
        <v>466</v>
      </c>
      <c r="CR14" s="74" t="s">
        <v>462</v>
      </c>
      <c r="CS14" s="746" t="s">
        <v>466</v>
      </c>
      <c r="CT14" s="746" t="s">
        <v>466</v>
      </c>
      <c r="CU14" s="74" t="s">
        <v>462</v>
      </c>
      <c r="CV14" s="746" t="s">
        <v>466</v>
      </c>
      <c r="CW14" s="746" t="s">
        <v>466</v>
      </c>
      <c r="CX14" s="74" t="s">
        <v>462</v>
      </c>
      <c r="CY14" s="746" t="s">
        <v>466</v>
      </c>
      <c r="CZ14" s="746" t="s">
        <v>466</v>
      </c>
      <c r="DA14" s="74" t="s">
        <v>462</v>
      </c>
      <c r="DB14" s="746" t="s">
        <v>466</v>
      </c>
      <c r="DC14" s="746" t="s">
        <v>466</v>
      </c>
      <c r="DD14" s="74" t="s">
        <v>462</v>
      </c>
      <c r="DE14" s="746" t="s">
        <v>466</v>
      </c>
      <c r="DF14" s="746" t="s">
        <v>466</v>
      </c>
      <c r="DG14" s="74" t="s">
        <v>462</v>
      </c>
      <c r="DH14" s="746" t="s">
        <v>466</v>
      </c>
      <c r="DI14" s="746" t="s">
        <v>466</v>
      </c>
      <c r="DJ14" s="74" t="s">
        <v>462</v>
      </c>
      <c r="DK14" s="746" t="s">
        <v>466</v>
      </c>
      <c r="DL14" s="746" t="s">
        <v>466</v>
      </c>
      <c r="DM14" s="74" t="s">
        <v>462</v>
      </c>
      <c r="DN14" s="746" t="s">
        <v>466</v>
      </c>
      <c r="DO14" s="746" t="s">
        <v>466</v>
      </c>
      <c r="DP14" s="74" t="s">
        <v>462</v>
      </c>
      <c r="DQ14" s="746" t="s">
        <v>466</v>
      </c>
      <c r="DR14" s="126"/>
      <c r="DS14" s="68"/>
      <c r="DT14" s="68"/>
      <c r="DU14" s="68"/>
    </row>
    <row r="15" ht="15.0" customHeight="1" outlineLevel="1">
      <c r="A15" s="60">
        <v>10.0</v>
      </c>
      <c r="B15" s="747" t="s">
        <v>95</v>
      </c>
      <c r="C15" s="747" t="s">
        <v>96</v>
      </c>
      <c r="D15" s="71" t="s">
        <v>85</v>
      </c>
      <c r="E15" s="138" t="s">
        <v>97</v>
      </c>
      <c r="F15" s="125"/>
      <c r="G15" s="147" t="s">
        <v>97</v>
      </c>
      <c r="H15" s="139"/>
      <c r="I15" s="126" t="str">
        <f>IFERROR(VLOOKUP(C12:C154,'R22 RELATÓRIO ACC'!B:F,5,FALSE),"NOT PUBLISHED")</f>
        <v>NOT PUBLISHED</v>
      </c>
      <c r="J15" s="126" t="str">
        <f>IFERROR(VLOOKUP(C12:C154,'R22 RELATÓRIO ACC'!B:P,15,FALSE),"NOT PUBLISHED")</f>
        <v>NOT PUBLISHED</v>
      </c>
      <c r="K15" s="746" t="str">
        <f>IFERROR(VLOOKUP(B12:B154,'RELATÓRIO ACC'!B:F,5,FALSE),"NOT PUBLISHED")</f>
        <v>NOT PUBLISHED</v>
      </c>
      <c r="L15" s="748" t="str">
        <f>IFERROR(VLOOKUP(B12:B154,'RELATÓRIO ACC'!B:P,15,FALSE),"NOT PUBLISHED")</f>
        <v>NOT PUBLISHED</v>
      </c>
      <c r="M15" s="141" t="s">
        <v>466</v>
      </c>
      <c r="N15" s="749" t="s">
        <v>466</v>
      </c>
      <c r="O15" s="740" t="s">
        <v>466</v>
      </c>
      <c r="P15" s="1043"/>
      <c r="Q15" s="746" t="s">
        <v>466</v>
      </c>
      <c r="R15" s="74" t="s">
        <v>462</v>
      </c>
      <c r="S15" s="1037" t="s">
        <v>466</v>
      </c>
      <c r="T15" s="746" t="s">
        <v>466</v>
      </c>
      <c r="U15" s="749" t="s">
        <v>462</v>
      </c>
      <c r="V15" s="68" t="s">
        <v>466</v>
      </c>
      <c r="W15" s="746" t="s">
        <v>466</v>
      </c>
      <c r="X15" s="749" t="s">
        <v>462</v>
      </c>
      <c r="Y15" s="68" t="s">
        <v>466</v>
      </c>
      <c r="Z15" s="746" t="s">
        <v>466</v>
      </c>
      <c r="AA15" s="74" t="s">
        <v>462</v>
      </c>
      <c r="AB15" s="746" t="s">
        <v>466</v>
      </c>
      <c r="AC15" s="746" t="s">
        <v>466</v>
      </c>
      <c r="AD15" s="74" t="s">
        <v>462</v>
      </c>
      <c r="AE15" s="746" t="s">
        <v>466</v>
      </c>
      <c r="AF15" s="746" t="s">
        <v>466</v>
      </c>
      <c r="AG15" s="74" t="s">
        <v>462</v>
      </c>
      <c r="AH15" s="746" t="s">
        <v>466</v>
      </c>
      <c r="AI15" s="746" t="s">
        <v>466</v>
      </c>
      <c r="AJ15" s="74" t="s">
        <v>462</v>
      </c>
      <c r="AK15" s="746" t="s">
        <v>466</v>
      </c>
      <c r="AL15" s="746" t="s">
        <v>466</v>
      </c>
      <c r="AM15" s="74" t="s">
        <v>462</v>
      </c>
      <c r="AN15" s="746" t="s">
        <v>466</v>
      </c>
      <c r="AO15" s="746" t="s">
        <v>466</v>
      </c>
      <c r="AP15" s="74" t="s">
        <v>462</v>
      </c>
      <c r="AQ15" s="746" t="s">
        <v>466</v>
      </c>
      <c r="AR15" s="746" t="s">
        <v>466</v>
      </c>
      <c r="AS15" s="74" t="s">
        <v>462</v>
      </c>
      <c r="AT15" s="746" t="s">
        <v>466</v>
      </c>
      <c r="AU15" s="746" t="s">
        <v>466</v>
      </c>
      <c r="AV15" s="74" t="s">
        <v>462</v>
      </c>
      <c r="AW15" s="746" t="s">
        <v>466</v>
      </c>
      <c r="AX15" s="746" t="s">
        <v>466</v>
      </c>
      <c r="AY15" s="74" t="s">
        <v>462</v>
      </c>
      <c r="AZ15" s="746" t="s">
        <v>466</v>
      </c>
      <c r="BA15" s="746" t="s">
        <v>466</v>
      </c>
      <c r="BB15" s="74" t="s">
        <v>462</v>
      </c>
      <c r="BC15" s="746" t="s">
        <v>466</v>
      </c>
      <c r="BD15" s="746" t="s">
        <v>466</v>
      </c>
      <c r="BE15" s="74" t="s">
        <v>462</v>
      </c>
      <c r="BF15" s="746" t="s">
        <v>466</v>
      </c>
      <c r="BG15" s="746" t="s">
        <v>466</v>
      </c>
      <c r="BH15" s="74" t="s">
        <v>462</v>
      </c>
      <c r="BI15" s="746" t="s">
        <v>466</v>
      </c>
      <c r="BJ15" s="746" t="s">
        <v>466</v>
      </c>
      <c r="BK15" s="74" t="s">
        <v>462</v>
      </c>
      <c r="BL15" s="746" t="s">
        <v>466</v>
      </c>
      <c r="BM15" s="746" t="s">
        <v>466</v>
      </c>
      <c r="BN15" s="74" t="s">
        <v>462</v>
      </c>
      <c r="BO15" s="746" t="s">
        <v>466</v>
      </c>
      <c r="BP15" s="746" t="s">
        <v>466</v>
      </c>
      <c r="BQ15" s="74" t="s">
        <v>462</v>
      </c>
      <c r="BR15" s="746" t="s">
        <v>466</v>
      </c>
      <c r="BS15" s="746" t="s">
        <v>466</v>
      </c>
      <c r="BT15" s="74" t="s">
        <v>462</v>
      </c>
      <c r="BU15" s="746" t="s">
        <v>466</v>
      </c>
      <c r="BV15" s="746" t="s">
        <v>466</v>
      </c>
      <c r="BW15" s="74" t="s">
        <v>462</v>
      </c>
      <c r="BX15" s="746" t="s">
        <v>466</v>
      </c>
      <c r="BY15" s="746" t="s">
        <v>466</v>
      </c>
      <c r="BZ15" s="74" t="s">
        <v>462</v>
      </c>
      <c r="CA15" s="746" t="s">
        <v>466</v>
      </c>
      <c r="CB15" s="746" t="s">
        <v>466</v>
      </c>
      <c r="CC15" s="74" t="s">
        <v>462</v>
      </c>
      <c r="CD15" s="746" t="s">
        <v>466</v>
      </c>
      <c r="CE15" s="746" t="s">
        <v>466</v>
      </c>
      <c r="CF15" s="74" t="s">
        <v>462</v>
      </c>
      <c r="CG15" s="746" t="s">
        <v>466</v>
      </c>
      <c r="CH15" s="746" t="s">
        <v>466</v>
      </c>
      <c r="CI15" s="74" t="s">
        <v>462</v>
      </c>
      <c r="CJ15" s="746" t="s">
        <v>466</v>
      </c>
      <c r="CK15" s="746" t="s">
        <v>466</v>
      </c>
      <c r="CL15" s="74" t="s">
        <v>462</v>
      </c>
      <c r="CM15" s="746" t="s">
        <v>466</v>
      </c>
      <c r="CN15" s="746" t="s">
        <v>466</v>
      </c>
      <c r="CO15" s="74" t="s">
        <v>462</v>
      </c>
      <c r="CP15" s="746" t="s">
        <v>466</v>
      </c>
      <c r="CQ15" s="746" t="s">
        <v>466</v>
      </c>
      <c r="CR15" s="74" t="s">
        <v>462</v>
      </c>
      <c r="CS15" s="746" t="s">
        <v>466</v>
      </c>
      <c r="CT15" s="746" t="s">
        <v>466</v>
      </c>
      <c r="CU15" s="74" t="s">
        <v>462</v>
      </c>
      <c r="CV15" s="746" t="s">
        <v>466</v>
      </c>
      <c r="CW15" s="746" t="s">
        <v>466</v>
      </c>
      <c r="CX15" s="74" t="s">
        <v>462</v>
      </c>
      <c r="CY15" s="746" t="s">
        <v>466</v>
      </c>
      <c r="CZ15" s="746" t="s">
        <v>466</v>
      </c>
      <c r="DA15" s="74" t="s">
        <v>462</v>
      </c>
      <c r="DB15" s="746" t="s">
        <v>466</v>
      </c>
      <c r="DC15" s="746" t="s">
        <v>466</v>
      </c>
      <c r="DD15" s="74" t="s">
        <v>462</v>
      </c>
      <c r="DE15" s="746" t="s">
        <v>466</v>
      </c>
      <c r="DF15" s="746" t="s">
        <v>466</v>
      </c>
      <c r="DG15" s="74" t="s">
        <v>462</v>
      </c>
      <c r="DH15" s="746" t="s">
        <v>466</v>
      </c>
      <c r="DI15" s="746" t="s">
        <v>466</v>
      </c>
      <c r="DJ15" s="74" t="s">
        <v>462</v>
      </c>
      <c r="DK15" s="746" t="s">
        <v>466</v>
      </c>
      <c r="DL15" s="746" t="s">
        <v>466</v>
      </c>
      <c r="DM15" s="74" t="s">
        <v>462</v>
      </c>
      <c r="DN15" s="746" t="s">
        <v>466</v>
      </c>
      <c r="DO15" s="746" t="s">
        <v>466</v>
      </c>
      <c r="DP15" s="74" t="s">
        <v>462</v>
      </c>
      <c r="DQ15" s="746" t="s">
        <v>466</v>
      </c>
      <c r="DR15" s="126"/>
      <c r="DS15" s="68"/>
      <c r="DT15" s="68"/>
      <c r="DU15" s="68"/>
    </row>
    <row r="16" ht="15.0" customHeight="1" outlineLevel="1">
      <c r="A16" s="60">
        <v>16.0</v>
      </c>
      <c r="B16" s="747" t="s">
        <v>112</v>
      </c>
      <c r="C16" s="747" t="s">
        <v>113</v>
      </c>
      <c r="D16" s="71" t="s">
        <v>85</v>
      </c>
      <c r="E16" s="138" t="s">
        <v>114</v>
      </c>
      <c r="F16" s="754">
        <v>1106.0</v>
      </c>
      <c r="G16" s="139" t="s">
        <v>115</v>
      </c>
      <c r="H16" s="150">
        <v>0.0</v>
      </c>
      <c r="I16" s="126" t="str">
        <f>IFERROR(VLOOKUP(C13:C155,'R22 RELATÓRIO ACC'!B:F,5,FALSE),"NOT PUBLISHED")</f>
        <v>NOT PUBLISHED</v>
      </c>
      <c r="J16" s="126" t="str">
        <f>IFERROR(VLOOKUP(C13:C155,'R22 RELATÓRIO ACC'!B:P,15,FALSE),"NOT PUBLISHED")</f>
        <v>NOT PUBLISHED</v>
      </c>
      <c r="K16" s="746" t="str">
        <f>IFERROR(VLOOKUP(B13:B155,'RELATÓRIO ACC'!B:F,5,FALSE),"NOT PUBLISHED")</f>
        <v>NOT PUBLISHED</v>
      </c>
      <c r="L16" s="748" t="str">
        <f>IFERROR(VLOOKUP(B13:B155,'RELATÓRIO ACC'!B:P,15,FALSE),"NOT PUBLISHED")</f>
        <v>NOT PUBLISHED</v>
      </c>
      <c r="M16" s="141" t="s">
        <v>466</v>
      </c>
      <c r="N16" s="141" t="s">
        <v>466</v>
      </c>
      <c r="O16" s="1042" t="s">
        <v>466</v>
      </c>
      <c r="P16" s="1043"/>
      <c r="Q16" s="746" t="s">
        <v>466</v>
      </c>
      <c r="R16" s="74" t="s">
        <v>462</v>
      </c>
      <c r="S16" s="746" t="s">
        <v>466</v>
      </c>
      <c r="T16" s="746" t="s">
        <v>466</v>
      </c>
      <c r="U16" s="749" t="s">
        <v>462</v>
      </c>
      <c r="V16" s="746" t="s">
        <v>466</v>
      </c>
      <c r="W16" s="746" t="s">
        <v>466</v>
      </c>
      <c r="X16" s="749" t="s">
        <v>462</v>
      </c>
      <c r="Y16" s="746" t="s">
        <v>466</v>
      </c>
      <c r="Z16" s="746" t="s">
        <v>466</v>
      </c>
      <c r="AA16" s="74" t="s">
        <v>462</v>
      </c>
      <c r="AB16" s="746" t="s">
        <v>466</v>
      </c>
      <c r="AC16" s="68" t="s">
        <v>466</v>
      </c>
      <c r="AD16" s="68" t="s">
        <v>462</v>
      </c>
      <c r="AE16" s="746" t="s">
        <v>466</v>
      </c>
      <c r="AF16" s="746" t="s">
        <v>466</v>
      </c>
      <c r="AG16" s="68" t="s">
        <v>462</v>
      </c>
      <c r="AH16" s="746" t="s">
        <v>466</v>
      </c>
      <c r="AI16" s="746" t="s">
        <v>466</v>
      </c>
      <c r="AJ16" s="68" t="s">
        <v>462</v>
      </c>
      <c r="AK16" s="746" t="s">
        <v>466</v>
      </c>
      <c r="AL16" s="746" t="s">
        <v>466</v>
      </c>
      <c r="AM16" s="68" t="s">
        <v>462</v>
      </c>
      <c r="AN16" s="746" t="s">
        <v>466</v>
      </c>
      <c r="AO16" s="746" t="s">
        <v>466</v>
      </c>
      <c r="AP16" s="68" t="s">
        <v>462</v>
      </c>
      <c r="AQ16" s="746" t="s">
        <v>466</v>
      </c>
      <c r="AR16" s="746" t="s">
        <v>466</v>
      </c>
      <c r="AS16" s="68" t="s">
        <v>462</v>
      </c>
      <c r="AT16" s="746" t="s">
        <v>466</v>
      </c>
      <c r="AU16" s="746" t="s">
        <v>466</v>
      </c>
      <c r="AV16" s="68" t="s">
        <v>462</v>
      </c>
      <c r="AW16" s="746" t="s">
        <v>466</v>
      </c>
      <c r="AX16" s="746" t="s">
        <v>466</v>
      </c>
      <c r="AY16" s="68" t="s">
        <v>462</v>
      </c>
      <c r="AZ16" s="746" t="s">
        <v>466</v>
      </c>
      <c r="BA16" s="746" t="s">
        <v>466</v>
      </c>
      <c r="BB16" s="68" t="s">
        <v>462</v>
      </c>
      <c r="BC16" s="746" t="s">
        <v>466</v>
      </c>
      <c r="BD16" s="746" t="s">
        <v>466</v>
      </c>
      <c r="BE16" s="68" t="s">
        <v>462</v>
      </c>
      <c r="BF16" s="746" t="s">
        <v>466</v>
      </c>
      <c r="BG16" s="746" t="s">
        <v>466</v>
      </c>
      <c r="BH16" s="68" t="s">
        <v>462</v>
      </c>
      <c r="BI16" s="746" t="s">
        <v>466</v>
      </c>
      <c r="BJ16" s="746" t="s">
        <v>466</v>
      </c>
      <c r="BK16" s="68" t="s">
        <v>462</v>
      </c>
      <c r="BL16" s="746" t="s">
        <v>466</v>
      </c>
      <c r="BM16" s="746" t="s">
        <v>466</v>
      </c>
      <c r="BN16" s="68" t="s">
        <v>462</v>
      </c>
      <c r="BO16" s="746" t="s">
        <v>466</v>
      </c>
      <c r="BP16" s="746" t="s">
        <v>466</v>
      </c>
      <c r="BQ16" s="68" t="s">
        <v>462</v>
      </c>
      <c r="BR16" s="746" t="s">
        <v>466</v>
      </c>
      <c r="BS16" s="746" t="s">
        <v>466</v>
      </c>
      <c r="BT16" s="68" t="s">
        <v>462</v>
      </c>
      <c r="BU16" s="746" t="s">
        <v>466</v>
      </c>
      <c r="BV16" s="746" t="s">
        <v>466</v>
      </c>
      <c r="BW16" s="68" t="s">
        <v>462</v>
      </c>
      <c r="BX16" s="746" t="s">
        <v>466</v>
      </c>
      <c r="BY16" s="746" t="s">
        <v>466</v>
      </c>
      <c r="BZ16" s="68" t="s">
        <v>462</v>
      </c>
      <c r="CA16" s="746" t="s">
        <v>466</v>
      </c>
      <c r="CB16" s="746" t="s">
        <v>466</v>
      </c>
      <c r="CC16" s="68" t="s">
        <v>462</v>
      </c>
      <c r="CD16" s="746" t="s">
        <v>466</v>
      </c>
      <c r="CE16" s="746" t="s">
        <v>466</v>
      </c>
      <c r="CF16" s="68" t="s">
        <v>462</v>
      </c>
      <c r="CG16" s="746" t="s">
        <v>466</v>
      </c>
      <c r="CH16" s="746" t="s">
        <v>466</v>
      </c>
      <c r="CI16" s="68" t="s">
        <v>462</v>
      </c>
      <c r="CJ16" s="746" t="s">
        <v>466</v>
      </c>
      <c r="CK16" s="746" t="s">
        <v>466</v>
      </c>
      <c r="CL16" s="68" t="s">
        <v>462</v>
      </c>
      <c r="CM16" s="746" t="s">
        <v>466</v>
      </c>
      <c r="CN16" s="746" t="s">
        <v>466</v>
      </c>
      <c r="CO16" s="68" t="s">
        <v>462</v>
      </c>
      <c r="CP16" s="746" t="s">
        <v>466</v>
      </c>
      <c r="CQ16" s="746" t="s">
        <v>466</v>
      </c>
      <c r="CR16" s="68" t="s">
        <v>462</v>
      </c>
      <c r="CS16" s="746" t="s">
        <v>466</v>
      </c>
      <c r="CT16" s="746" t="s">
        <v>466</v>
      </c>
      <c r="CU16" s="68" t="s">
        <v>462</v>
      </c>
      <c r="CV16" s="746" t="s">
        <v>466</v>
      </c>
      <c r="CW16" s="746" t="s">
        <v>466</v>
      </c>
      <c r="CX16" s="68" t="s">
        <v>462</v>
      </c>
      <c r="CY16" s="746" t="s">
        <v>466</v>
      </c>
      <c r="CZ16" s="746" t="s">
        <v>466</v>
      </c>
      <c r="DA16" s="68" t="s">
        <v>462</v>
      </c>
      <c r="DB16" s="746" t="s">
        <v>466</v>
      </c>
      <c r="DC16" s="746" t="s">
        <v>466</v>
      </c>
      <c r="DD16" s="68" t="s">
        <v>462</v>
      </c>
      <c r="DE16" s="746" t="s">
        <v>466</v>
      </c>
      <c r="DF16" s="746" t="s">
        <v>466</v>
      </c>
      <c r="DG16" s="68" t="s">
        <v>462</v>
      </c>
      <c r="DH16" s="746" t="s">
        <v>466</v>
      </c>
      <c r="DI16" s="746" t="s">
        <v>466</v>
      </c>
      <c r="DJ16" s="68" t="s">
        <v>462</v>
      </c>
      <c r="DK16" s="746" t="s">
        <v>466</v>
      </c>
      <c r="DL16" s="746" t="s">
        <v>466</v>
      </c>
      <c r="DM16" s="68" t="s">
        <v>462</v>
      </c>
      <c r="DN16" s="746" t="s">
        <v>466</v>
      </c>
      <c r="DO16" s="746" t="s">
        <v>466</v>
      </c>
      <c r="DP16" s="68" t="s">
        <v>462</v>
      </c>
      <c r="DQ16" s="746" t="s">
        <v>466</v>
      </c>
      <c r="DR16" s="126"/>
      <c r="DS16" s="68"/>
      <c r="DT16" s="68"/>
      <c r="DU16" s="68"/>
    </row>
    <row r="17" ht="15.0" customHeight="1" outlineLevel="1">
      <c r="A17" s="60">
        <v>18.0</v>
      </c>
      <c r="B17" s="747" t="s">
        <v>116</v>
      </c>
      <c r="C17" s="747" t="s">
        <v>117</v>
      </c>
      <c r="D17" s="71" t="s">
        <v>85</v>
      </c>
      <c r="E17" s="146" t="s">
        <v>118</v>
      </c>
      <c r="F17" s="754">
        <v>1107.0</v>
      </c>
      <c r="G17" s="147" t="s">
        <v>119</v>
      </c>
      <c r="H17" s="150">
        <v>0.0</v>
      </c>
      <c r="I17" s="126" t="str">
        <f>IFERROR(VLOOKUP(C14:C156,'R22 RELATÓRIO ACC'!B:F,5,FALSE),"NOT PUBLISHED")</f>
        <v>NOT PUBLISHED</v>
      </c>
      <c r="J17" s="126" t="str">
        <f>IFERROR(VLOOKUP(C14:C156,'R22 RELATÓRIO ACC'!B:P,15,FALSE),"NOT PUBLISHED")</f>
        <v>NOT PUBLISHED</v>
      </c>
      <c r="K17" s="746" t="str">
        <f>IFERROR(VLOOKUP(B14:B156,'RELATÓRIO ACC'!B:F,5,FALSE),"NOT PUBLISHED")</f>
        <v>NOT PUBLISHED</v>
      </c>
      <c r="L17" s="748" t="str">
        <f>IFERROR(VLOOKUP(B14:B156,'RELATÓRIO ACC'!B:P,15,FALSE),"NOT PUBLISHED")</f>
        <v>NOT PUBLISHED</v>
      </c>
      <c r="M17" s="141" t="s">
        <v>466</v>
      </c>
      <c r="N17" s="749" t="s">
        <v>466</v>
      </c>
      <c r="O17" s="1042" t="s">
        <v>466</v>
      </c>
      <c r="P17" s="1043"/>
      <c r="Q17" s="746" t="s">
        <v>466</v>
      </c>
      <c r="R17" s="74" t="s">
        <v>462</v>
      </c>
      <c r="S17" s="1037" t="s">
        <v>466</v>
      </c>
      <c r="T17" s="746" t="s">
        <v>466</v>
      </c>
      <c r="U17" s="74" t="s">
        <v>462</v>
      </c>
      <c r="V17" s="1037" t="s">
        <v>466</v>
      </c>
      <c r="W17" s="746" t="s">
        <v>466</v>
      </c>
      <c r="X17" s="74" t="s">
        <v>462</v>
      </c>
      <c r="Y17" s="1037" t="s">
        <v>466</v>
      </c>
      <c r="Z17" s="746" t="s">
        <v>466</v>
      </c>
      <c r="AA17" s="74" t="s">
        <v>462</v>
      </c>
      <c r="AB17" s="1037" t="s">
        <v>466</v>
      </c>
      <c r="AC17" s="746" t="s">
        <v>466</v>
      </c>
      <c r="AD17" s="68" t="s">
        <v>462</v>
      </c>
      <c r="AE17" s="68" t="s">
        <v>466</v>
      </c>
      <c r="AF17" s="746" t="s">
        <v>466</v>
      </c>
      <c r="AG17" s="68" t="s">
        <v>462</v>
      </c>
      <c r="AH17" s="68" t="s">
        <v>466</v>
      </c>
      <c r="AI17" s="746" t="s">
        <v>466</v>
      </c>
      <c r="AJ17" s="68" t="s">
        <v>462</v>
      </c>
      <c r="AK17" s="68" t="s">
        <v>466</v>
      </c>
      <c r="AL17" s="746" t="s">
        <v>466</v>
      </c>
      <c r="AM17" s="68" t="s">
        <v>462</v>
      </c>
      <c r="AN17" s="68" t="s">
        <v>466</v>
      </c>
      <c r="AO17" s="746" t="s">
        <v>466</v>
      </c>
      <c r="AP17" s="68" t="s">
        <v>462</v>
      </c>
      <c r="AQ17" s="68" t="s">
        <v>466</v>
      </c>
      <c r="AR17" s="68" t="s">
        <v>466</v>
      </c>
      <c r="AS17" s="68" t="s">
        <v>462</v>
      </c>
      <c r="AT17" s="68" t="s">
        <v>466</v>
      </c>
      <c r="AU17" s="68" t="s">
        <v>466</v>
      </c>
      <c r="AV17" s="68" t="s">
        <v>462</v>
      </c>
      <c r="AW17" s="68" t="s">
        <v>466</v>
      </c>
      <c r="AX17" s="68" t="s">
        <v>466</v>
      </c>
      <c r="AY17" s="68" t="s">
        <v>462</v>
      </c>
      <c r="AZ17" s="68" t="s">
        <v>466</v>
      </c>
      <c r="BA17" s="68" t="s">
        <v>466</v>
      </c>
      <c r="BB17" s="68" t="s">
        <v>462</v>
      </c>
      <c r="BC17" s="68" t="s">
        <v>466</v>
      </c>
      <c r="BD17" s="68" t="s">
        <v>466</v>
      </c>
      <c r="BE17" s="68" t="s">
        <v>462</v>
      </c>
      <c r="BF17" s="68" t="s">
        <v>466</v>
      </c>
      <c r="BG17" s="68" t="s">
        <v>466</v>
      </c>
      <c r="BH17" s="68" t="s">
        <v>462</v>
      </c>
      <c r="BI17" s="68" t="s">
        <v>466</v>
      </c>
      <c r="BJ17" s="68" t="s">
        <v>466</v>
      </c>
      <c r="BK17" s="68" t="s">
        <v>462</v>
      </c>
      <c r="BL17" s="68" t="s">
        <v>466</v>
      </c>
      <c r="BM17" s="68" t="s">
        <v>466</v>
      </c>
      <c r="BN17" s="68" t="s">
        <v>462</v>
      </c>
      <c r="BO17" s="68" t="s">
        <v>466</v>
      </c>
      <c r="BP17" s="68" t="s">
        <v>466</v>
      </c>
      <c r="BQ17" s="68" t="s">
        <v>462</v>
      </c>
      <c r="BR17" s="68" t="s">
        <v>466</v>
      </c>
      <c r="BS17" s="68" t="s">
        <v>466</v>
      </c>
      <c r="BT17" s="68" t="s">
        <v>462</v>
      </c>
      <c r="BU17" s="68" t="s">
        <v>466</v>
      </c>
      <c r="BV17" s="68" t="s">
        <v>466</v>
      </c>
      <c r="BW17" s="68" t="s">
        <v>462</v>
      </c>
      <c r="BX17" s="68" t="s">
        <v>466</v>
      </c>
      <c r="BY17" s="68" t="s">
        <v>466</v>
      </c>
      <c r="BZ17" s="68" t="s">
        <v>462</v>
      </c>
      <c r="CA17" s="68" t="s">
        <v>466</v>
      </c>
      <c r="CB17" s="68" t="s">
        <v>466</v>
      </c>
      <c r="CC17" s="68" t="s">
        <v>462</v>
      </c>
      <c r="CD17" s="68" t="s">
        <v>466</v>
      </c>
      <c r="CE17" s="68" t="s">
        <v>466</v>
      </c>
      <c r="CF17" s="68" t="s">
        <v>462</v>
      </c>
      <c r="CG17" s="68" t="s">
        <v>466</v>
      </c>
      <c r="CH17" s="68" t="s">
        <v>466</v>
      </c>
      <c r="CI17" s="68" t="s">
        <v>462</v>
      </c>
      <c r="CJ17" s="68" t="s">
        <v>466</v>
      </c>
      <c r="CK17" s="68" t="s">
        <v>466</v>
      </c>
      <c r="CL17" s="68" t="s">
        <v>462</v>
      </c>
      <c r="CM17" s="68" t="s">
        <v>466</v>
      </c>
      <c r="CN17" s="68" t="s">
        <v>466</v>
      </c>
      <c r="CO17" s="68" t="s">
        <v>462</v>
      </c>
      <c r="CP17" s="68" t="s">
        <v>466</v>
      </c>
      <c r="CQ17" s="68" t="s">
        <v>466</v>
      </c>
      <c r="CR17" s="68" t="s">
        <v>462</v>
      </c>
      <c r="CS17" s="68" t="s">
        <v>466</v>
      </c>
      <c r="CT17" s="68" t="s">
        <v>466</v>
      </c>
      <c r="CU17" s="68" t="s">
        <v>462</v>
      </c>
      <c r="CV17" s="68" t="s">
        <v>466</v>
      </c>
      <c r="CW17" s="68" t="s">
        <v>466</v>
      </c>
      <c r="CX17" s="68" t="s">
        <v>462</v>
      </c>
      <c r="CY17" s="68" t="s">
        <v>466</v>
      </c>
      <c r="CZ17" s="68" t="s">
        <v>466</v>
      </c>
      <c r="DA17" s="68" t="s">
        <v>462</v>
      </c>
      <c r="DB17" s="68" t="s">
        <v>466</v>
      </c>
      <c r="DC17" s="68" t="s">
        <v>466</v>
      </c>
      <c r="DD17" s="68" t="s">
        <v>462</v>
      </c>
      <c r="DE17" s="68" t="s">
        <v>466</v>
      </c>
      <c r="DF17" s="68" t="s">
        <v>466</v>
      </c>
      <c r="DG17" s="68" t="s">
        <v>462</v>
      </c>
      <c r="DH17" s="68" t="s">
        <v>466</v>
      </c>
      <c r="DI17" s="68" t="s">
        <v>466</v>
      </c>
      <c r="DJ17" s="68" t="s">
        <v>462</v>
      </c>
      <c r="DK17" s="68" t="s">
        <v>466</v>
      </c>
      <c r="DL17" s="68" t="s">
        <v>466</v>
      </c>
      <c r="DM17" s="68" t="s">
        <v>462</v>
      </c>
      <c r="DN17" s="68" t="s">
        <v>466</v>
      </c>
      <c r="DO17" s="68" t="s">
        <v>466</v>
      </c>
      <c r="DP17" s="68" t="s">
        <v>462</v>
      </c>
      <c r="DQ17" s="68" t="s">
        <v>466</v>
      </c>
      <c r="DR17" s="126"/>
      <c r="DS17" s="68"/>
      <c r="DT17" s="68"/>
      <c r="DU17" s="68"/>
    </row>
    <row r="18" ht="15.0" customHeight="1" outlineLevel="1">
      <c r="A18" s="60">
        <v>27.0</v>
      </c>
      <c r="B18" s="747" t="s">
        <v>147</v>
      </c>
      <c r="C18" s="747" t="s">
        <v>148</v>
      </c>
      <c r="D18" s="71" t="s">
        <v>85</v>
      </c>
      <c r="E18" s="146" t="s">
        <v>115</v>
      </c>
      <c r="F18" s="754">
        <v>0.0</v>
      </c>
      <c r="G18" s="150" t="s">
        <v>115</v>
      </c>
      <c r="H18" s="150">
        <v>0.0</v>
      </c>
      <c r="I18" s="126" t="str">
        <f>IFERROR(VLOOKUP(C15:C157,'R22 RELATÓRIO ACC'!B:F,5,FALSE),"NOT PUBLISHED")</f>
        <v>NOT PUBLISHED</v>
      </c>
      <c r="J18" s="126" t="str">
        <f>IFERROR(VLOOKUP(C15:C157,'R22 RELATÓRIO ACC'!B:P,15,FALSE),"NOT PUBLISHED")</f>
        <v>NOT PUBLISHED</v>
      </c>
      <c r="K18" s="746" t="str">
        <f>IFERROR(VLOOKUP(B15:B157,'RELATÓRIO ACC'!B:F,5,FALSE),"NOT PUBLISHED")</f>
        <v>NOT PUBLISHED</v>
      </c>
      <c r="L18" s="748" t="str">
        <f>IFERROR(VLOOKUP(B15:B157,'RELATÓRIO ACC'!B:P,15,FALSE),"NOT PUBLISHED")</f>
        <v>NOT PUBLISHED</v>
      </c>
      <c r="M18" s="141" t="s">
        <v>466</v>
      </c>
      <c r="N18" s="749" t="s">
        <v>466</v>
      </c>
      <c r="O18" s="1042" t="s">
        <v>466</v>
      </c>
      <c r="P18" s="1043"/>
      <c r="Q18" s="746" t="s">
        <v>466</v>
      </c>
      <c r="R18" s="74" t="s">
        <v>462</v>
      </c>
      <c r="S18" s="1037" t="s">
        <v>466</v>
      </c>
      <c r="T18" s="746" t="s">
        <v>466</v>
      </c>
      <c r="U18" s="749" t="s">
        <v>462</v>
      </c>
      <c r="V18" s="1037" t="s">
        <v>466</v>
      </c>
      <c r="W18" s="746" t="s">
        <v>466</v>
      </c>
      <c r="X18" s="74" t="s">
        <v>462</v>
      </c>
      <c r="Y18" s="1037" t="s">
        <v>466</v>
      </c>
      <c r="Z18" s="746" t="s">
        <v>466</v>
      </c>
      <c r="AA18" s="74" t="s">
        <v>462</v>
      </c>
      <c r="AB18" s="1037" t="s">
        <v>466</v>
      </c>
      <c r="AC18" s="68" t="s">
        <v>466</v>
      </c>
      <c r="AD18" s="68" t="s">
        <v>462</v>
      </c>
      <c r="AE18" s="68" t="s">
        <v>466</v>
      </c>
      <c r="AF18" s="746" t="s">
        <v>466</v>
      </c>
      <c r="AG18" s="74" t="s">
        <v>462</v>
      </c>
      <c r="AH18" s="746" t="s">
        <v>466</v>
      </c>
      <c r="AI18" s="746" t="s">
        <v>466</v>
      </c>
      <c r="AJ18" s="74" t="s">
        <v>462</v>
      </c>
      <c r="AK18" s="746" t="s">
        <v>466</v>
      </c>
      <c r="AL18" s="746" t="s">
        <v>466</v>
      </c>
      <c r="AM18" s="74" t="s">
        <v>462</v>
      </c>
      <c r="AN18" s="746" t="s">
        <v>466</v>
      </c>
      <c r="AO18" s="746" t="s">
        <v>466</v>
      </c>
      <c r="AP18" s="74" t="s">
        <v>462</v>
      </c>
      <c r="AQ18" s="746" t="s">
        <v>466</v>
      </c>
      <c r="AR18" s="746" t="s">
        <v>466</v>
      </c>
      <c r="AS18" s="74" t="s">
        <v>462</v>
      </c>
      <c r="AT18" s="746" t="s">
        <v>466</v>
      </c>
      <c r="AU18" s="746" t="s">
        <v>466</v>
      </c>
      <c r="AV18" s="74" t="s">
        <v>462</v>
      </c>
      <c r="AW18" s="746" t="s">
        <v>466</v>
      </c>
      <c r="AX18" s="746" t="s">
        <v>466</v>
      </c>
      <c r="AY18" s="74" t="s">
        <v>462</v>
      </c>
      <c r="AZ18" s="746" t="s">
        <v>466</v>
      </c>
      <c r="BA18" s="746" t="s">
        <v>466</v>
      </c>
      <c r="BB18" s="74" t="s">
        <v>462</v>
      </c>
      <c r="BC18" s="746" t="s">
        <v>466</v>
      </c>
      <c r="BD18" s="746" t="s">
        <v>466</v>
      </c>
      <c r="BE18" s="74" t="s">
        <v>462</v>
      </c>
      <c r="BF18" s="746" t="s">
        <v>466</v>
      </c>
      <c r="BG18" s="746" t="s">
        <v>466</v>
      </c>
      <c r="BH18" s="74" t="s">
        <v>462</v>
      </c>
      <c r="BI18" s="746" t="s">
        <v>466</v>
      </c>
      <c r="BJ18" s="746" t="s">
        <v>466</v>
      </c>
      <c r="BK18" s="74" t="s">
        <v>462</v>
      </c>
      <c r="BL18" s="746" t="s">
        <v>466</v>
      </c>
      <c r="BM18" s="746" t="s">
        <v>466</v>
      </c>
      <c r="BN18" s="74" t="s">
        <v>462</v>
      </c>
      <c r="BO18" s="746" t="s">
        <v>466</v>
      </c>
      <c r="BP18" s="746" t="s">
        <v>466</v>
      </c>
      <c r="BQ18" s="74" t="s">
        <v>462</v>
      </c>
      <c r="BR18" s="746" t="s">
        <v>466</v>
      </c>
      <c r="BS18" s="746" t="s">
        <v>466</v>
      </c>
      <c r="BT18" s="74" t="s">
        <v>462</v>
      </c>
      <c r="BU18" s="746" t="s">
        <v>466</v>
      </c>
      <c r="BV18" s="746" t="s">
        <v>466</v>
      </c>
      <c r="BW18" s="74" t="s">
        <v>462</v>
      </c>
      <c r="BX18" s="746" t="s">
        <v>466</v>
      </c>
      <c r="BY18" s="746" t="s">
        <v>466</v>
      </c>
      <c r="BZ18" s="74" t="s">
        <v>462</v>
      </c>
      <c r="CA18" s="746" t="s">
        <v>466</v>
      </c>
      <c r="CB18" s="746" t="s">
        <v>466</v>
      </c>
      <c r="CC18" s="74" t="s">
        <v>462</v>
      </c>
      <c r="CD18" s="746" t="s">
        <v>466</v>
      </c>
      <c r="CE18" s="746" t="s">
        <v>466</v>
      </c>
      <c r="CF18" s="74" t="s">
        <v>462</v>
      </c>
      <c r="CG18" s="746" t="s">
        <v>466</v>
      </c>
      <c r="CH18" s="746" t="s">
        <v>466</v>
      </c>
      <c r="CI18" s="74" t="s">
        <v>462</v>
      </c>
      <c r="CJ18" s="746" t="s">
        <v>466</v>
      </c>
      <c r="CK18" s="746" t="s">
        <v>466</v>
      </c>
      <c r="CL18" s="74" t="s">
        <v>462</v>
      </c>
      <c r="CM18" s="746" t="s">
        <v>466</v>
      </c>
      <c r="CN18" s="746" t="s">
        <v>466</v>
      </c>
      <c r="CO18" s="74" t="s">
        <v>462</v>
      </c>
      <c r="CP18" s="746" t="s">
        <v>466</v>
      </c>
      <c r="CQ18" s="746" t="s">
        <v>466</v>
      </c>
      <c r="CR18" s="74" t="s">
        <v>462</v>
      </c>
      <c r="CS18" s="746" t="s">
        <v>466</v>
      </c>
      <c r="CT18" s="746" t="s">
        <v>466</v>
      </c>
      <c r="CU18" s="74" t="s">
        <v>462</v>
      </c>
      <c r="CV18" s="746" t="s">
        <v>466</v>
      </c>
      <c r="CW18" s="746" t="s">
        <v>466</v>
      </c>
      <c r="CX18" s="74" t="s">
        <v>462</v>
      </c>
      <c r="CY18" s="746" t="s">
        <v>466</v>
      </c>
      <c r="CZ18" s="746" t="s">
        <v>466</v>
      </c>
      <c r="DA18" s="74" t="s">
        <v>462</v>
      </c>
      <c r="DB18" s="746" t="s">
        <v>466</v>
      </c>
      <c r="DC18" s="746" t="s">
        <v>466</v>
      </c>
      <c r="DD18" s="74" t="s">
        <v>462</v>
      </c>
      <c r="DE18" s="746" t="s">
        <v>466</v>
      </c>
      <c r="DF18" s="746" t="s">
        <v>466</v>
      </c>
      <c r="DG18" s="74" t="s">
        <v>462</v>
      </c>
      <c r="DH18" s="746" t="s">
        <v>466</v>
      </c>
      <c r="DI18" s="746" t="s">
        <v>466</v>
      </c>
      <c r="DJ18" s="74" t="s">
        <v>462</v>
      </c>
      <c r="DK18" s="746" t="s">
        <v>466</v>
      </c>
      <c r="DL18" s="746" t="s">
        <v>466</v>
      </c>
      <c r="DM18" s="74" t="s">
        <v>462</v>
      </c>
      <c r="DN18" s="746" t="s">
        <v>466</v>
      </c>
      <c r="DO18" s="746" t="s">
        <v>466</v>
      </c>
      <c r="DP18" s="74" t="s">
        <v>462</v>
      </c>
      <c r="DQ18" s="746" t="s">
        <v>466</v>
      </c>
      <c r="DR18" s="126"/>
      <c r="DS18" s="68"/>
      <c r="DT18" s="68"/>
      <c r="DU18" s="68"/>
    </row>
    <row r="19" ht="15.0" customHeight="1" outlineLevel="1">
      <c r="A19" s="60">
        <v>100.0</v>
      </c>
      <c r="B19" s="747" t="s">
        <v>304</v>
      </c>
      <c r="C19" s="747" t="s">
        <v>305</v>
      </c>
      <c r="D19" s="71" t="s">
        <v>85</v>
      </c>
      <c r="E19" s="146" t="s">
        <v>303</v>
      </c>
      <c r="F19" s="72">
        <v>1122.0</v>
      </c>
      <c r="G19" s="147" t="s">
        <v>288</v>
      </c>
      <c r="H19" s="150">
        <v>0.0</v>
      </c>
      <c r="I19" s="126" t="str">
        <f>IFERROR(VLOOKUP(C16:C158,'R22 RELATÓRIO ACC'!B:F,5,FALSE),"NOT PUBLISHED")</f>
        <v>NOT PUBLISHED</v>
      </c>
      <c r="J19" s="126" t="str">
        <f>IFERROR(VLOOKUP(C16:C158,'R22 RELATÓRIO ACC'!B:P,15,FALSE),"NOT PUBLISHED")</f>
        <v>NOT PUBLISHED</v>
      </c>
      <c r="K19" s="746" t="str">
        <f>IFERROR(VLOOKUP(B16:B158,'RELATÓRIO ACC'!B:F,5,FALSE),"NOT PUBLISHED")</f>
        <v>NOT PUBLISHED</v>
      </c>
      <c r="L19" s="748" t="str">
        <f>IFERROR(VLOOKUP(B16:B158,'RELATÓRIO ACC'!B:P,15,FALSE),"NOT PUBLISHED")</f>
        <v>NOT PUBLISHED</v>
      </c>
      <c r="M19" s="141" t="s">
        <v>466</v>
      </c>
      <c r="N19" s="141" t="s">
        <v>466</v>
      </c>
      <c r="O19" s="1042" t="s">
        <v>466</v>
      </c>
      <c r="P19" s="1043"/>
      <c r="Q19" s="746" t="s">
        <v>466</v>
      </c>
      <c r="R19" s="74" t="s">
        <v>462</v>
      </c>
      <c r="S19" s="1037" t="s">
        <v>466</v>
      </c>
      <c r="T19" s="746" t="s">
        <v>466</v>
      </c>
      <c r="U19" s="74" t="s">
        <v>462</v>
      </c>
      <c r="V19" s="1037" t="s">
        <v>466</v>
      </c>
      <c r="W19" s="746" t="s">
        <v>466</v>
      </c>
      <c r="X19" s="74" t="s">
        <v>462</v>
      </c>
      <c r="Y19" s="1037" t="s">
        <v>466</v>
      </c>
      <c r="Z19" s="746" t="s">
        <v>466</v>
      </c>
      <c r="AA19" s="74" t="s">
        <v>462</v>
      </c>
      <c r="AB19" s="1037" t="s">
        <v>466</v>
      </c>
      <c r="AC19" s="68" t="s">
        <v>466</v>
      </c>
      <c r="AD19" s="74" t="s">
        <v>462</v>
      </c>
      <c r="AE19" s="68" t="s">
        <v>466</v>
      </c>
      <c r="AF19" s="68" t="s">
        <v>466</v>
      </c>
      <c r="AG19" s="74" t="s">
        <v>462</v>
      </c>
      <c r="AH19" s="68" t="s">
        <v>466</v>
      </c>
      <c r="AI19" s="68" t="s">
        <v>466</v>
      </c>
      <c r="AJ19" s="74" t="s">
        <v>462</v>
      </c>
      <c r="AK19" s="68" t="s">
        <v>466</v>
      </c>
      <c r="AL19" s="68" t="s">
        <v>466</v>
      </c>
      <c r="AM19" s="74" t="s">
        <v>462</v>
      </c>
      <c r="AN19" s="68" t="s">
        <v>466</v>
      </c>
      <c r="AO19" s="68" t="s">
        <v>466</v>
      </c>
      <c r="AP19" s="74" t="s">
        <v>462</v>
      </c>
      <c r="AQ19" s="68" t="s">
        <v>466</v>
      </c>
      <c r="AR19" s="68" t="s">
        <v>466</v>
      </c>
      <c r="AS19" s="74" t="s">
        <v>462</v>
      </c>
      <c r="AT19" s="68" t="s">
        <v>466</v>
      </c>
      <c r="AU19" s="68" t="s">
        <v>466</v>
      </c>
      <c r="AV19" s="74" t="s">
        <v>462</v>
      </c>
      <c r="AW19" s="68" t="s">
        <v>466</v>
      </c>
      <c r="AX19" s="68" t="s">
        <v>466</v>
      </c>
      <c r="AY19" s="74" t="s">
        <v>462</v>
      </c>
      <c r="AZ19" s="68" t="s">
        <v>466</v>
      </c>
      <c r="BA19" s="68" t="s">
        <v>466</v>
      </c>
      <c r="BB19" s="74" t="s">
        <v>462</v>
      </c>
      <c r="BC19" s="68" t="s">
        <v>466</v>
      </c>
      <c r="BD19" s="68" t="s">
        <v>466</v>
      </c>
      <c r="BE19" s="74" t="s">
        <v>462</v>
      </c>
      <c r="BF19" s="68" t="s">
        <v>466</v>
      </c>
      <c r="BG19" s="68" t="s">
        <v>466</v>
      </c>
      <c r="BH19" s="74" t="s">
        <v>462</v>
      </c>
      <c r="BI19" s="68" t="s">
        <v>466</v>
      </c>
      <c r="BJ19" s="68" t="s">
        <v>466</v>
      </c>
      <c r="BK19" s="74" t="s">
        <v>462</v>
      </c>
      <c r="BL19" s="68" t="s">
        <v>466</v>
      </c>
      <c r="BM19" s="68" t="s">
        <v>466</v>
      </c>
      <c r="BN19" s="74" t="s">
        <v>462</v>
      </c>
      <c r="BO19" s="68" t="s">
        <v>466</v>
      </c>
      <c r="BP19" s="68" t="s">
        <v>466</v>
      </c>
      <c r="BQ19" s="74" t="s">
        <v>462</v>
      </c>
      <c r="BR19" s="68" t="s">
        <v>466</v>
      </c>
      <c r="BS19" s="68" t="s">
        <v>466</v>
      </c>
      <c r="BT19" s="74" t="s">
        <v>462</v>
      </c>
      <c r="BU19" s="68" t="s">
        <v>466</v>
      </c>
      <c r="BV19" s="68" t="s">
        <v>466</v>
      </c>
      <c r="BW19" s="74" t="s">
        <v>462</v>
      </c>
      <c r="BX19" s="68" t="s">
        <v>466</v>
      </c>
      <c r="BY19" s="68" t="s">
        <v>466</v>
      </c>
      <c r="BZ19" s="74" t="s">
        <v>462</v>
      </c>
      <c r="CA19" s="68" t="s">
        <v>466</v>
      </c>
      <c r="CB19" s="68" t="s">
        <v>466</v>
      </c>
      <c r="CC19" s="74" t="s">
        <v>462</v>
      </c>
      <c r="CD19" s="68" t="s">
        <v>466</v>
      </c>
      <c r="CE19" s="68" t="s">
        <v>466</v>
      </c>
      <c r="CF19" s="74" t="s">
        <v>462</v>
      </c>
      <c r="CG19" s="68" t="s">
        <v>466</v>
      </c>
      <c r="CH19" s="68" t="s">
        <v>466</v>
      </c>
      <c r="CI19" s="74" t="s">
        <v>462</v>
      </c>
      <c r="CJ19" s="68" t="s">
        <v>466</v>
      </c>
      <c r="CK19" s="68" t="s">
        <v>466</v>
      </c>
      <c r="CL19" s="74" t="s">
        <v>462</v>
      </c>
      <c r="CM19" s="68" t="s">
        <v>466</v>
      </c>
      <c r="CN19" s="68" t="s">
        <v>466</v>
      </c>
      <c r="CO19" s="74" t="s">
        <v>462</v>
      </c>
      <c r="CP19" s="68" t="s">
        <v>466</v>
      </c>
      <c r="CQ19" s="68" t="s">
        <v>466</v>
      </c>
      <c r="CR19" s="74" t="s">
        <v>462</v>
      </c>
      <c r="CS19" s="68" t="s">
        <v>466</v>
      </c>
      <c r="CT19" s="68" t="s">
        <v>466</v>
      </c>
      <c r="CU19" s="74" t="s">
        <v>462</v>
      </c>
      <c r="CV19" s="68" t="s">
        <v>466</v>
      </c>
      <c r="CW19" s="68" t="s">
        <v>466</v>
      </c>
      <c r="CX19" s="74" t="s">
        <v>462</v>
      </c>
      <c r="CY19" s="68" t="s">
        <v>466</v>
      </c>
      <c r="CZ19" s="68" t="s">
        <v>466</v>
      </c>
      <c r="DA19" s="74" t="s">
        <v>462</v>
      </c>
      <c r="DB19" s="68" t="s">
        <v>466</v>
      </c>
      <c r="DC19" s="68" t="s">
        <v>466</v>
      </c>
      <c r="DD19" s="74" t="s">
        <v>462</v>
      </c>
      <c r="DE19" s="68" t="s">
        <v>466</v>
      </c>
      <c r="DF19" s="68" t="s">
        <v>466</v>
      </c>
      <c r="DG19" s="74" t="s">
        <v>462</v>
      </c>
      <c r="DH19" s="68" t="s">
        <v>466</v>
      </c>
      <c r="DI19" s="68" t="s">
        <v>466</v>
      </c>
      <c r="DJ19" s="74" t="s">
        <v>462</v>
      </c>
      <c r="DK19" s="68" t="s">
        <v>466</v>
      </c>
      <c r="DL19" s="68" t="s">
        <v>466</v>
      </c>
      <c r="DM19" s="74" t="s">
        <v>462</v>
      </c>
      <c r="DN19" s="68" t="s">
        <v>466</v>
      </c>
      <c r="DO19" s="68" t="s">
        <v>466</v>
      </c>
      <c r="DP19" s="74" t="s">
        <v>462</v>
      </c>
      <c r="DQ19" s="68" t="s">
        <v>466</v>
      </c>
      <c r="DR19" s="126"/>
      <c r="DS19" s="68"/>
      <c r="DT19" s="68"/>
      <c r="DU19" s="68"/>
    </row>
    <row r="20" ht="15.0" customHeight="1" outlineLevel="1">
      <c r="A20" s="60">
        <v>102.0</v>
      </c>
      <c r="B20" s="747" t="s">
        <v>309</v>
      </c>
      <c r="C20" s="747" t="s">
        <v>310</v>
      </c>
      <c r="D20" s="71" t="s">
        <v>85</v>
      </c>
      <c r="E20" s="146" t="s">
        <v>308</v>
      </c>
      <c r="F20" s="72">
        <v>1123.0</v>
      </c>
      <c r="G20" s="147" t="s">
        <v>288</v>
      </c>
      <c r="H20" s="150">
        <v>0.0</v>
      </c>
      <c r="I20" s="126" t="str">
        <f>IFERROR(VLOOKUP(C17:C159,'R22 RELATÓRIO ACC'!B:F,5,FALSE),"NOT PUBLISHED")</f>
        <v>NOT PUBLISHED</v>
      </c>
      <c r="J20" s="126" t="str">
        <f>IFERROR(VLOOKUP(C17:C159,'R22 RELATÓRIO ACC'!B:P,15,FALSE),"NOT PUBLISHED")</f>
        <v>NOT PUBLISHED</v>
      </c>
      <c r="K20" s="746" t="str">
        <f>IFERROR(VLOOKUP(B17:B159,'RELATÓRIO ACC'!B:F,5,FALSE),"NOT PUBLISHED")</f>
        <v>NOT PUBLISHED</v>
      </c>
      <c r="L20" s="748" t="str">
        <f>IFERROR(VLOOKUP(B17:B159,'RELATÓRIO ACC'!B:P,15,FALSE),"NOT PUBLISHED")</f>
        <v>NOT PUBLISHED</v>
      </c>
      <c r="M20" s="141" t="s">
        <v>466</v>
      </c>
      <c r="N20" s="749" t="s">
        <v>466</v>
      </c>
      <c r="O20" s="1042" t="s">
        <v>466</v>
      </c>
      <c r="P20" s="1043"/>
      <c r="Q20" s="746" t="s">
        <v>466</v>
      </c>
      <c r="R20" s="74" t="s">
        <v>462</v>
      </c>
      <c r="S20" s="1037" t="s">
        <v>466</v>
      </c>
      <c r="T20" s="746" t="s">
        <v>466</v>
      </c>
      <c r="U20" s="74" t="s">
        <v>462</v>
      </c>
      <c r="V20" s="1037" t="s">
        <v>466</v>
      </c>
      <c r="W20" s="746" t="s">
        <v>466</v>
      </c>
      <c r="X20" s="74" t="s">
        <v>462</v>
      </c>
      <c r="Y20" s="1037" t="s">
        <v>466</v>
      </c>
      <c r="Z20" s="746" t="s">
        <v>466</v>
      </c>
      <c r="AA20" s="74" t="s">
        <v>462</v>
      </c>
      <c r="AB20" s="1037" t="s">
        <v>466</v>
      </c>
      <c r="AC20" s="746" t="s">
        <v>466</v>
      </c>
      <c r="AD20" s="74" t="s">
        <v>462</v>
      </c>
      <c r="AE20" s="1037" t="s">
        <v>466</v>
      </c>
      <c r="AF20" s="746" t="s">
        <v>466</v>
      </c>
      <c r="AG20" s="74" t="s">
        <v>462</v>
      </c>
      <c r="AH20" s="1037" t="s">
        <v>466</v>
      </c>
      <c r="AI20" s="746" t="s">
        <v>466</v>
      </c>
      <c r="AJ20" s="74" t="s">
        <v>462</v>
      </c>
      <c r="AK20" s="1037" t="s">
        <v>466</v>
      </c>
      <c r="AL20" s="746" t="s">
        <v>466</v>
      </c>
      <c r="AM20" s="74" t="s">
        <v>462</v>
      </c>
      <c r="AN20" s="1037" t="s">
        <v>466</v>
      </c>
      <c r="AO20" s="746" t="s">
        <v>466</v>
      </c>
      <c r="AP20" s="74" t="s">
        <v>462</v>
      </c>
      <c r="AQ20" s="1037" t="s">
        <v>466</v>
      </c>
      <c r="AR20" s="746" t="s">
        <v>466</v>
      </c>
      <c r="AS20" s="74" t="s">
        <v>462</v>
      </c>
      <c r="AT20" s="1037" t="s">
        <v>466</v>
      </c>
      <c r="AU20" s="746" t="s">
        <v>466</v>
      </c>
      <c r="AV20" s="74" t="s">
        <v>462</v>
      </c>
      <c r="AW20" s="1037" t="s">
        <v>466</v>
      </c>
      <c r="AX20" s="746" t="s">
        <v>466</v>
      </c>
      <c r="AY20" s="74" t="s">
        <v>462</v>
      </c>
      <c r="AZ20" s="1037" t="s">
        <v>466</v>
      </c>
      <c r="BA20" s="746" t="s">
        <v>466</v>
      </c>
      <c r="BB20" s="74" t="s">
        <v>462</v>
      </c>
      <c r="BC20" s="1037" t="s">
        <v>466</v>
      </c>
      <c r="BD20" s="746" t="s">
        <v>466</v>
      </c>
      <c r="BE20" s="74" t="s">
        <v>462</v>
      </c>
      <c r="BF20" s="1037" t="s">
        <v>466</v>
      </c>
      <c r="BG20" s="746" t="s">
        <v>466</v>
      </c>
      <c r="BH20" s="74" t="s">
        <v>462</v>
      </c>
      <c r="BI20" s="1037" t="s">
        <v>466</v>
      </c>
      <c r="BJ20" s="746" t="s">
        <v>466</v>
      </c>
      <c r="BK20" s="74" t="s">
        <v>462</v>
      </c>
      <c r="BL20" s="1037" t="s">
        <v>466</v>
      </c>
      <c r="BM20" s="746" t="s">
        <v>466</v>
      </c>
      <c r="BN20" s="74" t="s">
        <v>462</v>
      </c>
      <c r="BO20" s="1037" t="s">
        <v>466</v>
      </c>
      <c r="BP20" s="746" t="s">
        <v>466</v>
      </c>
      <c r="BQ20" s="74" t="s">
        <v>462</v>
      </c>
      <c r="BR20" s="1037" t="s">
        <v>466</v>
      </c>
      <c r="BS20" s="746" t="s">
        <v>466</v>
      </c>
      <c r="BT20" s="74" t="s">
        <v>462</v>
      </c>
      <c r="BU20" s="1037" t="s">
        <v>466</v>
      </c>
      <c r="BV20" s="746" t="s">
        <v>466</v>
      </c>
      <c r="BW20" s="74" t="s">
        <v>462</v>
      </c>
      <c r="BX20" s="1037" t="s">
        <v>466</v>
      </c>
      <c r="BY20" s="746" t="s">
        <v>466</v>
      </c>
      <c r="BZ20" s="74" t="s">
        <v>462</v>
      </c>
      <c r="CA20" s="1037" t="s">
        <v>466</v>
      </c>
      <c r="CB20" s="746" t="s">
        <v>466</v>
      </c>
      <c r="CC20" s="74" t="s">
        <v>462</v>
      </c>
      <c r="CD20" s="1037" t="s">
        <v>466</v>
      </c>
      <c r="CE20" s="746" t="s">
        <v>466</v>
      </c>
      <c r="CF20" s="74" t="s">
        <v>462</v>
      </c>
      <c r="CG20" s="1037" t="s">
        <v>466</v>
      </c>
      <c r="CH20" s="746" t="s">
        <v>466</v>
      </c>
      <c r="CI20" s="74" t="s">
        <v>462</v>
      </c>
      <c r="CJ20" s="1037" t="s">
        <v>466</v>
      </c>
      <c r="CK20" s="746" t="s">
        <v>466</v>
      </c>
      <c r="CL20" s="74" t="s">
        <v>462</v>
      </c>
      <c r="CM20" s="1037" t="s">
        <v>466</v>
      </c>
      <c r="CN20" s="746" t="s">
        <v>466</v>
      </c>
      <c r="CO20" s="74" t="s">
        <v>462</v>
      </c>
      <c r="CP20" s="1037" t="s">
        <v>466</v>
      </c>
      <c r="CQ20" s="746" t="s">
        <v>466</v>
      </c>
      <c r="CR20" s="74" t="s">
        <v>462</v>
      </c>
      <c r="CS20" s="1037" t="s">
        <v>466</v>
      </c>
      <c r="CT20" s="746" t="s">
        <v>466</v>
      </c>
      <c r="CU20" s="74" t="s">
        <v>462</v>
      </c>
      <c r="CV20" s="1037" t="s">
        <v>466</v>
      </c>
      <c r="CW20" s="746" t="s">
        <v>466</v>
      </c>
      <c r="CX20" s="74" t="s">
        <v>462</v>
      </c>
      <c r="CY20" s="1037" t="s">
        <v>466</v>
      </c>
      <c r="CZ20" s="746" t="s">
        <v>466</v>
      </c>
      <c r="DA20" s="74" t="s">
        <v>462</v>
      </c>
      <c r="DB20" s="1037" t="s">
        <v>466</v>
      </c>
      <c r="DC20" s="746" t="s">
        <v>466</v>
      </c>
      <c r="DD20" s="74" t="s">
        <v>462</v>
      </c>
      <c r="DE20" s="1037" t="s">
        <v>466</v>
      </c>
      <c r="DF20" s="746" t="s">
        <v>466</v>
      </c>
      <c r="DG20" s="74" t="s">
        <v>462</v>
      </c>
      <c r="DH20" s="1037" t="s">
        <v>466</v>
      </c>
      <c r="DI20" s="746" t="s">
        <v>466</v>
      </c>
      <c r="DJ20" s="74" t="s">
        <v>462</v>
      </c>
      <c r="DK20" s="1037" t="s">
        <v>466</v>
      </c>
      <c r="DL20" s="746" t="s">
        <v>466</v>
      </c>
      <c r="DM20" s="74" t="s">
        <v>462</v>
      </c>
      <c r="DN20" s="1037" t="s">
        <v>466</v>
      </c>
      <c r="DO20" s="746" t="s">
        <v>466</v>
      </c>
      <c r="DP20" s="74" t="s">
        <v>462</v>
      </c>
      <c r="DQ20" s="1037" t="s">
        <v>466</v>
      </c>
      <c r="DR20" s="126"/>
      <c r="DS20" s="68"/>
      <c r="DT20" s="68"/>
      <c r="DU20" s="68"/>
    </row>
    <row r="21" ht="15.0" customHeight="1" outlineLevel="1">
      <c r="A21" s="60">
        <v>30.0</v>
      </c>
      <c r="B21" s="747" t="s">
        <v>154</v>
      </c>
      <c r="C21" s="747" t="s">
        <v>155</v>
      </c>
      <c r="D21" s="71" t="s">
        <v>85</v>
      </c>
      <c r="E21" s="138" t="s">
        <v>156</v>
      </c>
      <c r="F21" s="1044">
        <v>0.0</v>
      </c>
      <c r="G21" s="1045" t="s">
        <v>157</v>
      </c>
      <c r="H21" s="150"/>
      <c r="I21" s="126" t="str">
        <f>IFERROR(VLOOKUP(C18:C160,'R22 RELATÓRIO ACC'!B:F,5,FALSE),"NOT PUBLISHED")</f>
        <v>V4</v>
      </c>
      <c r="J21" s="126" t="str">
        <f>IFERROR(VLOOKUP(C18:C160,'R22 RELATÓRIO ACC'!B:P,15,FALSE),"NOT PUBLISHED")</f>
        <v>29/04/2026</v>
      </c>
      <c r="K21" s="746" t="str">
        <f>IFERROR(VLOOKUP(B18:B160,'RELATÓRIO ACC'!B:F,5,FALSE),"NOT PUBLISHED")</f>
        <v>V1</v>
      </c>
      <c r="L21" s="748" t="str">
        <f>IFERROR(VLOOKUP(B18:B160,'RELATÓRIO ACC'!B:P,15,FALSE),"NOT PUBLISHED")</f>
        <v>04/06/2026</v>
      </c>
      <c r="M21" s="141" t="s">
        <v>470</v>
      </c>
      <c r="N21" s="756" t="s">
        <v>471</v>
      </c>
      <c r="O21" s="1042" t="s">
        <v>472</v>
      </c>
      <c r="P21" s="1043"/>
      <c r="Q21" s="746" t="s">
        <v>466</v>
      </c>
      <c r="R21" s="74" t="s">
        <v>462</v>
      </c>
      <c r="S21" s="1037" t="s">
        <v>466</v>
      </c>
      <c r="T21" s="746" t="s">
        <v>466</v>
      </c>
      <c r="U21" s="74" t="s">
        <v>462</v>
      </c>
      <c r="V21" s="1037" t="s">
        <v>466</v>
      </c>
      <c r="W21" s="746" t="s">
        <v>466</v>
      </c>
      <c r="X21" s="74" t="s">
        <v>462</v>
      </c>
      <c r="Y21" s="1037" t="s">
        <v>466</v>
      </c>
      <c r="Z21" s="746" t="s">
        <v>466</v>
      </c>
      <c r="AA21" s="74" t="s">
        <v>462</v>
      </c>
      <c r="AB21" s="1037" t="s">
        <v>466</v>
      </c>
      <c r="AC21" s="68" t="s">
        <v>466</v>
      </c>
      <c r="AD21" s="74" t="s">
        <v>462</v>
      </c>
      <c r="AE21" s="1037" t="s">
        <v>466</v>
      </c>
      <c r="AF21" s="68" t="s">
        <v>466</v>
      </c>
      <c r="AG21" s="74" t="s">
        <v>462</v>
      </c>
      <c r="AH21" s="1037" t="s">
        <v>466</v>
      </c>
      <c r="AI21" s="68" t="s">
        <v>474</v>
      </c>
      <c r="AJ21" s="74" t="s">
        <v>462</v>
      </c>
      <c r="AK21" s="1037" t="s">
        <v>474</v>
      </c>
      <c r="AL21" s="68" t="s">
        <v>477</v>
      </c>
      <c r="AM21" s="766" t="s">
        <v>476</v>
      </c>
      <c r="AN21" s="1057">
        <v>0.77</v>
      </c>
      <c r="AO21" s="763" t="s">
        <v>478</v>
      </c>
      <c r="AP21" s="759" t="s">
        <v>476</v>
      </c>
      <c r="AQ21" s="1157" t="s">
        <v>478</v>
      </c>
      <c r="AR21" s="763" t="s">
        <v>478</v>
      </c>
      <c r="AS21" s="759" t="s">
        <v>476</v>
      </c>
      <c r="AT21" s="1157" t="s">
        <v>478</v>
      </c>
      <c r="AU21" s="763" t="s">
        <v>478</v>
      </c>
      <c r="AV21" s="759" t="s">
        <v>476</v>
      </c>
      <c r="AW21" s="1157" t="s">
        <v>478</v>
      </c>
      <c r="AX21" s="763" t="s">
        <v>478</v>
      </c>
      <c r="AY21" s="759" t="s">
        <v>476</v>
      </c>
      <c r="AZ21" s="1157" t="s">
        <v>478</v>
      </c>
      <c r="BA21" s="763" t="s">
        <v>478</v>
      </c>
      <c r="BB21" s="759" t="s">
        <v>476</v>
      </c>
      <c r="BC21" s="1157" t="s">
        <v>478</v>
      </c>
      <c r="BD21" s="763" t="s">
        <v>478</v>
      </c>
      <c r="BE21" s="759" t="s">
        <v>476</v>
      </c>
      <c r="BF21" s="1157" t="s">
        <v>478</v>
      </c>
      <c r="BG21" s="763" t="s">
        <v>478</v>
      </c>
      <c r="BH21" s="759" t="s">
        <v>476</v>
      </c>
      <c r="BI21" s="1157" t="s">
        <v>478</v>
      </c>
      <c r="BJ21" s="763" t="s">
        <v>474</v>
      </c>
      <c r="BK21" s="759" t="s">
        <v>476</v>
      </c>
      <c r="BL21" s="1157" t="s">
        <v>474</v>
      </c>
      <c r="BM21" s="763" t="s">
        <v>474</v>
      </c>
      <c r="BN21" s="759" t="s">
        <v>476</v>
      </c>
      <c r="BO21" s="1157" t="s">
        <v>474</v>
      </c>
      <c r="BP21" s="763" t="s">
        <v>474</v>
      </c>
      <c r="BQ21" s="759" t="s">
        <v>476</v>
      </c>
      <c r="BR21" s="1157" t="s">
        <v>474</v>
      </c>
      <c r="BS21" s="763" t="s">
        <v>477</v>
      </c>
      <c r="BT21" s="759" t="s">
        <v>476</v>
      </c>
      <c r="BU21" s="1057">
        <v>0.5</v>
      </c>
      <c r="BV21" s="763" t="s">
        <v>478</v>
      </c>
      <c r="BW21" s="759" t="s">
        <v>476</v>
      </c>
      <c r="BX21" s="1157" t="s">
        <v>478</v>
      </c>
      <c r="BY21" s="763" t="s">
        <v>478</v>
      </c>
      <c r="BZ21" s="759" t="s">
        <v>476</v>
      </c>
      <c r="CA21" s="1157" t="s">
        <v>478</v>
      </c>
      <c r="CB21" s="763" t="s">
        <v>478</v>
      </c>
      <c r="CC21" s="759" t="s">
        <v>476</v>
      </c>
      <c r="CD21" s="1157" t="s">
        <v>478</v>
      </c>
      <c r="CE21" s="763" t="s">
        <v>478</v>
      </c>
      <c r="CF21" s="759" t="s">
        <v>476</v>
      </c>
      <c r="CG21" s="1157" t="s">
        <v>478</v>
      </c>
      <c r="CH21" s="763" t="s">
        <v>474</v>
      </c>
      <c r="CI21" s="759" t="s">
        <v>476</v>
      </c>
      <c r="CJ21" s="1157" t="s">
        <v>474</v>
      </c>
      <c r="CK21" s="763" t="s">
        <v>475</v>
      </c>
      <c r="CL21" s="759" t="s">
        <v>479</v>
      </c>
      <c r="CM21" s="1157" t="s">
        <v>475</v>
      </c>
      <c r="CN21" s="763" t="s">
        <v>478</v>
      </c>
      <c r="CO21" s="759" t="s">
        <v>479</v>
      </c>
      <c r="CP21" s="1157" t="s">
        <v>478</v>
      </c>
      <c r="CQ21" s="763" t="s">
        <v>474</v>
      </c>
      <c r="CR21" s="759" t="s">
        <v>479</v>
      </c>
      <c r="CS21" s="1157" t="s">
        <v>474</v>
      </c>
      <c r="CT21" s="763" t="s">
        <v>475</v>
      </c>
      <c r="CU21" s="759" t="s">
        <v>479</v>
      </c>
      <c r="CV21" s="1157" t="s">
        <v>475</v>
      </c>
      <c r="CW21" s="763" t="s">
        <v>474</v>
      </c>
      <c r="CX21" s="759" t="s">
        <v>479</v>
      </c>
      <c r="CY21" s="1157" t="s">
        <v>474</v>
      </c>
      <c r="CZ21" s="763" t="s">
        <v>475</v>
      </c>
      <c r="DA21" s="759" t="s">
        <v>479</v>
      </c>
      <c r="DB21" s="1157" t="s">
        <v>475</v>
      </c>
      <c r="DC21" s="763" t="s">
        <v>478</v>
      </c>
      <c r="DD21" s="759" t="s">
        <v>479</v>
      </c>
      <c r="DE21" s="1157" t="s">
        <v>478</v>
      </c>
      <c r="DF21" s="763" t="s">
        <v>478</v>
      </c>
      <c r="DG21" s="759" t="s">
        <v>479</v>
      </c>
      <c r="DH21" s="1157" t="s">
        <v>478</v>
      </c>
      <c r="DI21" s="763" t="s">
        <v>478</v>
      </c>
      <c r="DJ21" s="759" t="s">
        <v>479</v>
      </c>
      <c r="DK21" s="1157" t="s">
        <v>478</v>
      </c>
      <c r="DL21" s="763" t="s">
        <v>478</v>
      </c>
      <c r="DM21" s="759" t="s">
        <v>479</v>
      </c>
      <c r="DN21" s="1157" t="s">
        <v>478</v>
      </c>
      <c r="DO21" s="763" t="s">
        <v>478</v>
      </c>
      <c r="DP21" s="759" t="s">
        <v>479</v>
      </c>
      <c r="DQ21" s="1157" t="s">
        <v>478</v>
      </c>
      <c r="DR21" s="126"/>
      <c r="DS21" s="68"/>
      <c r="DT21" s="68"/>
      <c r="DU21" s="68"/>
    </row>
    <row r="22" ht="15.0" hidden="1" customHeight="1">
      <c r="A22" s="60">
        <v>33.0</v>
      </c>
      <c r="B22" s="816" t="s">
        <v>166</v>
      </c>
      <c r="C22" s="159"/>
      <c r="D22" s="160"/>
      <c r="E22" s="160"/>
      <c r="F22" s="160"/>
      <c r="G22" s="160"/>
      <c r="H22" s="161"/>
      <c r="I22" s="160"/>
      <c r="J22" s="160"/>
      <c r="K22" s="962"/>
      <c r="L22" s="963"/>
      <c r="M22" s="964"/>
      <c r="N22" s="964"/>
      <c r="O22" s="73"/>
      <c r="P22" s="1051"/>
      <c r="Q22" s="183"/>
      <c r="R22" s="970"/>
      <c r="S22" s="968"/>
      <c r="T22" s="970"/>
      <c r="U22" s="967"/>
      <c r="V22" s="968"/>
      <c r="W22" s="970"/>
      <c r="X22" s="967"/>
      <c r="Y22" s="968"/>
      <c r="Z22" s="970"/>
      <c r="AA22" s="967"/>
      <c r="AB22" s="968"/>
      <c r="AC22" s="970"/>
      <c r="AD22" s="967"/>
      <c r="AE22" s="968"/>
      <c r="AF22" s="970"/>
      <c r="AG22" s="970"/>
      <c r="AH22" s="970"/>
      <c r="AI22" s="970"/>
      <c r="AJ22" s="970"/>
      <c r="AK22" s="970"/>
      <c r="AL22" s="970"/>
      <c r="AM22" s="970"/>
      <c r="AN22" s="970"/>
      <c r="AO22" s="970"/>
      <c r="AP22" s="970"/>
      <c r="AQ22" s="970"/>
      <c r="AR22" s="970"/>
      <c r="AS22" s="970"/>
      <c r="AT22" s="970"/>
      <c r="AU22" s="970"/>
      <c r="AV22" s="970"/>
      <c r="AW22" s="970"/>
      <c r="AX22" s="970"/>
      <c r="AY22" s="970"/>
      <c r="AZ22" s="970"/>
      <c r="BA22" s="970"/>
      <c r="BB22" s="970"/>
      <c r="BC22" s="970"/>
      <c r="BD22" s="970"/>
      <c r="BE22" s="970"/>
      <c r="BF22" s="970"/>
      <c r="BG22" s="970"/>
      <c r="BH22" s="970"/>
      <c r="BI22" s="970"/>
      <c r="BJ22" s="970"/>
      <c r="BK22" s="970"/>
      <c r="BL22" s="970"/>
      <c r="BM22" s="970"/>
      <c r="BN22" s="970"/>
      <c r="BO22" s="970"/>
      <c r="BP22" s="970"/>
      <c r="BQ22" s="970"/>
      <c r="BR22" s="970"/>
      <c r="BS22" s="970"/>
      <c r="BT22" s="970"/>
      <c r="BU22" s="970"/>
      <c r="BV22" s="970"/>
      <c r="BW22" s="970"/>
      <c r="BX22" s="970"/>
      <c r="BY22" s="970"/>
      <c r="BZ22" s="970"/>
      <c r="CA22" s="970"/>
      <c r="CB22" s="970"/>
      <c r="CC22" s="970"/>
      <c r="CD22" s="970"/>
      <c r="CE22" s="970"/>
      <c r="CF22" s="970"/>
      <c r="CG22" s="970"/>
      <c r="CH22" s="970"/>
      <c r="CI22" s="970"/>
      <c r="CJ22" s="970"/>
      <c r="CK22" s="970"/>
      <c r="CL22" s="970"/>
      <c r="CM22" s="970"/>
      <c r="CN22" s="970"/>
      <c r="CO22" s="970"/>
      <c r="CP22" s="970"/>
      <c r="CQ22" s="970"/>
      <c r="CR22" s="970"/>
      <c r="CS22" s="970"/>
      <c r="CT22" s="970"/>
      <c r="CU22" s="970"/>
      <c r="CV22" s="970"/>
      <c r="CW22" s="970"/>
      <c r="CX22" s="970"/>
      <c r="CY22" s="970"/>
      <c r="CZ22" s="970"/>
      <c r="DA22" s="970"/>
      <c r="DB22" s="970"/>
      <c r="DC22" s="970"/>
      <c r="DD22" s="970"/>
      <c r="DE22" s="970"/>
      <c r="DF22" s="970"/>
      <c r="DG22" s="970"/>
      <c r="DH22" s="970"/>
      <c r="DI22" s="970"/>
      <c r="DJ22" s="970"/>
      <c r="DK22" s="970"/>
      <c r="DL22" s="970"/>
      <c r="DM22" s="970"/>
      <c r="DN22" s="970"/>
      <c r="DO22" s="970"/>
      <c r="DP22" s="970"/>
      <c r="DQ22" s="970"/>
      <c r="DR22" s="186"/>
      <c r="DS22" s="186"/>
      <c r="DT22" s="186"/>
      <c r="DU22" s="186"/>
    </row>
    <row r="23" ht="15.0" customHeight="1" outlineLevel="1">
      <c r="A23" s="60">
        <v>97.0</v>
      </c>
      <c r="B23" s="747" t="s">
        <v>296</v>
      </c>
      <c r="C23" s="747" t="s">
        <v>297</v>
      </c>
      <c r="D23" s="71" t="s">
        <v>85</v>
      </c>
      <c r="E23" s="138" t="s">
        <v>298</v>
      </c>
      <c r="F23" s="72">
        <v>1121.0</v>
      </c>
      <c r="G23" s="147" t="s">
        <v>298</v>
      </c>
      <c r="H23" s="150">
        <v>0.0</v>
      </c>
      <c r="I23" s="126" t="str">
        <f>IFERROR(VLOOKUP(C20:C162,'R22 RELATÓRIO ACC'!B:F,5,FALSE),"NOT PUBLISHED")</f>
        <v>V1</v>
      </c>
      <c r="J23" s="126" t="str">
        <f>IFERROR(VLOOKUP(C20:C162,'R22 RELATÓRIO ACC'!B:P,15,FALSE),"NOT PUBLISHED")</f>
        <v>05/05/2026</v>
      </c>
      <c r="K23" s="746" t="str">
        <f>IFERROR(VLOOKUP(B20:B162,'RELATÓRIO ACC'!B:F,5,FALSE),"NOT PUBLISHED")</f>
        <v>V3</v>
      </c>
      <c r="L23" s="748" t="str">
        <f>IFERROR(VLOOKUP(B20:B162,'RELATÓRIO ACC'!B:P,15,FALSE),"NOT PUBLISHED")</f>
        <v>20/06/2026</v>
      </c>
      <c r="M23" s="141" t="s">
        <v>480</v>
      </c>
      <c r="N23" s="847">
        <v>46193.0</v>
      </c>
      <c r="O23" s="1042" t="s">
        <v>472</v>
      </c>
      <c r="P23" s="1043"/>
      <c r="Q23" s="746" t="s">
        <v>466</v>
      </c>
      <c r="R23" s="74" t="s">
        <v>462</v>
      </c>
      <c r="S23" s="746" t="s">
        <v>466</v>
      </c>
      <c r="T23" s="746" t="s">
        <v>466</v>
      </c>
      <c r="U23" s="749" t="s">
        <v>462</v>
      </c>
      <c r="V23" s="746" t="s">
        <v>466</v>
      </c>
      <c r="W23" s="746" t="s">
        <v>466</v>
      </c>
      <c r="X23" s="749" t="s">
        <v>462</v>
      </c>
      <c r="Y23" s="746" t="s">
        <v>466</v>
      </c>
      <c r="Z23" s="746" t="s">
        <v>466</v>
      </c>
      <c r="AA23" s="749" t="s">
        <v>462</v>
      </c>
      <c r="AB23" s="746" t="s">
        <v>466</v>
      </c>
      <c r="AC23" s="746" t="s">
        <v>466</v>
      </c>
      <c r="AD23" s="749" t="s">
        <v>462</v>
      </c>
      <c r="AE23" s="746" t="s">
        <v>466</v>
      </c>
      <c r="AF23" s="746" t="s">
        <v>466</v>
      </c>
      <c r="AG23" s="749" t="s">
        <v>462</v>
      </c>
      <c r="AH23" s="746" t="s">
        <v>466</v>
      </c>
      <c r="AI23" s="746" t="s">
        <v>466</v>
      </c>
      <c r="AJ23" s="749" t="s">
        <v>462</v>
      </c>
      <c r="AK23" s="746" t="s">
        <v>466</v>
      </c>
      <c r="AL23" s="746" t="s">
        <v>466</v>
      </c>
      <c r="AM23" s="749" t="s">
        <v>462</v>
      </c>
      <c r="AN23" s="746" t="s">
        <v>466</v>
      </c>
      <c r="AO23" s="746" t="s">
        <v>466</v>
      </c>
      <c r="AP23" s="749" t="s">
        <v>462</v>
      </c>
      <c r="AQ23" s="746" t="s">
        <v>466</v>
      </c>
      <c r="AR23" s="746" t="s">
        <v>466</v>
      </c>
      <c r="AS23" s="749" t="s">
        <v>462</v>
      </c>
      <c r="AT23" s="746" t="s">
        <v>466</v>
      </c>
      <c r="AU23" s="746" t="s">
        <v>466</v>
      </c>
      <c r="AV23" s="749" t="s">
        <v>462</v>
      </c>
      <c r="AW23" s="746" t="s">
        <v>466</v>
      </c>
      <c r="AX23" s="746" t="s">
        <v>466</v>
      </c>
      <c r="AY23" s="749" t="s">
        <v>462</v>
      </c>
      <c r="AZ23" s="746" t="s">
        <v>466</v>
      </c>
      <c r="BA23" s="746" t="s">
        <v>466</v>
      </c>
      <c r="BB23" s="749" t="s">
        <v>462</v>
      </c>
      <c r="BC23" s="746" t="s">
        <v>466</v>
      </c>
      <c r="BD23" s="746" t="s">
        <v>466</v>
      </c>
      <c r="BE23" s="749" t="s">
        <v>462</v>
      </c>
      <c r="BF23" s="746" t="s">
        <v>466</v>
      </c>
      <c r="BG23" s="746" t="s">
        <v>466</v>
      </c>
      <c r="BH23" s="749" t="s">
        <v>462</v>
      </c>
      <c r="BI23" s="746" t="s">
        <v>466</v>
      </c>
      <c r="BJ23" s="746" t="s">
        <v>466</v>
      </c>
      <c r="BK23" s="749" t="s">
        <v>462</v>
      </c>
      <c r="BL23" s="746" t="s">
        <v>466</v>
      </c>
      <c r="BM23" s="746" t="s">
        <v>466</v>
      </c>
      <c r="BN23" s="749" t="s">
        <v>462</v>
      </c>
      <c r="BO23" s="746" t="s">
        <v>466</v>
      </c>
      <c r="BP23" s="746" t="s">
        <v>466</v>
      </c>
      <c r="BQ23" s="749" t="s">
        <v>462</v>
      </c>
      <c r="BR23" s="746" t="s">
        <v>466</v>
      </c>
      <c r="BS23" s="746" t="s">
        <v>466</v>
      </c>
      <c r="BT23" s="749" t="s">
        <v>462</v>
      </c>
      <c r="BU23" s="746" t="s">
        <v>466</v>
      </c>
      <c r="BV23" s="746" t="s">
        <v>466</v>
      </c>
      <c r="BW23" s="749" t="s">
        <v>462</v>
      </c>
      <c r="BX23" s="746" t="s">
        <v>466</v>
      </c>
      <c r="BY23" s="746" t="s">
        <v>466</v>
      </c>
      <c r="BZ23" s="749" t="s">
        <v>462</v>
      </c>
      <c r="CA23" s="746" t="s">
        <v>466</v>
      </c>
      <c r="CB23" s="746" t="s">
        <v>466</v>
      </c>
      <c r="CC23" s="749" t="s">
        <v>462</v>
      </c>
      <c r="CD23" s="746" t="s">
        <v>466</v>
      </c>
      <c r="CE23" s="746" t="s">
        <v>466</v>
      </c>
      <c r="CF23" s="749" t="s">
        <v>462</v>
      </c>
      <c r="CG23" s="746" t="s">
        <v>466</v>
      </c>
      <c r="CH23" s="746" t="s">
        <v>466</v>
      </c>
      <c r="CI23" s="749" t="s">
        <v>462</v>
      </c>
      <c r="CJ23" s="746" t="s">
        <v>466</v>
      </c>
      <c r="CK23" s="746" t="s">
        <v>466</v>
      </c>
      <c r="CL23" s="749" t="s">
        <v>462</v>
      </c>
      <c r="CM23" s="746" t="s">
        <v>466</v>
      </c>
      <c r="CN23" s="746" t="s">
        <v>462</v>
      </c>
      <c r="CO23" s="749" t="s">
        <v>462</v>
      </c>
      <c r="CP23" s="746" t="s">
        <v>462</v>
      </c>
      <c r="CQ23" s="746" t="s">
        <v>462</v>
      </c>
      <c r="CR23" s="749" t="s">
        <v>462</v>
      </c>
      <c r="CS23" s="746" t="s">
        <v>462</v>
      </c>
      <c r="CT23" s="746" t="s">
        <v>462</v>
      </c>
      <c r="CU23" s="749" t="s">
        <v>462</v>
      </c>
      <c r="CV23" s="746" t="s">
        <v>462</v>
      </c>
      <c r="CW23" s="746" t="s">
        <v>474</v>
      </c>
      <c r="CX23" s="749" t="s">
        <v>462</v>
      </c>
      <c r="CY23" s="764">
        <v>0.0</v>
      </c>
      <c r="CZ23" s="755" t="s">
        <v>477</v>
      </c>
      <c r="DA23" s="749" t="s">
        <v>596</v>
      </c>
      <c r="DB23" s="1168">
        <v>0.42</v>
      </c>
      <c r="DC23" s="755" t="s">
        <v>474</v>
      </c>
      <c r="DD23" s="749" t="s">
        <v>596</v>
      </c>
      <c r="DE23" s="755" t="s">
        <v>474</v>
      </c>
      <c r="DF23" s="755" t="s">
        <v>477</v>
      </c>
      <c r="DG23" s="749" t="s">
        <v>480</v>
      </c>
      <c r="DH23" s="1057">
        <v>0.96</v>
      </c>
      <c r="DI23" s="763" t="s">
        <v>478</v>
      </c>
      <c r="DJ23" s="749" t="s">
        <v>480</v>
      </c>
      <c r="DK23" s="763" t="s">
        <v>478</v>
      </c>
      <c r="DL23" s="763" t="s">
        <v>478</v>
      </c>
      <c r="DM23" s="749" t="s">
        <v>480</v>
      </c>
      <c r="DN23" s="763" t="s">
        <v>478</v>
      </c>
      <c r="DO23" s="763" t="s">
        <v>478</v>
      </c>
      <c r="DP23" s="749" t="s">
        <v>480</v>
      </c>
      <c r="DQ23" s="763" t="s">
        <v>478</v>
      </c>
      <c r="DR23" s="126"/>
      <c r="DS23" s="68"/>
      <c r="DT23" s="68"/>
      <c r="DU23" s="68"/>
    </row>
    <row r="24" ht="15.0" hidden="1" customHeight="1">
      <c r="A24" s="60">
        <v>36.0</v>
      </c>
      <c r="B24" s="895" t="s">
        <v>173</v>
      </c>
      <c r="C24" s="188"/>
      <c r="D24" s="189"/>
      <c r="E24" s="189"/>
      <c r="F24" s="189"/>
      <c r="G24" s="189"/>
      <c r="H24" s="190"/>
      <c r="I24" s="189"/>
      <c r="J24" s="189"/>
      <c r="K24" s="260"/>
      <c r="L24" s="248"/>
      <c r="M24" s="189"/>
      <c r="N24" s="189"/>
      <c r="O24" s="73"/>
      <c r="P24" s="248"/>
      <c r="Q24" s="212"/>
      <c r="R24" s="880"/>
      <c r="S24" s="1067"/>
      <c r="T24" s="880"/>
      <c r="U24" s="880"/>
      <c r="V24" s="880"/>
      <c r="W24" s="880"/>
      <c r="X24" s="880"/>
      <c r="Y24" s="880"/>
      <c r="Z24" s="880"/>
      <c r="AA24" s="880"/>
      <c r="AB24" s="880"/>
      <c r="AC24" s="880"/>
      <c r="AD24" s="880"/>
      <c r="AE24" s="880"/>
      <c r="AF24" s="880"/>
      <c r="AG24" s="880"/>
      <c r="AH24" s="880"/>
      <c r="AI24" s="880"/>
      <c r="AJ24" s="880"/>
      <c r="AK24" s="880"/>
      <c r="AL24" s="880"/>
      <c r="AM24" s="880"/>
      <c r="AN24" s="880"/>
      <c r="AO24" s="880"/>
      <c r="AP24" s="880"/>
      <c r="AQ24" s="880"/>
      <c r="AR24" s="880"/>
      <c r="AS24" s="880"/>
      <c r="AT24" s="880"/>
      <c r="AU24" s="880"/>
      <c r="AV24" s="880"/>
      <c r="AW24" s="880"/>
      <c r="AX24" s="880"/>
      <c r="AY24" s="880"/>
      <c r="AZ24" s="880"/>
      <c r="BA24" s="880"/>
      <c r="BB24" s="880"/>
      <c r="BC24" s="880"/>
      <c r="BD24" s="880"/>
      <c r="BE24" s="880"/>
      <c r="BF24" s="880"/>
      <c r="BG24" s="880"/>
      <c r="BH24" s="880"/>
      <c r="BI24" s="880"/>
      <c r="BJ24" s="880"/>
      <c r="BK24" s="880"/>
      <c r="BL24" s="880"/>
      <c r="BM24" s="880"/>
      <c r="BN24" s="880"/>
      <c r="BO24" s="880"/>
      <c r="BP24" s="880"/>
      <c r="BQ24" s="880"/>
      <c r="BR24" s="880"/>
      <c r="BS24" s="880"/>
      <c r="BT24" s="880"/>
      <c r="BU24" s="880"/>
      <c r="BV24" s="880"/>
      <c r="BW24" s="880"/>
      <c r="BX24" s="880"/>
      <c r="BY24" s="880"/>
      <c r="BZ24" s="880"/>
      <c r="CA24" s="880"/>
      <c r="CB24" s="880"/>
      <c r="CC24" s="880"/>
      <c r="CD24" s="880"/>
      <c r="CE24" s="880"/>
      <c r="CF24" s="880"/>
      <c r="CG24" s="880"/>
      <c r="CH24" s="880"/>
      <c r="CI24" s="880"/>
      <c r="CJ24" s="880"/>
      <c r="CK24" s="880"/>
      <c r="CL24" s="880"/>
      <c r="CM24" s="880"/>
      <c r="CN24" s="880"/>
      <c r="CO24" s="880"/>
      <c r="CP24" s="880"/>
      <c r="CQ24" s="880"/>
      <c r="CR24" s="880"/>
      <c r="CS24" s="880"/>
      <c r="CT24" s="880"/>
      <c r="CU24" s="880"/>
      <c r="CV24" s="880"/>
      <c r="CW24" s="880"/>
      <c r="CX24" s="880"/>
      <c r="CY24" s="880"/>
      <c r="CZ24" s="880"/>
      <c r="DA24" s="880"/>
      <c r="DB24" s="880"/>
      <c r="DC24" s="880"/>
      <c r="DD24" s="880"/>
      <c r="DE24" s="880"/>
      <c r="DF24" s="880"/>
      <c r="DG24" s="880"/>
      <c r="DH24" s="880"/>
      <c r="DI24" s="880"/>
      <c r="DJ24" s="880"/>
      <c r="DK24" s="880"/>
      <c r="DL24" s="880"/>
      <c r="DM24" s="880"/>
      <c r="DN24" s="880"/>
      <c r="DO24" s="880"/>
      <c r="DP24" s="880"/>
      <c r="DQ24" s="880"/>
      <c r="DR24" s="186"/>
      <c r="DS24" s="215"/>
      <c r="DT24" s="215"/>
      <c r="DU24" s="215"/>
    </row>
    <row r="25" ht="15.0" customHeight="1" outlineLevel="1">
      <c r="A25" s="60">
        <v>2.0</v>
      </c>
      <c r="B25" s="747" t="s">
        <v>83</v>
      </c>
      <c r="C25" s="747" t="s">
        <v>84</v>
      </c>
      <c r="D25" s="71" t="s">
        <v>85</v>
      </c>
      <c r="E25" s="146" t="s">
        <v>86</v>
      </c>
      <c r="F25" s="72">
        <v>1130.0</v>
      </c>
      <c r="G25" s="139" t="s">
        <v>86</v>
      </c>
      <c r="H25" s="139">
        <v>1130.0</v>
      </c>
      <c r="I25" s="126" t="str">
        <f>IFERROR(VLOOKUP(C22:C164,'R22 RELATÓRIO ACC'!B:F,5,FALSE),"NOT PUBLISHED")</f>
        <v>V29</v>
      </c>
      <c r="J25" s="126" t="str">
        <f>IFERROR(VLOOKUP(C22:C164,'R22 RELATÓRIO ACC'!B:P,15,FALSE),"NOT PUBLISHED")</f>
        <v>13/04/2026</v>
      </c>
      <c r="K25" s="746" t="str">
        <f>IFERROR(VLOOKUP(B22:B164,'RELATÓRIO ACC'!B:F,5,FALSE),"NOT PUBLISHED")</f>
        <v>V3</v>
      </c>
      <c r="L25" s="748" t="str">
        <f>IFERROR(VLOOKUP(B22:B164,'RELATÓRIO ACC'!B:P,15,FALSE),"NOT PUBLISHED")</f>
        <v>03/06/2026</v>
      </c>
      <c r="M25" s="141" t="s">
        <v>481</v>
      </c>
      <c r="N25" s="756" t="s">
        <v>461</v>
      </c>
      <c r="O25" s="1042" t="s">
        <v>482</v>
      </c>
      <c r="P25" s="1043" t="s">
        <v>129</v>
      </c>
      <c r="Q25" s="746" t="s">
        <v>477</v>
      </c>
      <c r="R25" s="766" t="s">
        <v>476</v>
      </c>
      <c r="S25" s="1057">
        <v>0.73</v>
      </c>
      <c r="T25" s="755" t="s">
        <v>478</v>
      </c>
      <c r="U25" s="759" t="s">
        <v>476</v>
      </c>
      <c r="V25" s="761" t="s">
        <v>478</v>
      </c>
      <c r="W25" s="755" t="s">
        <v>478</v>
      </c>
      <c r="X25" s="759" t="s">
        <v>476</v>
      </c>
      <c r="Y25" s="1157" t="s">
        <v>478</v>
      </c>
      <c r="Z25" s="755" t="s">
        <v>477</v>
      </c>
      <c r="AA25" s="759" t="s">
        <v>476</v>
      </c>
      <c r="AB25" s="1057">
        <v>0.84</v>
      </c>
      <c r="AC25" s="755" t="s">
        <v>478</v>
      </c>
      <c r="AD25" s="759" t="s">
        <v>476</v>
      </c>
      <c r="AE25" s="1157" t="s">
        <v>478</v>
      </c>
      <c r="AF25" s="755" t="s">
        <v>474</v>
      </c>
      <c r="AG25" s="759" t="s">
        <v>476</v>
      </c>
      <c r="AH25" s="1157" t="s">
        <v>474</v>
      </c>
      <c r="AI25" s="755" t="s">
        <v>484</v>
      </c>
      <c r="AJ25" s="759" t="s">
        <v>476</v>
      </c>
      <c r="AK25" s="1057">
        <v>1.0</v>
      </c>
      <c r="AL25" s="746" t="s">
        <v>485</v>
      </c>
      <c r="AM25" s="759" t="s">
        <v>476</v>
      </c>
      <c r="AN25" s="1057">
        <v>1.0</v>
      </c>
      <c r="AO25" s="746" t="s">
        <v>485</v>
      </c>
      <c r="AP25" s="759" t="s">
        <v>476</v>
      </c>
      <c r="AQ25" s="1057">
        <v>1.0</v>
      </c>
      <c r="AR25" s="746" t="s">
        <v>485</v>
      </c>
      <c r="AS25" s="759" t="s">
        <v>476</v>
      </c>
      <c r="AT25" s="1057">
        <v>1.0</v>
      </c>
      <c r="AU25" s="746" t="s">
        <v>485</v>
      </c>
      <c r="AV25" s="759" t="s">
        <v>476</v>
      </c>
      <c r="AW25" s="1057">
        <v>1.0</v>
      </c>
      <c r="AX25" s="746" t="s">
        <v>485</v>
      </c>
      <c r="AY25" s="759" t="s">
        <v>476</v>
      </c>
      <c r="AZ25" s="1057">
        <v>1.0</v>
      </c>
      <c r="BA25" s="746" t="s">
        <v>485</v>
      </c>
      <c r="BB25" s="759" t="s">
        <v>476</v>
      </c>
      <c r="BC25" s="1057">
        <v>1.0</v>
      </c>
      <c r="BD25" s="746" t="s">
        <v>485</v>
      </c>
      <c r="BE25" s="759" t="s">
        <v>476</v>
      </c>
      <c r="BF25" s="1057">
        <v>1.0</v>
      </c>
      <c r="BG25" s="746" t="s">
        <v>485</v>
      </c>
      <c r="BH25" s="759" t="s">
        <v>476</v>
      </c>
      <c r="BI25" s="1057">
        <v>1.0</v>
      </c>
      <c r="BJ25" s="746" t="s">
        <v>485</v>
      </c>
      <c r="BK25" s="759" t="s">
        <v>476</v>
      </c>
      <c r="BL25" s="1057">
        <v>1.0</v>
      </c>
      <c r="BM25" s="746" t="s">
        <v>485</v>
      </c>
      <c r="BN25" s="759" t="s">
        <v>476</v>
      </c>
      <c r="BO25" s="1057">
        <v>1.0</v>
      </c>
      <c r="BP25" s="746" t="s">
        <v>485</v>
      </c>
      <c r="BQ25" s="759" t="s">
        <v>476</v>
      </c>
      <c r="BR25" s="1057">
        <v>1.0</v>
      </c>
      <c r="BS25" s="746" t="s">
        <v>485</v>
      </c>
      <c r="BT25" s="759" t="s">
        <v>476</v>
      </c>
      <c r="BU25" s="1057">
        <v>1.0</v>
      </c>
      <c r="BV25" s="746" t="s">
        <v>485</v>
      </c>
      <c r="BW25" s="759" t="s">
        <v>476</v>
      </c>
      <c r="BX25" s="1057">
        <v>1.0</v>
      </c>
      <c r="BY25" s="746" t="s">
        <v>485</v>
      </c>
      <c r="BZ25" s="759" t="s">
        <v>476</v>
      </c>
      <c r="CA25" s="1057">
        <v>1.0</v>
      </c>
      <c r="CB25" s="746" t="s">
        <v>485</v>
      </c>
      <c r="CC25" s="759" t="s">
        <v>476</v>
      </c>
      <c r="CD25" s="1057">
        <v>1.0</v>
      </c>
      <c r="CE25" s="746" t="s">
        <v>485</v>
      </c>
      <c r="CF25" s="759" t="s">
        <v>476</v>
      </c>
      <c r="CG25" s="1057">
        <v>1.0</v>
      </c>
      <c r="CH25" s="746" t="s">
        <v>485</v>
      </c>
      <c r="CI25" s="759" t="s">
        <v>476</v>
      </c>
      <c r="CJ25" s="1057">
        <v>1.0</v>
      </c>
      <c r="CK25" s="746" t="s">
        <v>485</v>
      </c>
      <c r="CL25" s="759" t="s">
        <v>476</v>
      </c>
      <c r="CM25" s="1057">
        <v>1.0</v>
      </c>
      <c r="CN25" s="746" t="s">
        <v>485</v>
      </c>
      <c r="CO25" s="759" t="s">
        <v>476</v>
      </c>
      <c r="CP25" s="1057">
        <v>1.0</v>
      </c>
      <c r="CQ25" s="746" t="s">
        <v>485</v>
      </c>
      <c r="CR25" s="759" t="s">
        <v>476</v>
      </c>
      <c r="CS25" s="1057">
        <v>1.0</v>
      </c>
      <c r="CT25" s="746" t="s">
        <v>485</v>
      </c>
      <c r="CU25" s="759" t="s">
        <v>476</v>
      </c>
      <c r="CV25" s="1057">
        <v>1.0</v>
      </c>
      <c r="CW25" s="746" t="s">
        <v>485</v>
      </c>
      <c r="CX25" s="759" t="s">
        <v>476</v>
      </c>
      <c r="CY25" s="1057">
        <v>1.0</v>
      </c>
      <c r="CZ25" s="746" t="s">
        <v>485</v>
      </c>
      <c r="DA25" s="759" t="s">
        <v>476</v>
      </c>
      <c r="DB25" s="1057">
        <v>1.0</v>
      </c>
      <c r="DC25" s="746" t="s">
        <v>485</v>
      </c>
      <c r="DD25" s="759" t="s">
        <v>476</v>
      </c>
      <c r="DE25" s="1057">
        <v>1.0</v>
      </c>
      <c r="DF25" s="746" t="s">
        <v>485</v>
      </c>
      <c r="DG25" s="759" t="s">
        <v>476</v>
      </c>
      <c r="DH25" s="1057">
        <v>1.0</v>
      </c>
      <c r="DI25" s="746" t="s">
        <v>485</v>
      </c>
      <c r="DJ25" s="759" t="s">
        <v>476</v>
      </c>
      <c r="DK25" s="1057">
        <v>1.0</v>
      </c>
      <c r="DL25" s="746" t="s">
        <v>485</v>
      </c>
      <c r="DM25" s="759" t="s">
        <v>476</v>
      </c>
      <c r="DN25" s="1057">
        <v>1.0</v>
      </c>
      <c r="DO25" s="746" t="s">
        <v>485</v>
      </c>
      <c r="DP25" s="759" t="s">
        <v>476</v>
      </c>
      <c r="DQ25" s="1057">
        <v>1.0</v>
      </c>
      <c r="DR25" s="126" t="s">
        <v>91</v>
      </c>
      <c r="DS25" s="111"/>
      <c r="DT25" s="111"/>
      <c r="DU25" s="111"/>
    </row>
    <row r="26" ht="13.5" hidden="1" customHeight="1">
      <c r="A26" s="60">
        <v>38.0</v>
      </c>
      <c r="B26" s="895" t="s">
        <v>177</v>
      </c>
      <c r="C26" s="188"/>
      <c r="D26" s="189"/>
      <c r="E26" s="189"/>
      <c r="F26" s="189"/>
      <c r="G26" s="189"/>
      <c r="H26" s="190"/>
      <c r="I26" s="189"/>
      <c r="J26" s="189"/>
      <c r="K26" s="260"/>
      <c r="L26" s="248"/>
      <c r="M26" s="189"/>
      <c r="N26" s="189"/>
      <c r="O26" s="73"/>
      <c r="P26" s="248"/>
      <c r="Q26" s="880"/>
      <c r="R26" s="880"/>
      <c r="S26" s="1067"/>
      <c r="T26" s="880"/>
      <c r="U26" s="880"/>
      <c r="V26" s="880"/>
      <c r="W26" s="880"/>
      <c r="X26" s="880"/>
      <c r="Y26" s="880"/>
      <c r="Z26" s="880"/>
      <c r="AA26" s="880"/>
      <c r="AB26" s="880"/>
      <c r="AC26" s="880"/>
      <c r="AD26" s="880"/>
      <c r="AE26" s="1169"/>
      <c r="AF26" s="880"/>
      <c r="AG26" s="876"/>
      <c r="AH26" s="879"/>
      <c r="AI26" s="880"/>
      <c r="AJ26" s="876"/>
      <c r="AK26" s="879"/>
      <c r="AL26" s="880"/>
      <c r="AM26" s="876"/>
      <c r="AN26" s="879"/>
      <c r="AO26" s="880"/>
      <c r="AP26" s="876"/>
      <c r="AQ26" s="879"/>
      <c r="AR26" s="880"/>
      <c r="AS26" s="876"/>
      <c r="AT26" s="879"/>
      <c r="AU26" s="880"/>
      <c r="AV26" s="876"/>
      <c r="AW26" s="879"/>
      <c r="AX26" s="880"/>
      <c r="AY26" s="876"/>
      <c r="AZ26" s="879"/>
      <c r="BA26" s="880"/>
      <c r="BB26" s="876"/>
      <c r="BC26" s="879"/>
      <c r="BD26" s="880"/>
      <c r="BE26" s="876"/>
      <c r="BF26" s="879"/>
      <c r="BG26" s="880"/>
      <c r="BH26" s="876"/>
      <c r="BI26" s="879"/>
      <c r="BJ26" s="880"/>
      <c r="BK26" s="876"/>
      <c r="BL26" s="879"/>
      <c r="BM26" s="880"/>
      <c r="BN26" s="876"/>
      <c r="BO26" s="879"/>
      <c r="BP26" s="880"/>
      <c r="BQ26" s="876"/>
      <c r="BR26" s="879"/>
      <c r="BS26" s="880"/>
      <c r="BT26" s="876"/>
      <c r="BU26" s="879"/>
      <c r="BV26" s="880"/>
      <c r="BW26" s="876"/>
      <c r="BX26" s="879"/>
      <c r="BY26" s="880"/>
      <c r="BZ26" s="876"/>
      <c r="CA26" s="879"/>
      <c r="CB26" s="880"/>
      <c r="CC26" s="880"/>
      <c r="CD26" s="880"/>
      <c r="CE26" s="880"/>
      <c r="CF26" s="880"/>
      <c r="CG26" s="880"/>
      <c r="CH26" s="880"/>
      <c r="CI26" s="880"/>
      <c r="CJ26" s="880"/>
      <c r="CK26" s="880"/>
      <c r="CL26" s="880"/>
      <c r="CM26" s="880"/>
      <c r="CN26" s="880"/>
      <c r="CO26" s="880"/>
      <c r="CP26" s="880"/>
      <c r="CQ26" s="880"/>
      <c r="CR26" s="880"/>
      <c r="CS26" s="880"/>
      <c r="CT26" s="880"/>
      <c r="CU26" s="880"/>
      <c r="CV26" s="880"/>
      <c r="CW26" s="880"/>
      <c r="CX26" s="880"/>
      <c r="CY26" s="880"/>
      <c r="CZ26" s="880"/>
      <c r="DA26" s="880"/>
      <c r="DB26" s="880"/>
      <c r="DC26" s="880"/>
      <c r="DD26" s="880"/>
      <c r="DE26" s="880"/>
      <c r="DF26" s="880"/>
      <c r="DG26" s="880"/>
      <c r="DH26" s="880"/>
      <c r="DI26" s="880"/>
      <c r="DJ26" s="880"/>
      <c r="DK26" s="880"/>
      <c r="DL26" s="880"/>
      <c r="DM26" s="880"/>
      <c r="DN26" s="880"/>
      <c r="DO26" s="880"/>
      <c r="DP26" s="880"/>
      <c r="DQ26" s="880"/>
      <c r="DR26" s="186"/>
      <c r="DS26" s="186"/>
      <c r="DT26" s="186"/>
      <c r="DU26" s="186"/>
    </row>
    <row r="27" ht="15.0" customHeight="1" outlineLevel="1">
      <c r="A27" s="60">
        <v>11.0</v>
      </c>
      <c r="B27" s="747" t="s">
        <v>98</v>
      </c>
      <c r="C27" s="747" t="s">
        <v>99</v>
      </c>
      <c r="D27" s="71" t="s">
        <v>85</v>
      </c>
      <c r="E27" s="138" t="s">
        <v>100</v>
      </c>
      <c r="F27" s="72">
        <v>1104.0</v>
      </c>
      <c r="G27" s="139" t="s">
        <v>101</v>
      </c>
      <c r="H27" s="139">
        <v>1127.0</v>
      </c>
      <c r="I27" s="126" t="str">
        <f>IFERROR(VLOOKUP(C24:C166,'R22 RELATÓRIO ACC'!B:F,5,FALSE),"NOT PUBLISHED")</f>
        <v>V12</v>
      </c>
      <c r="J27" s="126" t="str">
        <f>IFERROR(VLOOKUP(C24:C166,'R22 RELATÓRIO ACC'!B:P,15,FALSE),"NOT PUBLISHED")</f>
        <v>08/04/2026</v>
      </c>
      <c r="K27" s="746" t="str">
        <f>IFERROR(VLOOKUP(B24:B166,'RELATÓRIO ACC'!B:F,5,FALSE),"NOT PUBLISHED")</f>
        <v>V1</v>
      </c>
      <c r="L27" s="748" t="str">
        <f>IFERROR(VLOOKUP(B24:B166,'RELATÓRIO ACC'!B:P,15,FALSE),"NOT PUBLISHED")</f>
        <v>15/05/2026</v>
      </c>
      <c r="M27" s="141" t="s">
        <v>486</v>
      </c>
      <c r="N27" s="756" t="s">
        <v>487</v>
      </c>
      <c r="O27" s="1042" t="s">
        <v>482</v>
      </c>
      <c r="P27" s="1043" t="s">
        <v>102</v>
      </c>
      <c r="Q27" s="746" t="s">
        <v>484</v>
      </c>
      <c r="R27" s="766" t="s">
        <v>476</v>
      </c>
      <c r="S27" s="1057">
        <v>1.0</v>
      </c>
      <c r="T27" s="746" t="s">
        <v>485</v>
      </c>
      <c r="U27" s="792" t="s">
        <v>476</v>
      </c>
      <c r="V27" s="135">
        <v>1.0</v>
      </c>
      <c r="W27" s="746" t="s">
        <v>485</v>
      </c>
      <c r="X27" s="792" t="s">
        <v>476</v>
      </c>
      <c r="Y27" s="135">
        <v>1.0</v>
      </c>
      <c r="Z27" s="746" t="s">
        <v>485</v>
      </c>
      <c r="AA27" s="792" t="s">
        <v>476</v>
      </c>
      <c r="AB27" s="1057">
        <v>1.0</v>
      </c>
      <c r="AC27" s="746" t="s">
        <v>485</v>
      </c>
      <c r="AD27" s="792" t="s">
        <v>476</v>
      </c>
      <c r="AE27" s="1057">
        <v>1.0</v>
      </c>
      <c r="AF27" s="746" t="s">
        <v>485</v>
      </c>
      <c r="AG27" s="792" t="s">
        <v>476</v>
      </c>
      <c r="AH27" s="1057">
        <v>1.0</v>
      </c>
      <c r="AI27" s="746" t="s">
        <v>485</v>
      </c>
      <c r="AJ27" s="792" t="s">
        <v>476</v>
      </c>
      <c r="AK27" s="1057">
        <v>1.0</v>
      </c>
      <c r="AL27" s="746" t="s">
        <v>485</v>
      </c>
      <c r="AM27" s="792" t="s">
        <v>476</v>
      </c>
      <c r="AN27" s="1057">
        <v>1.0</v>
      </c>
      <c r="AO27" s="746" t="s">
        <v>485</v>
      </c>
      <c r="AP27" s="792" t="s">
        <v>476</v>
      </c>
      <c r="AQ27" s="1057">
        <v>1.0</v>
      </c>
      <c r="AR27" s="746" t="s">
        <v>485</v>
      </c>
      <c r="AS27" s="792" t="s">
        <v>476</v>
      </c>
      <c r="AT27" s="1057">
        <v>1.0</v>
      </c>
      <c r="AU27" s="746" t="s">
        <v>485</v>
      </c>
      <c r="AV27" s="792" t="s">
        <v>476</v>
      </c>
      <c r="AW27" s="1057">
        <v>1.0</v>
      </c>
      <c r="AX27" s="746" t="s">
        <v>485</v>
      </c>
      <c r="AY27" s="792" t="s">
        <v>476</v>
      </c>
      <c r="AZ27" s="1057">
        <v>1.0</v>
      </c>
      <c r="BA27" s="746" t="s">
        <v>485</v>
      </c>
      <c r="BB27" s="792" t="s">
        <v>476</v>
      </c>
      <c r="BC27" s="1057">
        <v>1.0</v>
      </c>
      <c r="BD27" s="746" t="s">
        <v>485</v>
      </c>
      <c r="BE27" s="792" t="s">
        <v>476</v>
      </c>
      <c r="BF27" s="1057">
        <v>1.0</v>
      </c>
      <c r="BG27" s="746" t="s">
        <v>485</v>
      </c>
      <c r="BH27" s="792" t="s">
        <v>476</v>
      </c>
      <c r="BI27" s="1057">
        <v>1.0</v>
      </c>
      <c r="BJ27" s="746" t="s">
        <v>485</v>
      </c>
      <c r="BK27" s="792" t="s">
        <v>476</v>
      </c>
      <c r="BL27" s="1057">
        <v>1.0</v>
      </c>
      <c r="BM27" s="746" t="s">
        <v>485</v>
      </c>
      <c r="BN27" s="792" t="s">
        <v>476</v>
      </c>
      <c r="BO27" s="1057">
        <v>1.0</v>
      </c>
      <c r="BP27" s="746" t="s">
        <v>485</v>
      </c>
      <c r="BQ27" s="792" t="s">
        <v>476</v>
      </c>
      <c r="BR27" s="1057">
        <v>1.0</v>
      </c>
      <c r="BS27" s="746" t="s">
        <v>485</v>
      </c>
      <c r="BT27" s="792" t="s">
        <v>476</v>
      </c>
      <c r="BU27" s="1057">
        <v>1.0</v>
      </c>
      <c r="BV27" s="746" t="s">
        <v>485</v>
      </c>
      <c r="BW27" s="792" t="s">
        <v>476</v>
      </c>
      <c r="BX27" s="1057">
        <v>1.0</v>
      </c>
      <c r="BY27" s="746" t="s">
        <v>485</v>
      </c>
      <c r="BZ27" s="792" t="s">
        <v>476</v>
      </c>
      <c r="CA27" s="1057">
        <v>1.0</v>
      </c>
      <c r="CB27" s="746" t="s">
        <v>485</v>
      </c>
      <c r="CC27" s="792" t="s">
        <v>476</v>
      </c>
      <c r="CD27" s="1057">
        <v>1.0</v>
      </c>
      <c r="CE27" s="746" t="s">
        <v>485</v>
      </c>
      <c r="CF27" s="792" t="s">
        <v>476</v>
      </c>
      <c r="CG27" s="1057">
        <v>1.0</v>
      </c>
      <c r="CH27" s="746" t="s">
        <v>485</v>
      </c>
      <c r="CI27" s="792" t="s">
        <v>476</v>
      </c>
      <c r="CJ27" s="1057">
        <v>1.0</v>
      </c>
      <c r="CK27" s="746" t="s">
        <v>485</v>
      </c>
      <c r="CL27" s="792" t="s">
        <v>476</v>
      </c>
      <c r="CM27" s="1057">
        <v>1.0</v>
      </c>
      <c r="CN27" s="746" t="s">
        <v>485</v>
      </c>
      <c r="CO27" s="792" t="s">
        <v>476</v>
      </c>
      <c r="CP27" s="1057">
        <v>1.0</v>
      </c>
      <c r="CQ27" s="746" t="s">
        <v>485</v>
      </c>
      <c r="CR27" s="792" t="s">
        <v>476</v>
      </c>
      <c r="CS27" s="1057">
        <v>1.0</v>
      </c>
      <c r="CT27" s="746" t="s">
        <v>485</v>
      </c>
      <c r="CU27" s="792" t="s">
        <v>476</v>
      </c>
      <c r="CV27" s="1057">
        <v>1.0</v>
      </c>
      <c r="CW27" s="746" t="s">
        <v>485</v>
      </c>
      <c r="CX27" s="792" t="s">
        <v>476</v>
      </c>
      <c r="CY27" s="1057">
        <v>1.0</v>
      </c>
      <c r="CZ27" s="746" t="s">
        <v>485</v>
      </c>
      <c r="DA27" s="792" t="s">
        <v>476</v>
      </c>
      <c r="DB27" s="1057">
        <v>1.0</v>
      </c>
      <c r="DC27" s="746" t="s">
        <v>485</v>
      </c>
      <c r="DD27" s="792" t="s">
        <v>476</v>
      </c>
      <c r="DE27" s="1057">
        <v>1.0</v>
      </c>
      <c r="DF27" s="746" t="s">
        <v>485</v>
      </c>
      <c r="DG27" s="792" t="s">
        <v>476</v>
      </c>
      <c r="DH27" s="1057">
        <v>1.0</v>
      </c>
      <c r="DI27" s="746" t="s">
        <v>485</v>
      </c>
      <c r="DJ27" s="792" t="s">
        <v>476</v>
      </c>
      <c r="DK27" s="1057">
        <v>1.0</v>
      </c>
      <c r="DL27" s="746" t="s">
        <v>485</v>
      </c>
      <c r="DM27" s="792" t="s">
        <v>476</v>
      </c>
      <c r="DN27" s="1057">
        <v>1.0</v>
      </c>
      <c r="DO27" s="746" t="s">
        <v>485</v>
      </c>
      <c r="DP27" s="792" t="s">
        <v>476</v>
      </c>
      <c r="DQ27" s="1057">
        <v>1.0</v>
      </c>
      <c r="DR27" s="126" t="s">
        <v>194</v>
      </c>
      <c r="DS27" s="111"/>
      <c r="DT27" s="111"/>
      <c r="DU27" s="111"/>
    </row>
    <row r="28" ht="15.0" hidden="1" customHeight="1">
      <c r="A28" s="60">
        <v>41.0</v>
      </c>
      <c r="B28" s="895" t="s">
        <v>183</v>
      </c>
      <c r="C28" s="188"/>
      <c r="D28" s="189"/>
      <c r="E28" s="189"/>
      <c r="F28" s="189"/>
      <c r="G28" s="189"/>
      <c r="H28" s="190"/>
      <c r="I28" s="189"/>
      <c r="J28" s="189"/>
      <c r="K28" s="260"/>
      <c r="L28" s="248"/>
      <c r="M28" s="811"/>
      <c r="N28" s="190"/>
      <c r="O28" s="73"/>
      <c r="P28" s="248"/>
      <c r="Q28" s="880"/>
      <c r="R28" s="880"/>
      <c r="S28" s="1067"/>
      <c r="T28" s="880"/>
      <c r="U28" s="880"/>
      <c r="V28" s="880"/>
      <c r="W28" s="880"/>
      <c r="X28" s="880"/>
      <c r="Y28" s="880"/>
      <c r="Z28" s="880"/>
      <c r="AA28" s="877"/>
      <c r="AB28" s="880"/>
      <c r="AC28" s="880"/>
      <c r="AD28" s="880"/>
      <c r="AE28" s="880"/>
      <c r="AF28" s="880"/>
      <c r="AG28" s="880"/>
      <c r="AH28" s="880"/>
      <c r="AI28" s="880"/>
      <c r="AJ28" s="880"/>
      <c r="AK28" s="880"/>
      <c r="AL28" s="880"/>
      <c r="AM28" s="880"/>
      <c r="AN28" s="880"/>
      <c r="AO28" s="880"/>
      <c r="AP28" s="880"/>
      <c r="AQ28" s="880"/>
      <c r="AR28" s="880"/>
      <c r="AS28" s="880"/>
      <c r="AT28" s="880"/>
      <c r="AU28" s="880"/>
      <c r="AV28" s="880"/>
      <c r="AW28" s="880"/>
      <c r="AX28" s="880"/>
      <c r="AY28" s="880"/>
      <c r="AZ28" s="880"/>
      <c r="BA28" s="880"/>
      <c r="BB28" s="880"/>
      <c r="BC28" s="880"/>
      <c r="BD28" s="880"/>
      <c r="BE28" s="880"/>
      <c r="BF28" s="880"/>
      <c r="BG28" s="880"/>
      <c r="BH28" s="880"/>
      <c r="BI28" s="880"/>
      <c r="BJ28" s="880"/>
      <c r="BK28" s="880"/>
      <c r="BL28" s="880"/>
      <c r="BM28" s="880"/>
      <c r="BN28" s="880"/>
      <c r="BO28" s="880"/>
      <c r="BP28" s="880"/>
      <c r="BQ28" s="880"/>
      <c r="BR28" s="880"/>
      <c r="BS28" s="880"/>
      <c r="BT28" s="880"/>
      <c r="BU28" s="880"/>
      <c r="BV28" s="880"/>
      <c r="BW28" s="880"/>
      <c r="BX28" s="880"/>
      <c r="BY28" s="880"/>
      <c r="BZ28" s="880"/>
      <c r="CA28" s="880"/>
      <c r="CB28" s="880"/>
      <c r="CC28" s="880"/>
      <c r="CD28" s="880"/>
      <c r="CE28" s="880"/>
      <c r="CF28" s="880"/>
      <c r="CG28" s="880"/>
      <c r="CH28" s="880"/>
      <c r="CI28" s="880"/>
      <c r="CJ28" s="880"/>
      <c r="CK28" s="880"/>
      <c r="CL28" s="880"/>
      <c r="CM28" s="880"/>
      <c r="CN28" s="880"/>
      <c r="CO28" s="880"/>
      <c r="CP28" s="880"/>
      <c r="CQ28" s="880"/>
      <c r="CR28" s="880"/>
      <c r="CS28" s="880"/>
      <c r="CT28" s="880"/>
      <c r="CU28" s="880"/>
      <c r="CV28" s="880"/>
      <c r="CW28" s="880"/>
      <c r="CX28" s="880"/>
      <c r="CY28" s="880"/>
      <c r="CZ28" s="880"/>
      <c r="DA28" s="880"/>
      <c r="DB28" s="880"/>
      <c r="DC28" s="880"/>
      <c r="DD28" s="880"/>
      <c r="DE28" s="880"/>
      <c r="DF28" s="880"/>
      <c r="DG28" s="880"/>
      <c r="DH28" s="880"/>
      <c r="DI28" s="880"/>
      <c r="DJ28" s="880"/>
      <c r="DK28" s="880"/>
      <c r="DL28" s="880"/>
      <c r="DM28" s="880"/>
      <c r="DN28" s="880"/>
      <c r="DO28" s="880"/>
      <c r="DP28" s="880"/>
      <c r="DQ28" s="880"/>
      <c r="DR28" s="186"/>
      <c r="DS28" s="215"/>
      <c r="DT28" s="215"/>
      <c r="DU28" s="215"/>
    </row>
    <row r="29" ht="15.0" customHeight="1" outlineLevel="1">
      <c r="A29" s="60">
        <v>13.0</v>
      </c>
      <c r="B29" s="747" t="s">
        <v>105</v>
      </c>
      <c r="C29" s="747" t="s">
        <v>106</v>
      </c>
      <c r="D29" s="71" t="s">
        <v>85</v>
      </c>
      <c r="E29" s="146" t="s">
        <v>107</v>
      </c>
      <c r="F29" s="72">
        <v>1105.0</v>
      </c>
      <c r="G29" s="147" t="s">
        <v>101</v>
      </c>
      <c r="H29" s="139">
        <v>1105.0</v>
      </c>
      <c r="I29" s="126" t="str">
        <f>IFERROR(VLOOKUP(C26:C168,'R22 RELATÓRIO ACC'!B:F,5,FALSE),"NOT PUBLISHED")</f>
        <v>V9</v>
      </c>
      <c r="J29" s="126" t="str">
        <f>IFERROR(VLOOKUP(C26:C168,'R22 RELATÓRIO ACC'!B:P,15,FALSE),"NOT PUBLISHED")</f>
        <v>27/03/2026</v>
      </c>
      <c r="K29" s="746" t="str">
        <f>IFERROR(VLOOKUP(B26:B168,'RELATÓRIO ACC'!B:F,5,FALSE),"NOT PUBLISHED")</f>
        <v>V2</v>
      </c>
      <c r="L29" s="748" t="str">
        <f>IFERROR(VLOOKUP(B26:B168,'RELATÓRIO ACC'!B:P,15,FALSE),"NOT PUBLISHED")</f>
        <v>26/06/2026</v>
      </c>
      <c r="M29" s="141" t="s">
        <v>479</v>
      </c>
      <c r="N29" s="756" t="s">
        <v>488</v>
      </c>
      <c r="O29" s="1042" t="s">
        <v>482</v>
      </c>
      <c r="P29" s="1043" t="s">
        <v>102</v>
      </c>
      <c r="Q29" s="746" t="s">
        <v>477</v>
      </c>
      <c r="R29" s="759" t="s">
        <v>476</v>
      </c>
      <c r="S29" s="764">
        <v>0.79</v>
      </c>
      <c r="T29" s="755" t="s">
        <v>478</v>
      </c>
      <c r="U29" s="759" t="s">
        <v>476</v>
      </c>
      <c r="V29" s="763" t="s">
        <v>478</v>
      </c>
      <c r="W29" s="755" t="s">
        <v>478</v>
      </c>
      <c r="X29" s="759" t="s">
        <v>476</v>
      </c>
      <c r="Y29" s="755" t="s">
        <v>478</v>
      </c>
      <c r="Z29" s="755" t="s">
        <v>478</v>
      </c>
      <c r="AA29" s="759" t="s">
        <v>476</v>
      </c>
      <c r="AB29" s="755" t="s">
        <v>478</v>
      </c>
      <c r="AC29" s="763" t="s">
        <v>478</v>
      </c>
      <c r="AD29" s="861" t="s">
        <v>476</v>
      </c>
      <c r="AE29" s="763" t="s">
        <v>478</v>
      </c>
      <c r="AF29" s="763" t="s">
        <v>474</v>
      </c>
      <c r="AG29" s="861" t="s">
        <v>476</v>
      </c>
      <c r="AH29" s="763" t="s">
        <v>474</v>
      </c>
      <c r="AI29" s="763" t="s">
        <v>484</v>
      </c>
      <c r="AJ29" s="861" t="s">
        <v>476</v>
      </c>
      <c r="AK29" s="135">
        <v>1.0</v>
      </c>
      <c r="AL29" s="68" t="s">
        <v>485</v>
      </c>
      <c r="AM29" s="861" t="s">
        <v>476</v>
      </c>
      <c r="AN29" s="135">
        <v>1.0</v>
      </c>
      <c r="AO29" s="68" t="s">
        <v>485</v>
      </c>
      <c r="AP29" s="861" t="s">
        <v>476</v>
      </c>
      <c r="AQ29" s="135">
        <v>1.0</v>
      </c>
      <c r="AR29" s="68" t="s">
        <v>485</v>
      </c>
      <c r="AS29" s="861" t="s">
        <v>476</v>
      </c>
      <c r="AT29" s="135">
        <v>1.0</v>
      </c>
      <c r="AU29" s="68" t="s">
        <v>485</v>
      </c>
      <c r="AV29" s="861" t="s">
        <v>476</v>
      </c>
      <c r="AW29" s="135">
        <v>1.0</v>
      </c>
      <c r="AX29" s="68" t="s">
        <v>485</v>
      </c>
      <c r="AY29" s="861" t="s">
        <v>476</v>
      </c>
      <c r="AZ29" s="135">
        <v>1.0</v>
      </c>
      <c r="BA29" s="68" t="s">
        <v>485</v>
      </c>
      <c r="BB29" s="861" t="s">
        <v>476</v>
      </c>
      <c r="BC29" s="135">
        <v>1.0</v>
      </c>
      <c r="BD29" s="68" t="s">
        <v>485</v>
      </c>
      <c r="BE29" s="861" t="s">
        <v>476</v>
      </c>
      <c r="BF29" s="135">
        <v>1.0</v>
      </c>
      <c r="BG29" s="68" t="s">
        <v>485</v>
      </c>
      <c r="BH29" s="791" t="s">
        <v>476</v>
      </c>
      <c r="BI29" s="135">
        <v>1.0</v>
      </c>
      <c r="BJ29" s="68" t="s">
        <v>485</v>
      </c>
      <c r="BK29" s="791" t="s">
        <v>476</v>
      </c>
      <c r="BL29" s="135">
        <v>1.0</v>
      </c>
      <c r="BM29" s="68" t="s">
        <v>485</v>
      </c>
      <c r="BN29" s="791" t="s">
        <v>476</v>
      </c>
      <c r="BO29" s="135">
        <v>1.0</v>
      </c>
      <c r="BP29" s="68" t="s">
        <v>485</v>
      </c>
      <c r="BQ29" s="791" t="s">
        <v>476</v>
      </c>
      <c r="BR29" s="135">
        <v>1.0</v>
      </c>
      <c r="BS29" s="68" t="s">
        <v>485</v>
      </c>
      <c r="BT29" s="791" t="s">
        <v>476</v>
      </c>
      <c r="BU29" s="135">
        <v>1.0</v>
      </c>
      <c r="BV29" s="68" t="s">
        <v>485</v>
      </c>
      <c r="BW29" s="791" t="s">
        <v>476</v>
      </c>
      <c r="BX29" s="135">
        <v>1.0</v>
      </c>
      <c r="BY29" s="68" t="s">
        <v>485</v>
      </c>
      <c r="BZ29" s="791" t="s">
        <v>476</v>
      </c>
      <c r="CA29" s="135">
        <v>1.0</v>
      </c>
      <c r="CB29" s="68" t="s">
        <v>485</v>
      </c>
      <c r="CC29" s="791" t="s">
        <v>476</v>
      </c>
      <c r="CD29" s="135">
        <v>1.0</v>
      </c>
      <c r="CE29" s="68" t="s">
        <v>485</v>
      </c>
      <c r="CF29" s="791" t="s">
        <v>476</v>
      </c>
      <c r="CG29" s="135">
        <v>1.0</v>
      </c>
      <c r="CH29" s="68" t="s">
        <v>485</v>
      </c>
      <c r="CI29" s="791" t="s">
        <v>476</v>
      </c>
      <c r="CJ29" s="135">
        <v>1.0</v>
      </c>
      <c r="CK29" s="68" t="s">
        <v>485</v>
      </c>
      <c r="CL29" s="791" t="s">
        <v>476</v>
      </c>
      <c r="CM29" s="135">
        <v>1.0</v>
      </c>
      <c r="CN29" s="68" t="s">
        <v>485</v>
      </c>
      <c r="CO29" s="791" t="s">
        <v>476</v>
      </c>
      <c r="CP29" s="135">
        <v>1.0</v>
      </c>
      <c r="CQ29" s="68" t="s">
        <v>485</v>
      </c>
      <c r="CR29" s="791" t="s">
        <v>476</v>
      </c>
      <c r="CS29" s="135">
        <v>1.0</v>
      </c>
      <c r="CT29" s="68" t="s">
        <v>485</v>
      </c>
      <c r="CU29" s="791" t="s">
        <v>476</v>
      </c>
      <c r="CV29" s="135">
        <v>1.0</v>
      </c>
      <c r="CW29" s="68" t="s">
        <v>485</v>
      </c>
      <c r="CX29" s="791" t="s">
        <v>476</v>
      </c>
      <c r="CY29" s="135">
        <v>1.0</v>
      </c>
      <c r="CZ29" s="68" t="s">
        <v>485</v>
      </c>
      <c r="DA29" s="791" t="s">
        <v>476</v>
      </c>
      <c r="DB29" s="135">
        <v>1.0</v>
      </c>
      <c r="DC29" s="68" t="s">
        <v>485</v>
      </c>
      <c r="DD29" s="791" t="s">
        <v>476</v>
      </c>
      <c r="DE29" s="135">
        <v>1.0</v>
      </c>
      <c r="DF29" s="68" t="s">
        <v>485</v>
      </c>
      <c r="DG29" s="791" t="s">
        <v>476</v>
      </c>
      <c r="DH29" s="135">
        <v>1.0</v>
      </c>
      <c r="DI29" s="68" t="s">
        <v>485</v>
      </c>
      <c r="DJ29" s="791" t="s">
        <v>476</v>
      </c>
      <c r="DK29" s="135">
        <v>1.0</v>
      </c>
      <c r="DL29" s="68" t="s">
        <v>485</v>
      </c>
      <c r="DM29" s="791" t="s">
        <v>476</v>
      </c>
      <c r="DN29" s="135">
        <v>1.0</v>
      </c>
      <c r="DO29" s="68" t="s">
        <v>485</v>
      </c>
      <c r="DP29" s="791" t="s">
        <v>476</v>
      </c>
      <c r="DQ29" s="135">
        <v>1.0</v>
      </c>
      <c r="DR29" s="126" t="s">
        <v>708</v>
      </c>
      <c r="DS29" s="111"/>
      <c r="DT29" s="111"/>
      <c r="DU29" s="111"/>
    </row>
    <row r="30" ht="15.0" hidden="1" customHeight="1">
      <c r="A30" s="60">
        <v>44.0</v>
      </c>
      <c r="B30" s="895" t="s">
        <v>189</v>
      </c>
      <c r="C30" s="188"/>
      <c r="D30" s="189"/>
      <c r="E30" s="189"/>
      <c r="F30" s="189"/>
      <c r="G30" s="189"/>
      <c r="H30" s="190"/>
      <c r="I30" s="189"/>
      <c r="J30" s="189"/>
      <c r="K30" s="260"/>
      <c r="L30" s="248"/>
      <c r="M30" s="189"/>
      <c r="N30" s="189"/>
      <c r="O30" s="73"/>
      <c r="P30" s="248"/>
      <c r="Q30" s="880"/>
      <c r="R30" s="880"/>
      <c r="S30" s="1067"/>
      <c r="T30" s="880"/>
      <c r="U30" s="877"/>
      <c r="V30" s="880"/>
      <c r="W30" s="880"/>
      <c r="X30" s="880"/>
      <c r="Y30" s="880"/>
      <c r="Z30" s="880"/>
      <c r="AA30" s="877"/>
      <c r="AB30" s="880"/>
      <c r="AC30" s="880"/>
      <c r="AD30" s="877"/>
      <c r="AE30" s="880"/>
      <c r="AF30" s="880"/>
      <c r="AG30" s="880"/>
      <c r="AH30" s="880"/>
      <c r="AI30" s="880"/>
      <c r="AJ30" s="880"/>
      <c r="AK30" s="880"/>
      <c r="AL30" s="880"/>
      <c r="AM30" s="880"/>
      <c r="AN30" s="880"/>
      <c r="AO30" s="880"/>
      <c r="AP30" s="880"/>
      <c r="AQ30" s="880"/>
      <c r="AR30" s="880"/>
      <c r="AS30" s="880"/>
      <c r="AT30" s="880"/>
      <c r="AU30" s="880"/>
      <c r="AV30" s="880"/>
      <c r="AW30" s="880"/>
      <c r="AX30" s="880"/>
      <c r="AY30" s="880"/>
      <c r="AZ30" s="880"/>
      <c r="BA30" s="880"/>
      <c r="BB30" s="880"/>
      <c r="BC30" s="880"/>
      <c r="BD30" s="880"/>
      <c r="BE30" s="880"/>
      <c r="BF30" s="880"/>
      <c r="BG30" s="880"/>
      <c r="BH30" s="880"/>
      <c r="BI30" s="880"/>
      <c r="BJ30" s="880"/>
      <c r="BK30" s="880"/>
      <c r="BL30" s="880"/>
      <c r="BM30" s="880"/>
      <c r="BN30" s="880"/>
      <c r="BO30" s="880"/>
      <c r="BP30" s="880"/>
      <c r="BQ30" s="880"/>
      <c r="BR30" s="880"/>
      <c r="BS30" s="880"/>
      <c r="BT30" s="880"/>
      <c r="BU30" s="880"/>
      <c r="BV30" s="880"/>
      <c r="BW30" s="880"/>
      <c r="BX30" s="880"/>
      <c r="BY30" s="880"/>
      <c r="BZ30" s="880"/>
      <c r="CA30" s="880"/>
      <c r="CB30" s="880"/>
      <c r="CC30" s="880"/>
      <c r="CD30" s="880"/>
      <c r="CE30" s="880"/>
      <c r="CF30" s="880"/>
      <c r="CG30" s="880"/>
      <c r="CH30" s="880"/>
      <c r="CI30" s="880"/>
      <c r="CJ30" s="880"/>
      <c r="CK30" s="880"/>
      <c r="CL30" s="880"/>
      <c r="CM30" s="880"/>
      <c r="CN30" s="880"/>
      <c r="CO30" s="880"/>
      <c r="CP30" s="880"/>
      <c r="CQ30" s="880"/>
      <c r="CR30" s="880"/>
      <c r="CS30" s="880"/>
      <c r="CT30" s="880"/>
      <c r="CU30" s="880"/>
      <c r="CV30" s="880"/>
      <c r="CW30" s="880"/>
      <c r="CX30" s="880"/>
      <c r="CY30" s="880"/>
      <c r="CZ30" s="880"/>
      <c r="DA30" s="880"/>
      <c r="DB30" s="880"/>
      <c r="DC30" s="880"/>
      <c r="DD30" s="880"/>
      <c r="DE30" s="880"/>
      <c r="DF30" s="880"/>
      <c r="DG30" s="880"/>
      <c r="DH30" s="880"/>
      <c r="DI30" s="880"/>
      <c r="DJ30" s="880"/>
      <c r="DK30" s="880"/>
      <c r="DL30" s="880"/>
      <c r="DM30" s="880"/>
      <c r="DN30" s="880"/>
      <c r="DO30" s="880"/>
      <c r="DP30" s="880"/>
      <c r="DQ30" s="880"/>
      <c r="DR30" s="186"/>
      <c r="DS30" s="186"/>
      <c r="DT30" s="186"/>
      <c r="DU30" s="186"/>
    </row>
    <row r="31" ht="15.0" customHeight="1" outlineLevel="1">
      <c r="A31" s="60">
        <v>14.0</v>
      </c>
      <c r="B31" s="747" t="s">
        <v>108</v>
      </c>
      <c r="C31" s="747" t="s">
        <v>109</v>
      </c>
      <c r="D31" s="71" t="s">
        <v>85</v>
      </c>
      <c r="E31" s="138" t="s">
        <v>100</v>
      </c>
      <c r="F31" s="72">
        <v>1104.0</v>
      </c>
      <c r="G31" s="139" t="s">
        <v>101</v>
      </c>
      <c r="H31" s="139">
        <v>1127.0</v>
      </c>
      <c r="I31" s="126" t="str">
        <f>IFERROR(VLOOKUP(C28:C170,'R22 RELATÓRIO ACC'!B:F,5,FALSE),"NOT PUBLISHED")</f>
        <v>V13</v>
      </c>
      <c r="J31" s="126" t="str">
        <f>IFERROR(VLOOKUP(C28:C170,'R22 RELATÓRIO ACC'!B:P,15,FALSE),"NOT PUBLISHED")</f>
        <v>02/03/2026</v>
      </c>
      <c r="K31" s="746" t="str">
        <f>IFERROR(VLOOKUP(B28:B170,'RELATÓRIO ACC'!B:F,5,FALSE),"NOT PUBLISHED")</f>
        <v>V3</v>
      </c>
      <c r="L31" s="748" t="str">
        <f>IFERROR(VLOOKUP(B28:B170,'RELATÓRIO ACC'!B:P,15,FALSE),"NOT PUBLISHED")</f>
        <v>24/06/2026</v>
      </c>
      <c r="M31" s="141" t="s">
        <v>489</v>
      </c>
      <c r="N31" s="756" t="s">
        <v>488</v>
      </c>
      <c r="O31" s="1042" t="s">
        <v>482</v>
      </c>
      <c r="P31" s="1043" t="s">
        <v>102</v>
      </c>
      <c r="Q31" s="746" t="s">
        <v>477</v>
      </c>
      <c r="R31" s="759" t="s">
        <v>476</v>
      </c>
      <c r="S31" s="1057">
        <v>0.62</v>
      </c>
      <c r="T31" s="755" t="s">
        <v>478</v>
      </c>
      <c r="U31" s="759" t="s">
        <v>476</v>
      </c>
      <c r="V31" s="1157" t="s">
        <v>478</v>
      </c>
      <c r="W31" s="755" t="s">
        <v>478</v>
      </c>
      <c r="X31" s="759" t="s">
        <v>476</v>
      </c>
      <c r="Y31" s="1157" t="s">
        <v>478</v>
      </c>
      <c r="Z31" s="755" t="s">
        <v>478</v>
      </c>
      <c r="AA31" s="759" t="s">
        <v>476</v>
      </c>
      <c r="AB31" s="1157" t="s">
        <v>478</v>
      </c>
      <c r="AC31" s="755" t="s">
        <v>478</v>
      </c>
      <c r="AD31" s="759" t="s">
        <v>476</v>
      </c>
      <c r="AE31" s="1157" t="s">
        <v>478</v>
      </c>
      <c r="AF31" s="755" t="s">
        <v>474</v>
      </c>
      <c r="AG31" s="759" t="s">
        <v>476</v>
      </c>
      <c r="AH31" s="1157" t="s">
        <v>474</v>
      </c>
      <c r="AI31" s="755" t="s">
        <v>484</v>
      </c>
      <c r="AJ31" s="759" t="s">
        <v>476</v>
      </c>
      <c r="AK31" s="1057">
        <v>1.0</v>
      </c>
      <c r="AL31" s="746" t="s">
        <v>485</v>
      </c>
      <c r="AM31" s="759" t="s">
        <v>476</v>
      </c>
      <c r="AN31" s="1057">
        <v>1.0</v>
      </c>
      <c r="AO31" s="746" t="s">
        <v>485</v>
      </c>
      <c r="AP31" s="759" t="s">
        <v>476</v>
      </c>
      <c r="AQ31" s="1057">
        <v>1.0</v>
      </c>
      <c r="AR31" s="746" t="s">
        <v>485</v>
      </c>
      <c r="AS31" s="759" t="s">
        <v>476</v>
      </c>
      <c r="AT31" s="1057">
        <v>1.0</v>
      </c>
      <c r="AU31" s="746" t="s">
        <v>485</v>
      </c>
      <c r="AV31" s="759" t="s">
        <v>476</v>
      </c>
      <c r="AW31" s="1057">
        <v>1.0</v>
      </c>
      <c r="AX31" s="746" t="s">
        <v>485</v>
      </c>
      <c r="AY31" s="759" t="s">
        <v>476</v>
      </c>
      <c r="AZ31" s="1057">
        <v>1.0</v>
      </c>
      <c r="BA31" s="746" t="s">
        <v>485</v>
      </c>
      <c r="BB31" s="759" t="s">
        <v>476</v>
      </c>
      <c r="BC31" s="1057">
        <v>1.0</v>
      </c>
      <c r="BD31" s="746" t="s">
        <v>485</v>
      </c>
      <c r="BE31" s="759" t="s">
        <v>476</v>
      </c>
      <c r="BF31" s="1057">
        <v>1.0</v>
      </c>
      <c r="BG31" s="746" t="s">
        <v>485</v>
      </c>
      <c r="BH31" s="759" t="s">
        <v>476</v>
      </c>
      <c r="BI31" s="1057">
        <v>1.0</v>
      </c>
      <c r="BJ31" s="746" t="s">
        <v>485</v>
      </c>
      <c r="BK31" s="759" t="s">
        <v>476</v>
      </c>
      <c r="BL31" s="1057">
        <v>1.0</v>
      </c>
      <c r="BM31" s="746" t="s">
        <v>485</v>
      </c>
      <c r="BN31" s="759" t="s">
        <v>476</v>
      </c>
      <c r="BO31" s="1057">
        <v>1.0</v>
      </c>
      <c r="BP31" s="746" t="s">
        <v>485</v>
      </c>
      <c r="BQ31" s="759" t="s">
        <v>476</v>
      </c>
      <c r="BR31" s="1057">
        <v>1.0</v>
      </c>
      <c r="BS31" s="746" t="s">
        <v>485</v>
      </c>
      <c r="BT31" s="759" t="s">
        <v>476</v>
      </c>
      <c r="BU31" s="1057">
        <v>1.0</v>
      </c>
      <c r="BV31" s="746" t="s">
        <v>485</v>
      </c>
      <c r="BW31" s="759" t="s">
        <v>476</v>
      </c>
      <c r="BX31" s="1057">
        <v>1.0</v>
      </c>
      <c r="BY31" s="746" t="s">
        <v>485</v>
      </c>
      <c r="BZ31" s="759" t="s">
        <v>476</v>
      </c>
      <c r="CA31" s="1057">
        <v>1.0</v>
      </c>
      <c r="CB31" s="746" t="s">
        <v>485</v>
      </c>
      <c r="CC31" s="759" t="s">
        <v>476</v>
      </c>
      <c r="CD31" s="1057">
        <v>1.0</v>
      </c>
      <c r="CE31" s="746" t="s">
        <v>485</v>
      </c>
      <c r="CF31" s="759" t="s">
        <v>476</v>
      </c>
      <c r="CG31" s="1057">
        <v>1.0</v>
      </c>
      <c r="CH31" s="746" t="s">
        <v>485</v>
      </c>
      <c r="CI31" s="759" t="s">
        <v>476</v>
      </c>
      <c r="CJ31" s="1057">
        <v>1.0</v>
      </c>
      <c r="CK31" s="746" t="s">
        <v>485</v>
      </c>
      <c r="CL31" s="759" t="s">
        <v>476</v>
      </c>
      <c r="CM31" s="1057">
        <v>1.0</v>
      </c>
      <c r="CN31" s="746" t="s">
        <v>485</v>
      </c>
      <c r="CO31" s="759" t="s">
        <v>476</v>
      </c>
      <c r="CP31" s="1057">
        <v>1.0</v>
      </c>
      <c r="CQ31" s="746" t="s">
        <v>485</v>
      </c>
      <c r="CR31" s="759" t="s">
        <v>476</v>
      </c>
      <c r="CS31" s="1057">
        <v>1.0</v>
      </c>
      <c r="CT31" s="746" t="s">
        <v>485</v>
      </c>
      <c r="CU31" s="759" t="s">
        <v>476</v>
      </c>
      <c r="CV31" s="1057">
        <v>1.0</v>
      </c>
      <c r="CW31" s="746" t="s">
        <v>485</v>
      </c>
      <c r="CX31" s="759" t="s">
        <v>476</v>
      </c>
      <c r="CY31" s="1057">
        <v>1.0</v>
      </c>
      <c r="CZ31" s="746" t="s">
        <v>485</v>
      </c>
      <c r="DA31" s="759" t="s">
        <v>476</v>
      </c>
      <c r="DB31" s="1057">
        <v>1.0</v>
      </c>
      <c r="DC31" s="746" t="s">
        <v>485</v>
      </c>
      <c r="DD31" s="759" t="s">
        <v>476</v>
      </c>
      <c r="DE31" s="1057">
        <v>1.0</v>
      </c>
      <c r="DF31" s="746" t="s">
        <v>485</v>
      </c>
      <c r="DG31" s="759" t="s">
        <v>476</v>
      </c>
      <c r="DH31" s="1057">
        <v>1.0</v>
      </c>
      <c r="DI31" s="746" t="s">
        <v>485</v>
      </c>
      <c r="DJ31" s="759" t="s">
        <v>476</v>
      </c>
      <c r="DK31" s="1057">
        <v>1.0</v>
      </c>
      <c r="DL31" s="746" t="s">
        <v>485</v>
      </c>
      <c r="DM31" s="759" t="s">
        <v>476</v>
      </c>
      <c r="DN31" s="1057">
        <v>1.0</v>
      </c>
      <c r="DO31" s="746" t="s">
        <v>485</v>
      </c>
      <c r="DP31" s="759" t="s">
        <v>476</v>
      </c>
      <c r="DQ31" s="1057">
        <v>1.0</v>
      </c>
      <c r="DR31" s="126" t="s">
        <v>708</v>
      </c>
      <c r="DS31" s="111"/>
      <c r="DT31" s="111"/>
      <c r="DU31" s="111"/>
    </row>
    <row r="32" ht="15.0" hidden="1" customHeight="1">
      <c r="A32" s="60">
        <v>47.0</v>
      </c>
      <c r="B32" s="816" t="s">
        <v>195</v>
      </c>
      <c r="C32" s="159"/>
      <c r="D32" s="216"/>
      <c r="E32" s="216"/>
      <c r="F32" s="216"/>
      <c r="G32" s="216"/>
      <c r="H32" s="217"/>
      <c r="I32" s="216"/>
      <c r="J32" s="216"/>
      <c r="K32" s="1074"/>
      <c r="L32" s="1075"/>
      <c r="M32" s="216"/>
      <c r="N32" s="216"/>
      <c r="O32" s="73"/>
      <c r="P32" s="1075"/>
      <c r="Q32" s="829"/>
      <c r="R32" s="829"/>
      <c r="S32" s="1077"/>
      <c r="T32" s="829"/>
      <c r="U32" s="829"/>
      <c r="V32" s="829"/>
      <c r="W32" s="829"/>
      <c r="X32" s="829"/>
      <c r="Y32" s="829"/>
      <c r="Z32" s="829"/>
      <c r="AA32" s="829"/>
      <c r="AB32" s="829"/>
      <c r="AC32" s="829"/>
      <c r="AD32" s="829"/>
      <c r="AE32" s="829"/>
      <c r="AF32" s="829"/>
      <c r="AG32" s="829"/>
      <c r="AH32" s="829"/>
      <c r="AI32" s="829"/>
      <c r="AJ32" s="829"/>
      <c r="AK32" s="829"/>
      <c r="AL32" s="829"/>
      <c r="AM32" s="829"/>
      <c r="AN32" s="829"/>
      <c r="AO32" s="829"/>
      <c r="AP32" s="829"/>
      <c r="AQ32" s="829"/>
      <c r="AR32" s="829"/>
      <c r="AS32" s="829"/>
      <c r="AT32" s="829"/>
      <c r="AU32" s="829"/>
      <c r="AV32" s="829"/>
      <c r="AW32" s="829"/>
      <c r="AX32" s="829"/>
      <c r="AY32" s="829"/>
      <c r="AZ32" s="829"/>
      <c r="BA32" s="829"/>
      <c r="BB32" s="829"/>
      <c r="BC32" s="829"/>
      <c r="BD32" s="829"/>
      <c r="BE32" s="829"/>
      <c r="BF32" s="829"/>
      <c r="BG32" s="829"/>
      <c r="BH32" s="829"/>
      <c r="BI32" s="829"/>
      <c r="BJ32" s="829"/>
      <c r="BK32" s="829"/>
      <c r="BL32" s="829"/>
      <c r="BM32" s="829"/>
      <c r="BN32" s="829"/>
      <c r="BO32" s="829"/>
      <c r="BP32" s="829"/>
      <c r="BQ32" s="829"/>
      <c r="BR32" s="829"/>
      <c r="BS32" s="829"/>
      <c r="BT32" s="829"/>
      <c r="BU32" s="829"/>
      <c r="BV32" s="829"/>
      <c r="BW32" s="829"/>
      <c r="BX32" s="829"/>
      <c r="BY32" s="829"/>
      <c r="BZ32" s="829"/>
      <c r="CA32" s="829"/>
      <c r="CB32" s="829"/>
      <c r="CC32" s="829"/>
      <c r="CD32" s="829"/>
      <c r="CE32" s="829"/>
      <c r="CF32" s="829"/>
      <c r="CG32" s="829"/>
      <c r="CH32" s="829"/>
      <c r="CI32" s="829"/>
      <c r="CJ32" s="829"/>
      <c r="CK32" s="829"/>
      <c r="CL32" s="829"/>
      <c r="CM32" s="829"/>
      <c r="CN32" s="829"/>
      <c r="CO32" s="829"/>
      <c r="CP32" s="829"/>
      <c r="CQ32" s="829"/>
      <c r="CR32" s="829"/>
      <c r="CS32" s="829"/>
      <c r="CT32" s="829"/>
      <c r="CU32" s="829"/>
      <c r="CV32" s="829"/>
      <c r="CW32" s="829"/>
      <c r="CX32" s="829"/>
      <c r="CY32" s="829"/>
      <c r="CZ32" s="829"/>
      <c r="DA32" s="829"/>
      <c r="DB32" s="829"/>
      <c r="DC32" s="829"/>
      <c r="DD32" s="829"/>
      <c r="DE32" s="829"/>
      <c r="DF32" s="829"/>
      <c r="DG32" s="829"/>
      <c r="DH32" s="829"/>
      <c r="DI32" s="829"/>
      <c r="DJ32" s="829"/>
      <c r="DK32" s="829"/>
      <c r="DL32" s="829"/>
      <c r="DM32" s="829"/>
      <c r="DN32" s="829"/>
      <c r="DO32" s="829"/>
      <c r="DP32" s="829"/>
      <c r="DQ32" s="829"/>
      <c r="DR32" s="1170"/>
      <c r="DS32" s="215"/>
      <c r="DT32" s="215"/>
      <c r="DU32" s="215"/>
    </row>
    <row r="33" ht="15.0" customHeight="1" outlineLevel="1">
      <c r="A33" s="60">
        <v>22.0</v>
      </c>
      <c r="B33" s="747" t="s">
        <v>130</v>
      </c>
      <c r="C33" s="747" t="s">
        <v>131</v>
      </c>
      <c r="D33" s="71" t="s">
        <v>85</v>
      </c>
      <c r="E33" s="146" t="s">
        <v>132</v>
      </c>
      <c r="F33" s="72">
        <v>1110.0</v>
      </c>
      <c r="G33" s="139" t="s">
        <v>133</v>
      </c>
      <c r="H33" s="139">
        <v>1128.0</v>
      </c>
      <c r="I33" s="126" t="str">
        <f>IFERROR(VLOOKUP(C30:C172,'R22 RELATÓRIO ACC'!B:F,5,FALSE),"NOT PUBLISHED")</f>
        <v>V25</v>
      </c>
      <c r="J33" s="126" t="str">
        <f>IFERROR(VLOOKUP(C30:C172,'R22 RELATÓRIO ACC'!B:P,15,FALSE),"NOT PUBLISHED")</f>
        <v>06/05/2026</v>
      </c>
      <c r="K33" s="746" t="str">
        <f>IFERROR(VLOOKUP(B30:B172,'RELATÓRIO ACC'!B:F,5,FALSE),"NOT PUBLISHED")</f>
        <v>V3</v>
      </c>
      <c r="L33" s="748" t="str">
        <f>IFERROR(VLOOKUP(B30:B172,'RELATÓRIO ACC'!B:P,15,FALSE),"NOT PUBLISHED")</f>
        <v>07/07/2026</v>
      </c>
      <c r="M33" s="141" t="s">
        <v>490</v>
      </c>
      <c r="N33" s="782">
        <v>45854.0</v>
      </c>
      <c r="O33" s="1042" t="s">
        <v>482</v>
      </c>
      <c r="P33" s="1043" t="s">
        <v>102</v>
      </c>
      <c r="Q33" s="746" t="s">
        <v>477</v>
      </c>
      <c r="R33" s="759" t="s">
        <v>476</v>
      </c>
      <c r="S33" s="1057">
        <v>0.55</v>
      </c>
      <c r="T33" s="755" t="s">
        <v>478</v>
      </c>
      <c r="U33" s="759" t="s">
        <v>476</v>
      </c>
      <c r="V33" s="1157" t="s">
        <v>478</v>
      </c>
      <c r="W33" s="755" t="s">
        <v>478</v>
      </c>
      <c r="X33" s="759" t="s">
        <v>476</v>
      </c>
      <c r="Y33" s="1157" t="s">
        <v>478</v>
      </c>
      <c r="Z33" s="755" t="s">
        <v>484</v>
      </c>
      <c r="AA33" s="759" t="s">
        <v>476</v>
      </c>
      <c r="AB33" s="1057">
        <v>1.0</v>
      </c>
      <c r="AC33" s="68" t="s">
        <v>485</v>
      </c>
      <c r="AD33" s="791" t="s">
        <v>476</v>
      </c>
      <c r="AE33" s="135">
        <v>1.0</v>
      </c>
      <c r="AF33" s="68" t="s">
        <v>485</v>
      </c>
      <c r="AG33" s="791" t="s">
        <v>476</v>
      </c>
      <c r="AH33" s="135">
        <v>1.0</v>
      </c>
      <c r="AI33" s="68" t="s">
        <v>485</v>
      </c>
      <c r="AJ33" s="791" t="s">
        <v>476</v>
      </c>
      <c r="AK33" s="135">
        <v>1.0</v>
      </c>
      <c r="AL33" s="68" t="s">
        <v>485</v>
      </c>
      <c r="AM33" s="791" t="s">
        <v>476</v>
      </c>
      <c r="AN33" s="135">
        <v>1.0</v>
      </c>
      <c r="AO33" s="68" t="s">
        <v>485</v>
      </c>
      <c r="AP33" s="791" t="s">
        <v>476</v>
      </c>
      <c r="AQ33" s="135">
        <v>1.0</v>
      </c>
      <c r="AR33" s="68" t="s">
        <v>485</v>
      </c>
      <c r="AS33" s="791" t="s">
        <v>476</v>
      </c>
      <c r="AT33" s="135">
        <v>1.0</v>
      </c>
      <c r="AU33" s="68" t="s">
        <v>485</v>
      </c>
      <c r="AV33" s="791" t="s">
        <v>476</v>
      </c>
      <c r="AW33" s="135">
        <v>1.0</v>
      </c>
      <c r="AX33" s="68" t="s">
        <v>485</v>
      </c>
      <c r="AY33" s="791" t="s">
        <v>476</v>
      </c>
      <c r="AZ33" s="135">
        <v>1.0</v>
      </c>
      <c r="BA33" s="68" t="s">
        <v>485</v>
      </c>
      <c r="BB33" s="791" t="s">
        <v>476</v>
      </c>
      <c r="BC33" s="135">
        <v>1.0</v>
      </c>
      <c r="BD33" s="68" t="s">
        <v>485</v>
      </c>
      <c r="BE33" s="791" t="s">
        <v>476</v>
      </c>
      <c r="BF33" s="135">
        <v>1.0</v>
      </c>
      <c r="BG33" s="68" t="s">
        <v>485</v>
      </c>
      <c r="BH33" s="791" t="s">
        <v>476</v>
      </c>
      <c r="BI33" s="135">
        <v>1.0</v>
      </c>
      <c r="BJ33" s="68" t="s">
        <v>485</v>
      </c>
      <c r="BK33" s="791" t="s">
        <v>476</v>
      </c>
      <c r="BL33" s="135">
        <v>1.0</v>
      </c>
      <c r="BM33" s="68" t="s">
        <v>485</v>
      </c>
      <c r="BN33" s="791" t="s">
        <v>476</v>
      </c>
      <c r="BO33" s="135">
        <v>1.0</v>
      </c>
      <c r="BP33" s="68" t="s">
        <v>485</v>
      </c>
      <c r="BQ33" s="791" t="s">
        <v>476</v>
      </c>
      <c r="BR33" s="135">
        <v>1.0</v>
      </c>
      <c r="BS33" s="68" t="s">
        <v>485</v>
      </c>
      <c r="BT33" s="791" t="s">
        <v>476</v>
      </c>
      <c r="BU33" s="135">
        <v>1.0</v>
      </c>
      <c r="BV33" s="68" t="s">
        <v>485</v>
      </c>
      <c r="BW33" s="791" t="s">
        <v>476</v>
      </c>
      <c r="BX33" s="135">
        <v>1.0</v>
      </c>
      <c r="BY33" s="68" t="s">
        <v>485</v>
      </c>
      <c r="BZ33" s="791" t="s">
        <v>476</v>
      </c>
      <c r="CA33" s="135">
        <v>1.0</v>
      </c>
      <c r="CB33" s="68" t="s">
        <v>485</v>
      </c>
      <c r="CC33" s="791" t="s">
        <v>476</v>
      </c>
      <c r="CD33" s="135">
        <v>1.0</v>
      </c>
      <c r="CE33" s="68" t="s">
        <v>485</v>
      </c>
      <c r="CF33" s="791" t="s">
        <v>476</v>
      </c>
      <c r="CG33" s="135">
        <v>1.0</v>
      </c>
      <c r="CH33" s="68" t="s">
        <v>485</v>
      </c>
      <c r="CI33" s="791" t="s">
        <v>476</v>
      </c>
      <c r="CJ33" s="135">
        <v>1.0</v>
      </c>
      <c r="CK33" s="68" t="s">
        <v>485</v>
      </c>
      <c r="CL33" s="791" t="s">
        <v>476</v>
      </c>
      <c r="CM33" s="135">
        <v>1.0</v>
      </c>
      <c r="CN33" s="68" t="s">
        <v>485</v>
      </c>
      <c r="CO33" s="791" t="s">
        <v>476</v>
      </c>
      <c r="CP33" s="135">
        <v>1.0</v>
      </c>
      <c r="CQ33" s="68" t="s">
        <v>485</v>
      </c>
      <c r="CR33" s="791" t="s">
        <v>476</v>
      </c>
      <c r="CS33" s="135">
        <v>1.0</v>
      </c>
      <c r="CT33" s="68" t="s">
        <v>485</v>
      </c>
      <c r="CU33" s="791" t="s">
        <v>476</v>
      </c>
      <c r="CV33" s="135">
        <v>1.0</v>
      </c>
      <c r="CW33" s="68" t="s">
        <v>485</v>
      </c>
      <c r="CX33" s="791" t="s">
        <v>476</v>
      </c>
      <c r="CY33" s="135">
        <v>1.0</v>
      </c>
      <c r="CZ33" s="68" t="s">
        <v>485</v>
      </c>
      <c r="DA33" s="791" t="s">
        <v>476</v>
      </c>
      <c r="DB33" s="135">
        <v>1.0</v>
      </c>
      <c r="DC33" s="68" t="s">
        <v>485</v>
      </c>
      <c r="DD33" s="791" t="s">
        <v>476</v>
      </c>
      <c r="DE33" s="135">
        <v>1.0</v>
      </c>
      <c r="DF33" s="68" t="s">
        <v>485</v>
      </c>
      <c r="DG33" s="791" t="s">
        <v>476</v>
      </c>
      <c r="DH33" s="135">
        <v>1.0</v>
      </c>
      <c r="DI33" s="68" t="s">
        <v>485</v>
      </c>
      <c r="DJ33" s="791" t="s">
        <v>476</v>
      </c>
      <c r="DK33" s="135">
        <v>1.0</v>
      </c>
      <c r="DL33" s="68" t="s">
        <v>485</v>
      </c>
      <c r="DM33" s="791" t="s">
        <v>476</v>
      </c>
      <c r="DN33" s="135">
        <v>1.0</v>
      </c>
      <c r="DO33" s="68" t="s">
        <v>485</v>
      </c>
      <c r="DP33" s="791" t="s">
        <v>476</v>
      </c>
      <c r="DQ33" s="135">
        <v>1.0</v>
      </c>
      <c r="DR33" s="126" t="s">
        <v>708</v>
      </c>
      <c r="DS33" s="111"/>
      <c r="DT33" s="111"/>
      <c r="DU33" s="111"/>
    </row>
    <row r="34" ht="15.0" hidden="1" customHeight="1">
      <c r="A34" s="60">
        <v>50.0</v>
      </c>
      <c r="B34" s="895" t="s">
        <v>201</v>
      </c>
      <c r="C34" s="188"/>
      <c r="D34" s="189"/>
      <c r="E34" s="189"/>
      <c r="F34" s="189"/>
      <c r="G34" s="189"/>
      <c r="H34" s="190"/>
      <c r="I34" s="189"/>
      <c r="J34" s="189"/>
      <c r="K34" s="260"/>
      <c r="L34" s="248"/>
      <c r="M34" s="189"/>
      <c r="N34" s="189"/>
      <c r="O34" s="73"/>
      <c r="P34" s="248"/>
      <c r="Q34" s="815"/>
      <c r="R34" s="815"/>
      <c r="S34" s="1081"/>
      <c r="T34" s="815"/>
      <c r="U34" s="815"/>
      <c r="V34" s="815"/>
      <c r="W34" s="815"/>
      <c r="X34" s="815"/>
      <c r="Y34" s="815"/>
      <c r="Z34" s="815"/>
      <c r="AA34" s="815"/>
      <c r="AB34" s="815"/>
      <c r="AC34" s="815"/>
      <c r="AD34" s="815"/>
      <c r="AE34" s="1171"/>
      <c r="AF34" s="815"/>
      <c r="AG34" s="815"/>
      <c r="AH34" s="815"/>
      <c r="AI34" s="815"/>
      <c r="AJ34" s="815"/>
      <c r="AK34" s="815"/>
      <c r="AL34" s="815"/>
      <c r="AM34" s="815"/>
      <c r="AN34" s="815"/>
      <c r="AO34" s="815"/>
      <c r="AP34" s="815"/>
      <c r="AQ34" s="815"/>
      <c r="AR34" s="815"/>
      <c r="AS34" s="815"/>
      <c r="AT34" s="815"/>
      <c r="AU34" s="815"/>
      <c r="AV34" s="815"/>
      <c r="AW34" s="815"/>
      <c r="AX34" s="815"/>
      <c r="AY34" s="815"/>
      <c r="AZ34" s="815"/>
      <c r="BA34" s="815"/>
      <c r="BB34" s="815"/>
      <c r="BC34" s="815"/>
      <c r="BD34" s="815"/>
      <c r="BE34" s="815"/>
      <c r="BF34" s="815"/>
      <c r="BG34" s="815"/>
      <c r="BH34" s="815"/>
      <c r="BI34" s="815"/>
      <c r="BJ34" s="815"/>
      <c r="BK34" s="815"/>
      <c r="BL34" s="815"/>
      <c r="BM34" s="815"/>
      <c r="BN34" s="815"/>
      <c r="BO34" s="815"/>
      <c r="BP34" s="815"/>
      <c r="BQ34" s="815"/>
      <c r="BR34" s="815"/>
      <c r="BS34" s="815"/>
      <c r="BT34" s="815"/>
      <c r="BU34" s="815"/>
      <c r="BV34" s="815"/>
      <c r="BW34" s="815"/>
      <c r="BX34" s="815"/>
      <c r="BY34" s="815"/>
      <c r="BZ34" s="815"/>
      <c r="CA34" s="815"/>
      <c r="CB34" s="815"/>
      <c r="CC34" s="815"/>
      <c r="CD34" s="815"/>
      <c r="CE34" s="815"/>
      <c r="CF34" s="815"/>
      <c r="CG34" s="815"/>
      <c r="CH34" s="815"/>
      <c r="CI34" s="815"/>
      <c r="CJ34" s="815"/>
      <c r="CK34" s="815"/>
      <c r="CL34" s="815"/>
      <c r="CM34" s="815"/>
      <c r="CN34" s="815"/>
      <c r="CO34" s="815"/>
      <c r="CP34" s="815"/>
      <c r="CQ34" s="815"/>
      <c r="CR34" s="815"/>
      <c r="CS34" s="815"/>
      <c r="CT34" s="815"/>
      <c r="CU34" s="815"/>
      <c r="CV34" s="815"/>
      <c r="CW34" s="815"/>
      <c r="CX34" s="815"/>
      <c r="CY34" s="815"/>
      <c r="CZ34" s="815"/>
      <c r="DA34" s="815"/>
      <c r="DB34" s="815"/>
      <c r="DC34" s="815"/>
      <c r="DD34" s="815"/>
      <c r="DE34" s="815"/>
      <c r="DF34" s="815"/>
      <c r="DG34" s="815"/>
      <c r="DH34" s="815"/>
      <c r="DI34" s="815"/>
      <c r="DJ34" s="815"/>
      <c r="DK34" s="815"/>
      <c r="DL34" s="815"/>
      <c r="DM34" s="815"/>
      <c r="DN34" s="815"/>
      <c r="DO34" s="815"/>
      <c r="DP34" s="815"/>
      <c r="DQ34" s="815"/>
      <c r="DR34" s="68"/>
      <c r="DS34" s="215"/>
      <c r="DT34" s="215"/>
      <c r="DU34" s="215"/>
    </row>
    <row r="35" ht="15.0" customHeight="1" outlineLevel="1">
      <c r="A35" s="60">
        <v>23.0</v>
      </c>
      <c r="B35" s="747" t="s">
        <v>134</v>
      </c>
      <c r="C35" s="747" t="s">
        <v>135</v>
      </c>
      <c r="D35" s="71" t="s">
        <v>85</v>
      </c>
      <c r="E35" s="146" t="s">
        <v>132</v>
      </c>
      <c r="F35" s="72">
        <v>1110.0</v>
      </c>
      <c r="G35" s="139" t="s">
        <v>133</v>
      </c>
      <c r="H35" s="139">
        <v>1128.0</v>
      </c>
      <c r="I35" s="126" t="str">
        <f>IFERROR(VLOOKUP(C32:C174,'R22 RELATÓRIO ACC'!B:F,5,FALSE),"NOT PUBLISHED")</f>
        <v>V30</v>
      </c>
      <c r="J35" s="126" t="str">
        <f>IFERROR(VLOOKUP(C32:C174,'R22 RELATÓRIO ACC'!B:P,15,FALSE),"NOT PUBLISHED")</f>
        <v>26/03/2026</v>
      </c>
      <c r="K35" s="746" t="str">
        <f>IFERROR(VLOOKUP(B32:B174,'RELATÓRIO ACC'!B:F,5,FALSE),"NOT PUBLISHED")</f>
        <v>V2</v>
      </c>
      <c r="L35" s="748" t="str">
        <f>IFERROR(VLOOKUP(B32:B174,'RELATÓRIO ACC'!B:P,15,FALSE),"NOT PUBLISHED")</f>
        <v>20/05/2026</v>
      </c>
      <c r="M35" s="141" t="s">
        <v>481</v>
      </c>
      <c r="N35" s="782">
        <v>45946.0</v>
      </c>
      <c r="O35" s="1042" t="s">
        <v>482</v>
      </c>
      <c r="P35" s="1083" t="s">
        <v>129</v>
      </c>
      <c r="Q35" s="746" t="s">
        <v>477</v>
      </c>
      <c r="R35" s="759" t="s">
        <v>476</v>
      </c>
      <c r="S35" s="1057">
        <v>0.8</v>
      </c>
      <c r="T35" s="755" t="s">
        <v>477</v>
      </c>
      <c r="U35" s="759" t="s">
        <v>476</v>
      </c>
      <c r="V35" s="1057">
        <v>0.93</v>
      </c>
      <c r="W35" s="755" t="s">
        <v>477</v>
      </c>
      <c r="X35" s="759" t="s">
        <v>476</v>
      </c>
      <c r="Y35" s="1057">
        <v>0.93</v>
      </c>
      <c r="Z35" s="755" t="s">
        <v>478</v>
      </c>
      <c r="AA35" s="759" t="s">
        <v>476</v>
      </c>
      <c r="AB35" s="1157" t="s">
        <v>478</v>
      </c>
      <c r="AC35" s="755" t="s">
        <v>484</v>
      </c>
      <c r="AD35" s="759" t="s">
        <v>476</v>
      </c>
      <c r="AE35" s="1057">
        <v>1.0</v>
      </c>
      <c r="AF35" s="746" t="s">
        <v>485</v>
      </c>
      <c r="AG35" s="759" t="s">
        <v>476</v>
      </c>
      <c r="AH35" s="1057">
        <v>1.0</v>
      </c>
      <c r="AI35" s="746" t="s">
        <v>485</v>
      </c>
      <c r="AJ35" s="759" t="s">
        <v>476</v>
      </c>
      <c r="AK35" s="1057">
        <v>1.0</v>
      </c>
      <c r="AL35" s="746" t="s">
        <v>485</v>
      </c>
      <c r="AM35" s="759" t="s">
        <v>476</v>
      </c>
      <c r="AN35" s="1057">
        <v>1.0</v>
      </c>
      <c r="AO35" s="746" t="s">
        <v>485</v>
      </c>
      <c r="AP35" s="759" t="s">
        <v>476</v>
      </c>
      <c r="AQ35" s="1057">
        <v>1.0</v>
      </c>
      <c r="AR35" s="746" t="s">
        <v>485</v>
      </c>
      <c r="AS35" s="759" t="s">
        <v>476</v>
      </c>
      <c r="AT35" s="1057">
        <v>1.0</v>
      </c>
      <c r="AU35" s="746" t="s">
        <v>485</v>
      </c>
      <c r="AV35" s="759" t="s">
        <v>476</v>
      </c>
      <c r="AW35" s="1057">
        <v>1.0</v>
      </c>
      <c r="AX35" s="746" t="s">
        <v>485</v>
      </c>
      <c r="AY35" s="759" t="s">
        <v>476</v>
      </c>
      <c r="AZ35" s="1057">
        <v>1.0</v>
      </c>
      <c r="BA35" s="746" t="s">
        <v>485</v>
      </c>
      <c r="BB35" s="759" t="s">
        <v>476</v>
      </c>
      <c r="BC35" s="1057">
        <v>1.0</v>
      </c>
      <c r="BD35" s="746" t="s">
        <v>485</v>
      </c>
      <c r="BE35" s="759" t="s">
        <v>476</v>
      </c>
      <c r="BF35" s="1057">
        <v>1.0</v>
      </c>
      <c r="BG35" s="746" t="s">
        <v>485</v>
      </c>
      <c r="BH35" s="759" t="s">
        <v>476</v>
      </c>
      <c r="BI35" s="1057">
        <v>1.0</v>
      </c>
      <c r="BJ35" s="746" t="s">
        <v>485</v>
      </c>
      <c r="BK35" s="759" t="s">
        <v>476</v>
      </c>
      <c r="BL35" s="1057">
        <v>1.0</v>
      </c>
      <c r="BM35" s="746" t="s">
        <v>485</v>
      </c>
      <c r="BN35" s="759" t="s">
        <v>476</v>
      </c>
      <c r="BO35" s="1057">
        <v>1.0</v>
      </c>
      <c r="BP35" s="746" t="s">
        <v>485</v>
      </c>
      <c r="BQ35" s="759" t="s">
        <v>476</v>
      </c>
      <c r="BR35" s="1057">
        <v>1.0</v>
      </c>
      <c r="BS35" s="746" t="s">
        <v>485</v>
      </c>
      <c r="BT35" s="759" t="s">
        <v>476</v>
      </c>
      <c r="BU35" s="1057">
        <v>1.0</v>
      </c>
      <c r="BV35" s="746" t="s">
        <v>485</v>
      </c>
      <c r="BW35" s="759" t="s">
        <v>476</v>
      </c>
      <c r="BX35" s="1057">
        <v>1.0</v>
      </c>
      <c r="BY35" s="746" t="s">
        <v>485</v>
      </c>
      <c r="BZ35" s="759" t="s">
        <v>476</v>
      </c>
      <c r="CA35" s="1057">
        <v>1.0</v>
      </c>
      <c r="CB35" s="746" t="s">
        <v>485</v>
      </c>
      <c r="CC35" s="759" t="s">
        <v>476</v>
      </c>
      <c r="CD35" s="1057">
        <v>1.0</v>
      </c>
      <c r="CE35" s="746" t="s">
        <v>485</v>
      </c>
      <c r="CF35" s="759" t="s">
        <v>476</v>
      </c>
      <c r="CG35" s="1057">
        <v>1.0</v>
      </c>
      <c r="CH35" s="746" t="s">
        <v>485</v>
      </c>
      <c r="CI35" s="759" t="s">
        <v>476</v>
      </c>
      <c r="CJ35" s="1057">
        <v>1.0</v>
      </c>
      <c r="CK35" s="746" t="s">
        <v>485</v>
      </c>
      <c r="CL35" s="759" t="s">
        <v>476</v>
      </c>
      <c r="CM35" s="1057">
        <v>1.0</v>
      </c>
      <c r="CN35" s="746" t="s">
        <v>485</v>
      </c>
      <c r="CO35" s="759" t="s">
        <v>476</v>
      </c>
      <c r="CP35" s="1057">
        <v>1.0</v>
      </c>
      <c r="CQ35" s="746" t="s">
        <v>485</v>
      </c>
      <c r="CR35" s="759" t="s">
        <v>476</v>
      </c>
      <c r="CS35" s="1057">
        <v>1.0</v>
      </c>
      <c r="CT35" s="746" t="s">
        <v>485</v>
      </c>
      <c r="CU35" s="759" t="s">
        <v>476</v>
      </c>
      <c r="CV35" s="1057">
        <v>1.0</v>
      </c>
      <c r="CW35" s="746" t="s">
        <v>485</v>
      </c>
      <c r="CX35" s="759" t="s">
        <v>476</v>
      </c>
      <c r="CY35" s="1057">
        <v>1.0</v>
      </c>
      <c r="CZ35" s="746" t="s">
        <v>485</v>
      </c>
      <c r="DA35" s="759" t="s">
        <v>476</v>
      </c>
      <c r="DB35" s="1057">
        <v>1.0</v>
      </c>
      <c r="DC35" s="746" t="s">
        <v>485</v>
      </c>
      <c r="DD35" s="759" t="s">
        <v>476</v>
      </c>
      <c r="DE35" s="1057">
        <v>1.0</v>
      </c>
      <c r="DF35" s="746" t="s">
        <v>485</v>
      </c>
      <c r="DG35" s="759" t="s">
        <v>476</v>
      </c>
      <c r="DH35" s="1057">
        <v>1.0</v>
      </c>
      <c r="DI35" s="746" t="s">
        <v>485</v>
      </c>
      <c r="DJ35" s="759" t="s">
        <v>476</v>
      </c>
      <c r="DK35" s="1057">
        <v>1.0</v>
      </c>
      <c r="DL35" s="746" t="s">
        <v>485</v>
      </c>
      <c r="DM35" s="759" t="s">
        <v>476</v>
      </c>
      <c r="DN35" s="1057">
        <v>1.0</v>
      </c>
      <c r="DO35" s="746" t="s">
        <v>485</v>
      </c>
      <c r="DP35" s="759" t="s">
        <v>476</v>
      </c>
      <c r="DQ35" s="1057">
        <v>1.0</v>
      </c>
      <c r="DR35" s="126" t="s">
        <v>708</v>
      </c>
      <c r="DS35" s="111"/>
      <c r="DT35" s="111"/>
      <c r="DU35" s="111"/>
    </row>
    <row r="36" ht="15.0" hidden="1" customHeight="1">
      <c r="A36" s="60">
        <v>53.0</v>
      </c>
      <c r="B36" s="816" t="s">
        <v>206</v>
      </c>
      <c r="C36" s="159"/>
      <c r="D36" s="160"/>
      <c r="E36" s="160"/>
      <c r="F36" s="160"/>
      <c r="G36" s="160"/>
      <c r="H36" s="161"/>
      <c r="I36" s="160"/>
      <c r="J36" s="160"/>
      <c r="K36" s="990"/>
      <c r="L36" s="1051"/>
      <c r="M36" s="160"/>
      <c r="N36" s="160"/>
      <c r="O36" s="73"/>
      <c r="P36" s="1051"/>
      <c r="Q36" s="970"/>
      <c r="R36" s="970"/>
      <c r="S36" s="1085"/>
      <c r="T36" s="970"/>
      <c r="U36" s="970"/>
      <c r="V36" s="1085"/>
      <c r="W36" s="970"/>
      <c r="X36" s="970"/>
      <c r="Y36" s="1085"/>
      <c r="Z36" s="970"/>
      <c r="AA36" s="970"/>
      <c r="AB36" s="1085"/>
      <c r="AC36" s="970"/>
      <c r="AD36" s="970"/>
      <c r="AE36" s="1172"/>
      <c r="AF36" s="970"/>
      <c r="AG36" s="970"/>
      <c r="AH36" s="970"/>
      <c r="AI36" s="970"/>
      <c r="AJ36" s="970"/>
      <c r="AK36" s="970"/>
      <c r="AL36" s="970"/>
      <c r="AM36" s="970"/>
      <c r="AN36" s="970"/>
      <c r="AO36" s="970"/>
      <c r="AP36" s="970"/>
      <c r="AQ36" s="970"/>
      <c r="AR36" s="970"/>
      <c r="AS36" s="970"/>
      <c r="AT36" s="970"/>
      <c r="AU36" s="970"/>
      <c r="AV36" s="970"/>
      <c r="AW36" s="970"/>
      <c r="AX36" s="970"/>
      <c r="AY36" s="970"/>
      <c r="AZ36" s="970"/>
      <c r="BA36" s="970"/>
      <c r="BB36" s="970"/>
      <c r="BC36" s="970"/>
      <c r="BD36" s="970"/>
      <c r="BE36" s="970"/>
      <c r="BF36" s="970"/>
      <c r="BG36" s="970"/>
      <c r="BH36" s="970"/>
      <c r="BI36" s="970"/>
      <c r="BJ36" s="970"/>
      <c r="BK36" s="970"/>
      <c r="BL36" s="970"/>
      <c r="BM36" s="970"/>
      <c r="BN36" s="970"/>
      <c r="BO36" s="970"/>
      <c r="BP36" s="970"/>
      <c r="BQ36" s="970"/>
      <c r="BR36" s="970"/>
      <c r="BS36" s="970"/>
      <c r="BT36" s="970"/>
      <c r="BU36" s="970"/>
      <c r="BV36" s="970"/>
      <c r="BW36" s="970"/>
      <c r="BX36" s="970"/>
      <c r="BY36" s="970"/>
      <c r="BZ36" s="970"/>
      <c r="CA36" s="970"/>
      <c r="CB36" s="970"/>
      <c r="CC36" s="970"/>
      <c r="CD36" s="970"/>
      <c r="CE36" s="970"/>
      <c r="CF36" s="970"/>
      <c r="CG36" s="970"/>
      <c r="CH36" s="970"/>
      <c r="CI36" s="970"/>
      <c r="CJ36" s="970"/>
      <c r="CK36" s="970"/>
      <c r="CL36" s="970"/>
      <c r="CM36" s="970"/>
      <c r="CN36" s="970"/>
      <c r="CO36" s="970"/>
      <c r="CP36" s="970"/>
      <c r="CQ36" s="970"/>
      <c r="CR36" s="970"/>
      <c r="CS36" s="970"/>
      <c r="CT36" s="970"/>
      <c r="CU36" s="970"/>
      <c r="CV36" s="970"/>
      <c r="CW36" s="970"/>
      <c r="CX36" s="970"/>
      <c r="CY36" s="970"/>
      <c r="CZ36" s="970"/>
      <c r="DA36" s="970"/>
      <c r="DB36" s="970"/>
      <c r="DC36" s="970"/>
      <c r="DD36" s="970"/>
      <c r="DE36" s="970"/>
      <c r="DF36" s="970"/>
      <c r="DG36" s="970"/>
      <c r="DH36" s="970"/>
      <c r="DI36" s="970"/>
      <c r="DJ36" s="970"/>
      <c r="DK36" s="970"/>
      <c r="DL36" s="970"/>
      <c r="DM36" s="970"/>
      <c r="DN36" s="970"/>
      <c r="DO36" s="970"/>
      <c r="DP36" s="970"/>
      <c r="DQ36" s="970"/>
      <c r="DR36" s="186"/>
      <c r="DS36" s="215"/>
      <c r="DT36" s="215"/>
      <c r="DU36" s="215"/>
    </row>
    <row r="37" ht="16.5" customHeight="1" outlineLevel="1">
      <c r="A37" s="60">
        <v>26.0</v>
      </c>
      <c r="B37" s="747" t="s">
        <v>143</v>
      </c>
      <c r="C37" s="747" t="s">
        <v>144</v>
      </c>
      <c r="D37" s="71" t="s">
        <v>145</v>
      </c>
      <c r="E37" s="146" t="s">
        <v>138</v>
      </c>
      <c r="F37" s="125">
        <v>1101.0</v>
      </c>
      <c r="G37" s="139" t="s">
        <v>139</v>
      </c>
      <c r="H37" s="139">
        <v>1126.0</v>
      </c>
      <c r="I37" s="126" t="str">
        <f>IFERROR(VLOOKUP(C34:C176,'R22 RELATÓRIO ACC'!B:F,5,FALSE),"NOT PUBLISHED")</f>
        <v>V24</v>
      </c>
      <c r="J37" s="126" t="str">
        <f>IFERROR(VLOOKUP(C34:C176,'R22 RELATÓRIO ACC'!B:P,15,FALSE),"NOT PUBLISHED")</f>
        <v>07/04/2026</v>
      </c>
      <c r="K37" s="746" t="str">
        <f>IFERROR(VLOOKUP(B34:B176,'RELATÓRIO ACC'!B:F,5,FALSE),"NOT PUBLISHED")</f>
        <v>V2</v>
      </c>
      <c r="L37" s="748" t="str">
        <f>IFERROR(VLOOKUP(B34:B176,'RELATÓRIO ACC'!B:P,15,FALSE),"NOT PUBLISHED")</f>
        <v>27/05/2026</v>
      </c>
      <c r="M37" s="141" t="s">
        <v>492</v>
      </c>
      <c r="N37" s="756" t="s">
        <v>493</v>
      </c>
      <c r="O37" s="1042" t="s">
        <v>482</v>
      </c>
      <c r="P37" s="1043" t="s">
        <v>146</v>
      </c>
      <c r="Q37" s="746" t="s">
        <v>477</v>
      </c>
      <c r="R37" s="759" t="s">
        <v>476</v>
      </c>
      <c r="S37" s="1057">
        <v>0.6</v>
      </c>
      <c r="T37" s="755" t="s">
        <v>478</v>
      </c>
      <c r="U37" s="861" t="s">
        <v>476</v>
      </c>
      <c r="V37" s="763" t="s">
        <v>478</v>
      </c>
      <c r="W37" s="755" t="s">
        <v>477</v>
      </c>
      <c r="X37" s="759" t="s">
        <v>476</v>
      </c>
      <c r="Y37" s="1057">
        <v>0.84</v>
      </c>
      <c r="Z37" s="755" t="s">
        <v>478</v>
      </c>
      <c r="AA37" s="759" t="s">
        <v>476</v>
      </c>
      <c r="AB37" s="1157" t="s">
        <v>478</v>
      </c>
      <c r="AC37" s="755" t="s">
        <v>477</v>
      </c>
      <c r="AD37" s="759" t="s">
        <v>476</v>
      </c>
      <c r="AE37" s="1057">
        <v>0.92</v>
      </c>
      <c r="AF37" s="755" t="s">
        <v>484</v>
      </c>
      <c r="AG37" s="766" t="s">
        <v>476</v>
      </c>
      <c r="AH37" s="1057">
        <v>1.0</v>
      </c>
      <c r="AI37" s="746" t="s">
        <v>485</v>
      </c>
      <c r="AJ37" s="766" t="s">
        <v>476</v>
      </c>
      <c r="AK37" s="1057">
        <v>1.0</v>
      </c>
      <c r="AL37" s="746" t="s">
        <v>485</v>
      </c>
      <c r="AM37" s="766" t="s">
        <v>476</v>
      </c>
      <c r="AN37" s="1057">
        <v>1.0</v>
      </c>
      <c r="AO37" s="746" t="s">
        <v>485</v>
      </c>
      <c r="AP37" s="766" t="s">
        <v>476</v>
      </c>
      <c r="AQ37" s="1057">
        <v>1.0</v>
      </c>
      <c r="AR37" s="746" t="s">
        <v>485</v>
      </c>
      <c r="AS37" s="766" t="s">
        <v>476</v>
      </c>
      <c r="AT37" s="1057">
        <v>1.0</v>
      </c>
      <c r="AU37" s="746" t="s">
        <v>485</v>
      </c>
      <c r="AV37" s="766" t="s">
        <v>476</v>
      </c>
      <c r="AW37" s="1057">
        <v>1.0</v>
      </c>
      <c r="AX37" s="746" t="s">
        <v>485</v>
      </c>
      <c r="AY37" s="766" t="s">
        <v>476</v>
      </c>
      <c r="AZ37" s="1057">
        <v>1.0</v>
      </c>
      <c r="BA37" s="746" t="s">
        <v>485</v>
      </c>
      <c r="BB37" s="766" t="s">
        <v>476</v>
      </c>
      <c r="BC37" s="1057">
        <v>1.0</v>
      </c>
      <c r="BD37" s="746" t="s">
        <v>485</v>
      </c>
      <c r="BE37" s="766" t="s">
        <v>476</v>
      </c>
      <c r="BF37" s="1057">
        <v>1.0</v>
      </c>
      <c r="BG37" s="746" t="s">
        <v>485</v>
      </c>
      <c r="BH37" s="766" t="s">
        <v>476</v>
      </c>
      <c r="BI37" s="1057">
        <v>1.0</v>
      </c>
      <c r="BJ37" s="746" t="s">
        <v>485</v>
      </c>
      <c r="BK37" s="766" t="s">
        <v>476</v>
      </c>
      <c r="BL37" s="1057">
        <v>1.0</v>
      </c>
      <c r="BM37" s="746" t="s">
        <v>485</v>
      </c>
      <c r="BN37" s="766" t="s">
        <v>476</v>
      </c>
      <c r="BO37" s="1057">
        <v>1.0</v>
      </c>
      <c r="BP37" s="746" t="s">
        <v>485</v>
      </c>
      <c r="BQ37" s="766" t="s">
        <v>476</v>
      </c>
      <c r="BR37" s="1057">
        <v>1.0</v>
      </c>
      <c r="BS37" s="746" t="s">
        <v>485</v>
      </c>
      <c r="BT37" s="766" t="s">
        <v>476</v>
      </c>
      <c r="BU37" s="1057">
        <v>1.0</v>
      </c>
      <c r="BV37" s="746" t="s">
        <v>485</v>
      </c>
      <c r="BW37" s="766" t="s">
        <v>476</v>
      </c>
      <c r="BX37" s="1057">
        <v>1.0</v>
      </c>
      <c r="BY37" s="746" t="s">
        <v>485</v>
      </c>
      <c r="BZ37" s="766" t="s">
        <v>476</v>
      </c>
      <c r="CA37" s="1057">
        <v>1.0</v>
      </c>
      <c r="CB37" s="746" t="s">
        <v>485</v>
      </c>
      <c r="CC37" s="766" t="s">
        <v>476</v>
      </c>
      <c r="CD37" s="1057">
        <v>1.0</v>
      </c>
      <c r="CE37" s="746" t="s">
        <v>485</v>
      </c>
      <c r="CF37" s="766" t="s">
        <v>476</v>
      </c>
      <c r="CG37" s="1057">
        <v>1.0</v>
      </c>
      <c r="CH37" s="746" t="s">
        <v>485</v>
      </c>
      <c r="CI37" s="766" t="s">
        <v>476</v>
      </c>
      <c r="CJ37" s="1057">
        <v>1.0</v>
      </c>
      <c r="CK37" s="746" t="s">
        <v>485</v>
      </c>
      <c r="CL37" s="766" t="s">
        <v>476</v>
      </c>
      <c r="CM37" s="1057">
        <v>1.0</v>
      </c>
      <c r="CN37" s="746" t="s">
        <v>485</v>
      </c>
      <c r="CO37" s="766" t="s">
        <v>476</v>
      </c>
      <c r="CP37" s="1057">
        <v>1.0</v>
      </c>
      <c r="CQ37" s="746" t="s">
        <v>485</v>
      </c>
      <c r="CR37" s="766" t="s">
        <v>476</v>
      </c>
      <c r="CS37" s="1057">
        <v>1.0</v>
      </c>
      <c r="CT37" s="746" t="s">
        <v>485</v>
      </c>
      <c r="CU37" s="766" t="s">
        <v>476</v>
      </c>
      <c r="CV37" s="1057">
        <v>1.0</v>
      </c>
      <c r="CW37" s="746" t="s">
        <v>485</v>
      </c>
      <c r="CX37" s="766" t="s">
        <v>476</v>
      </c>
      <c r="CY37" s="1057">
        <v>1.0</v>
      </c>
      <c r="CZ37" s="746" t="s">
        <v>485</v>
      </c>
      <c r="DA37" s="766" t="s">
        <v>476</v>
      </c>
      <c r="DB37" s="1057">
        <v>1.0</v>
      </c>
      <c r="DC37" s="746" t="s">
        <v>485</v>
      </c>
      <c r="DD37" s="766" t="s">
        <v>476</v>
      </c>
      <c r="DE37" s="1057">
        <v>1.0</v>
      </c>
      <c r="DF37" s="746" t="s">
        <v>485</v>
      </c>
      <c r="DG37" s="766" t="s">
        <v>476</v>
      </c>
      <c r="DH37" s="1057">
        <v>1.0</v>
      </c>
      <c r="DI37" s="746" t="s">
        <v>485</v>
      </c>
      <c r="DJ37" s="766" t="s">
        <v>476</v>
      </c>
      <c r="DK37" s="1057">
        <v>1.0</v>
      </c>
      <c r="DL37" s="746" t="s">
        <v>485</v>
      </c>
      <c r="DM37" s="766" t="s">
        <v>476</v>
      </c>
      <c r="DN37" s="1057">
        <v>1.0</v>
      </c>
      <c r="DO37" s="746" t="s">
        <v>485</v>
      </c>
      <c r="DP37" s="766" t="s">
        <v>476</v>
      </c>
      <c r="DQ37" s="1057">
        <v>1.0</v>
      </c>
      <c r="DR37" s="126" t="s">
        <v>91</v>
      </c>
      <c r="DS37" s="111"/>
      <c r="DT37" s="111"/>
      <c r="DU37" s="111"/>
    </row>
    <row r="38" ht="15.0" hidden="1" customHeight="1">
      <c r="A38" s="60">
        <v>56.0</v>
      </c>
      <c r="B38" s="895" t="s">
        <v>211</v>
      </c>
      <c r="C38" s="188"/>
      <c r="D38" s="189"/>
      <c r="E38" s="189"/>
      <c r="F38" s="189"/>
      <c r="G38" s="189"/>
      <c r="H38" s="190"/>
      <c r="I38" s="189"/>
      <c r="J38" s="189"/>
      <c r="K38" s="260"/>
      <c r="L38" s="248"/>
      <c r="M38" s="189"/>
      <c r="N38" s="189"/>
      <c r="O38" s="73"/>
      <c r="P38" s="248"/>
      <c r="Q38" s="880"/>
      <c r="R38" s="880"/>
      <c r="S38" s="1067"/>
      <c r="T38" s="880"/>
      <c r="U38" s="880"/>
      <c r="V38" s="1067"/>
      <c r="W38" s="880"/>
      <c r="X38" s="880"/>
      <c r="Y38" s="1067"/>
      <c r="Z38" s="880"/>
      <c r="AA38" s="880"/>
      <c r="AB38" s="1067"/>
      <c r="AC38" s="880"/>
      <c r="AD38" s="880"/>
      <c r="AE38" s="1067"/>
      <c r="AF38" s="880"/>
      <c r="AG38" s="880"/>
      <c r="AH38" s="880"/>
      <c r="AI38" s="880"/>
      <c r="AJ38" s="880"/>
      <c r="AK38" s="880"/>
      <c r="AL38" s="880"/>
      <c r="AM38" s="880"/>
      <c r="AN38" s="880"/>
      <c r="AO38" s="880"/>
      <c r="AP38" s="880"/>
      <c r="AQ38" s="880"/>
      <c r="AR38" s="880"/>
      <c r="AS38" s="880"/>
      <c r="AT38" s="880"/>
      <c r="AU38" s="880"/>
      <c r="AV38" s="880"/>
      <c r="AW38" s="880"/>
      <c r="AX38" s="880"/>
      <c r="AY38" s="880"/>
      <c r="AZ38" s="880"/>
      <c r="BA38" s="880"/>
      <c r="BB38" s="880"/>
      <c r="BC38" s="880"/>
      <c r="BD38" s="880"/>
      <c r="BE38" s="880"/>
      <c r="BF38" s="880"/>
      <c r="BG38" s="880"/>
      <c r="BH38" s="880"/>
      <c r="BI38" s="880"/>
      <c r="BJ38" s="880"/>
      <c r="BK38" s="880"/>
      <c r="BL38" s="880"/>
      <c r="BM38" s="880"/>
      <c r="BN38" s="880"/>
      <c r="BO38" s="880"/>
      <c r="BP38" s="880"/>
      <c r="BQ38" s="880"/>
      <c r="BR38" s="880"/>
      <c r="BS38" s="880"/>
      <c r="BT38" s="880"/>
      <c r="BU38" s="880"/>
      <c r="BV38" s="880"/>
      <c r="BW38" s="880"/>
      <c r="BX38" s="880"/>
      <c r="BY38" s="880"/>
      <c r="BZ38" s="880"/>
      <c r="CA38" s="880"/>
      <c r="CB38" s="880"/>
      <c r="CC38" s="880"/>
      <c r="CD38" s="880"/>
      <c r="CE38" s="880"/>
      <c r="CF38" s="880"/>
      <c r="CG38" s="880"/>
      <c r="CH38" s="880"/>
      <c r="CI38" s="880"/>
      <c r="CJ38" s="880"/>
      <c r="CK38" s="880"/>
      <c r="CL38" s="880"/>
      <c r="CM38" s="880"/>
      <c r="CN38" s="880"/>
      <c r="CO38" s="880"/>
      <c r="CP38" s="880"/>
      <c r="CQ38" s="880"/>
      <c r="CR38" s="880"/>
      <c r="CS38" s="880"/>
      <c r="CT38" s="880"/>
      <c r="CU38" s="880"/>
      <c r="CV38" s="880"/>
      <c r="CW38" s="880"/>
      <c r="CX38" s="880"/>
      <c r="CY38" s="880"/>
      <c r="CZ38" s="880"/>
      <c r="DA38" s="880"/>
      <c r="DB38" s="880"/>
      <c r="DC38" s="880"/>
      <c r="DD38" s="880"/>
      <c r="DE38" s="880"/>
      <c r="DF38" s="880"/>
      <c r="DG38" s="880"/>
      <c r="DH38" s="880"/>
      <c r="DI38" s="880"/>
      <c r="DJ38" s="880"/>
      <c r="DK38" s="880"/>
      <c r="DL38" s="880"/>
      <c r="DM38" s="880"/>
      <c r="DN38" s="880"/>
      <c r="DO38" s="880"/>
      <c r="DP38" s="880"/>
      <c r="DQ38" s="880"/>
      <c r="DR38" s="186"/>
      <c r="DS38" s="215"/>
      <c r="DT38" s="215"/>
      <c r="DU38" s="215"/>
    </row>
    <row r="39" ht="15.0" customHeight="1" outlineLevel="1">
      <c r="A39" s="60">
        <v>34.0</v>
      </c>
      <c r="B39" s="747" t="s">
        <v>167</v>
      </c>
      <c r="C39" s="747" t="s">
        <v>168</v>
      </c>
      <c r="D39" s="71" t="s">
        <v>85</v>
      </c>
      <c r="E39" s="146" t="s">
        <v>169</v>
      </c>
      <c r="F39" s="72">
        <v>1112.0</v>
      </c>
      <c r="G39" s="139" t="s">
        <v>170</v>
      </c>
      <c r="H39" s="139">
        <v>1129.0</v>
      </c>
      <c r="I39" s="126" t="str">
        <f>IFERROR(VLOOKUP(C36:C178,'R22 RELATÓRIO ACC'!B:F,5,FALSE),"NOT PUBLISHED")</f>
        <v>V40</v>
      </c>
      <c r="J39" s="126" t="str">
        <f>IFERROR(VLOOKUP(C36:C178,'R22 RELATÓRIO ACC'!B:P,15,FALSE),"NOT PUBLISHED")</f>
        <v>10/04/2026</v>
      </c>
      <c r="K39" s="746" t="str">
        <f>IFERROR(VLOOKUP(B36:B178,'RELATÓRIO ACC'!B:F,5,FALSE),"NOT PUBLISHED")</f>
        <v>V3</v>
      </c>
      <c r="L39" s="748" t="str">
        <f>IFERROR(VLOOKUP(B36:B178,'RELATÓRIO ACC'!B:P,15,FALSE),"NOT PUBLISHED")</f>
        <v>13/07/2026</v>
      </c>
      <c r="M39" s="141" t="s">
        <v>496</v>
      </c>
      <c r="N39" s="756" t="s">
        <v>497</v>
      </c>
      <c r="O39" s="1042" t="s">
        <v>482</v>
      </c>
      <c r="P39" s="1043" t="s">
        <v>102</v>
      </c>
      <c r="Q39" s="746" t="s">
        <v>477</v>
      </c>
      <c r="R39" s="759" t="s">
        <v>476</v>
      </c>
      <c r="S39" s="1057">
        <v>0.72</v>
      </c>
      <c r="T39" s="755" t="s">
        <v>478</v>
      </c>
      <c r="U39" s="759" t="s">
        <v>476</v>
      </c>
      <c r="V39" s="1157" t="s">
        <v>478</v>
      </c>
      <c r="W39" s="755" t="s">
        <v>478</v>
      </c>
      <c r="X39" s="861" t="s">
        <v>476</v>
      </c>
      <c r="Y39" s="763" t="s">
        <v>478</v>
      </c>
      <c r="Z39" s="755" t="s">
        <v>484</v>
      </c>
      <c r="AA39" s="759" t="s">
        <v>476</v>
      </c>
      <c r="AB39" s="135">
        <v>1.0</v>
      </c>
      <c r="AC39" s="68" t="s">
        <v>485</v>
      </c>
      <c r="AD39" s="791" t="s">
        <v>476</v>
      </c>
      <c r="AE39" s="135">
        <v>1.0</v>
      </c>
      <c r="AF39" s="68" t="s">
        <v>485</v>
      </c>
      <c r="AG39" s="791" t="s">
        <v>476</v>
      </c>
      <c r="AH39" s="135">
        <v>1.0</v>
      </c>
      <c r="AI39" s="68" t="s">
        <v>485</v>
      </c>
      <c r="AJ39" s="791" t="s">
        <v>476</v>
      </c>
      <c r="AK39" s="135">
        <v>1.0</v>
      </c>
      <c r="AL39" s="68" t="s">
        <v>485</v>
      </c>
      <c r="AM39" s="791" t="s">
        <v>476</v>
      </c>
      <c r="AN39" s="135">
        <v>1.0</v>
      </c>
      <c r="AO39" s="68" t="s">
        <v>485</v>
      </c>
      <c r="AP39" s="791" t="s">
        <v>476</v>
      </c>
      <c r="AQ39" s="135">
        <v>1.0</v>
      </c>
      <c r="AR39" s="68" t="s">
        <v>485</v>
      </c>
      <c r="AS39" s="791" t="s">
        <v>476</v>
      </c>
      <c r="AT39" s="135">
        <v>1.0</v>
      </c>
      <c r="AU39" s="68" t="s">
        <v>485</v>
      </c>
      <c r="AV39" s="791" t="s">
        <v>476</v>
      </c>
      <c r="AW39" s="135">
        <v>1.0</v>
      </c>
      <c r="AX39" s="68" t="s">
        <v>485</v>
      </c>
      <c r="AY39" s="791" t="s">
        <v>476</v>
      </c>
      <c r="AZ39" s="135">
        <v>1.0</v>
      </c>
      <c r="BA39" s="68" t="s">
        <v>485</v>
      </c>
      <c r="BB39" s="791" t="s">
        <v>476</v>
      </c>
      <c r="BC39" s="135">
        <v>1.0</v>
      </c>
      <c r="BD39" s="68" t="s">
        <v>485</v>
      </c>
      <c r="BE39" s="791" t="s">
        <v>476</v>
      </c>
      <c r="BF39" s="135">
        <v>1.0</v>
      </c>
      <c r="BG39" s="68" t="s">
        <v>485</v>
      </c>
      <c r="BH39" s="791" t="s">
        <v>476</v>
      </c>
      <c r="BI39" s="135">
        <v>1.0</v>
      </c>
      <c r="BJ39" s="68" t="s">
        <v>485</v>
      </c>
      <c r="BK39" s="791" t="s">
        <v>476</v>
      </c>
      <c r="BL39" s="135">
        <v>1.0</v>
      </c>
      <c r="BM39" s="68" t="s">
        <v>485</v>
      </c>
      <c r="BN39" s="791" t="s">
        <v>476</v>
      </c>
      <c r="BO39" s="135">
        <v>1.0</v>
      </c>
      <c r="BP39" s="68" t="s">
        <v>485</v>
      </c>
      <c r="BQ39" s="791" t="s">
        <v>476</v>
      </c>
      <c r="BR39" s="135">
        <v>1.0</v>
      </c>
      <c r="BS39" s="68" t="s">
        <v>485</v>
      </c>
      <c r="BT39" s="791" t="s">
        <v>476</v>
      </c>
      <c r="BU39" s="135">
        <v>1.0</v>
      </c>
      <c r="BV39" s="68" t="s">
        <v>485</v>
      </c>
      <c r="BW39" s="791" t="s">
        <v>476</v>
      </c>
      <c r="BX39" s="135">
        <v>1.0</v>
      </c>
      <c r="BY39" s="68" t="s">
        <v>485</v>
      </c>
      <c r="BZ39" s="791" t="s">
        <v>476</v>
      </c>
      <c r="CA39" s="135">
        <v>1.0</v>
      </c>
      <c r="CB39" s="68" t="s">
        <v>485</v>
      </c>
      <c r="CC39" s="791" t="s">
        <v>476</v>
      </c>
      <c r="CD39" s="135">
        <v>1.0</v>
      </c>
      <c r="CE39" s="68" t="s">
        <v>485</v>
      </c>
      <c r="CF39" s="791" t="s">
        <v>476</v>
      </c>
      <c r="CG39" s="135">
        <v>1.0</v>
      </c>
      <c r="CH39" s="68" t="s">
        <v>485</v>
      </c>
      <c r="CI39" s="791" t="s">
        <v>476</v>
      </c>
      <c r="CJ39" s="135">
        <v>1.0</v>
      </c>
      <c r="CK39" s="68" t="s">
        <v>485</v>
      </c>
      <c r="CL39" s="791" t="s">
        <v>476</v>
      </c>
      <c r="CM39" s="135">
        <v>1.0</v>
      </c>
      <c r="CN39" s="68" t="s">
        <v>485</v>
      </c>
      <c r="CO39" s="791" t="s">
        <v>476</v>
      </c>
      <c r="CP39" s="135">
        <v>1.0</v>
      </c>
      <c r="CQ39" s="68" t="s">
        <v>485</v>
      </c>
      <c r="CR39" s="791" t="s">
        <v>476</v>
      </c>
      <c r="CS39" s="135">
        <v>1.0</v>
      </c>
      <c r="CT39" s="68" t="s">
        <v>485</v>
      </c>
      <c r="CU39" s="791" t="s">
        <v>476</v>
      </c>
      <c r="CV39" s="135">
        <v>1.0</v>
      </c>
      <c r="CW39" s="68" t="s">
        <v>485</v>
      </c>
      <c r="CX39" s="791" t="s">
        <v>476</v>
      </c>
      <c r="CY39" s="135">
        <v>1.0</v>
      </c>
      <c r="CZ39" s="68" t="s">
        <v>485</v>
      </c>
      <c r="DA39" s="791" t="s">
        <v>476</v>
      </c>
      <c r="DB39" s="135">
        <v>1.0</v>
      </c>
      <c r="DC39" s="68" t="s">
        <v>485</v>
      </c>
      <c r="DD39" s="791" t="s">
        <v>476</v>
      </c>
      <c r="DE39" s="135">
        <v>1.0</v>
      </c>
      <c r="DF39" s="68" t="s">
        <v>485</v>
      </c>
      <c r="DG39" s="791" t="s">
        <v>476</v>
      </c>
      <c r="DH39" s="135">
        <v>1.0</v>
      </c>
      <c r="DI39" s="68" t="s">
        <v>485</v>
      </c>
      <c r="DJ39" s="791" t="s">
        <v>476</v>
      </c>
      <c r="DK39" s="135">
        <v>1.0</v>
      </c>
      <c r="DL39" s="68" t="s">
        <v>485</v>
      </c>
      <c r="DM39" s="791" t="s">
        <v>476</v>
      </c>
      <c r="DN39" s="135">
        <v>1.0</v>
      </c>
      <c r="DO39" s="68" t="s">
        <v>485</v>
      </c>
      <c r="DP39" s="791" t="s">
        <v>476</v>
      </c>
      <c r="DQ39" s="135">
        <v>1.0</v>
      </c>
      <c r="DR39" s="126" t="s">
        <v>91</v>
      </c>
      <c r="DS39" s="111"/>
      <c r="DT39" s="111"/>
      <c r="DU39" s="111"/>
    </row>
    <row r="40" ht="15.0" hidden="1" customHeight="1">
      <c r="A40" s="60">
        <v>59.0</v>
      </c>
      <c r="B40" s="881" t="s">
        <v>219</v>
      </c>
      <c r="C40" s="263"/>
      <c r="D40" s="264"/>
      <c r="E40" s="264"/>
      <c r="F40" s="264"/>
      <c r="G40" s="264"/>
      <c r="H40" s="265"/>
      <c r="I40" s="264"/>
      <c r="J40" s="264"/>
      <c r="K40" s="885"/>
      <c r="L40" s="1173"/>
      <c r="M40" s="1174"/>
      <c r="N40" s="1174"/>
      <c r="O40" s="73"/>
      <c r="P40" s="883"/>
      <c r="Q40" s="894"/>
      <c r="R40" s="894"/>
      <c r="S40" s="1175"/>
      <c r="T40" s="894"/>
      <c r="U40" s="894"/>
      <c r="V40" s="1175"/>
      <c r="W40" s="894"/>
      <c r="X40" s="894"/>
      <c r="Y40" s="1175"/>
      <c r="Z40" s="1175"/>
      <c r="AA40" s="886"/>
      <c r="AB40" s="1175"/>
      <c r="AC40" s="894"/>
      <c r="AD40" s="886"/>
      <c r="AE40" s="1175"/>
      <c r="AF40" s="894"/>
      <c r="AG40" s="894"/>
      <c r="AH40" s="894"/>
      <c r="AI40" s="894"/>
      <c r="AJ40" s="894"/>
      <c r="AK40" s="894"/>
      <c r="AL40" s="894"/>
      <c r="AM40" s="894"/>
      <c r="AN40" s="894"/>
      <c r="AO40" s="894"/>
      <c r="AP40" s="894"/>
      <c r="AQ40" s="894"/>
      <c r="AR40" s="894"/>
      <c r="AS40" s="894"/>
      <c r="AT40" s="894"/>
      <c r="AU40" s="894"/>
      <c r="AV40" s="894"/>
      <c r="AW40" s="894"/>
      <c r="AX40" s="894"/>
      <c r="AY40" s="894"/>
      <c r="AZ40" s="894"/>
      <c r="BA40" s="894"/>
      <c r="BB40" s="894"/>
      <c r="BC40" s="894"/>
      <c r="BD40" s="894"/>
      <c r="BE40" s="894"/>
      <c r="BF40" s="894"/>
      <c r="BG40" s="894"/>
      <c r="BH40" s="894"/>
      <c r="BI40" s="894"/>
      <c r="BJ40" s="894"/>
      <c r="BK40" s="894"/>
      <c r="BL40" s="894"/>
      <c r="BM40" s="894"/>
      <c r="BN40" s="894"/>
      <c r="BO40" s="894"/>
      <c r="BP40" s="894"/>
      <c r="BQ40" s="894"/>
      <c r="BR40" s="894"/>
      <c r="BS40" s="894"/>
      <c r="BT40" s="894"/>
      <c r="BU40" s="894"/>
      <c r="BV40" s="894"/>
      <c r="BW40" s="894"/>
      <c r="BX40" s="894"/>
      <c r="BY40" s="894"/>
      <c r="BZ40" s="894"/>
      <c r="CA40" s="894"/>
      <c r="CB40" s="894"/>
      <c r="CC40" s="894"/>
      <c r="CD40" s="894"/>
      <c r="CE40" s="894"/>
      <c r="CF40" s="894"/>
      <c r="CG40" s="894"/>
      <c r="CH40" s="894"/>
      <c r="CI40" s="894"/>
      <c r="CJ40" s="894"/>
      <c r="CK40" s="894"/>
      <c r="CL40" s="894"/>
      <c r="CM40" s="894"/>
      <c r="CN40" s="894"/>
      <c r="CO40" s="894"/>
      <c r="CP40" s="894"/>
      <c r="CQ40" s="894"/>
      <c r="CR40" s="894"/>
      <c r="CS40" s="894"/>
      <c r="CT40" s="894"/>
      <c r="CU40" s="894"/>
      <c r="CV40" s="894"/>
      <c r="CW40" s="894"/>
      <c r="CX40" s="894"/>
      <c r="CY40" s="894"/>
      <c r="CZ40" s="894"/>
      <c r="DA40" s="894"/>
      <c r="DB40" s="894"/>
      <c r="DC40" s="894"/>
      <c r="DD40" s="894"/>
      <c r="DE40" s="894"/>
      <c r="DF40" s="894"/>
      <c r="DG40" s="894"/>
      <c r="DH40" s="894"/>
      <c r="DI40" s="894"/>
      <c r="DJ40" s="894"/>
      <c r="DK40" s="894"/>
      <c r="DL40" s="894"/>
      <c r="DM40" s="894"/>
      <c r="DN40" s="894"/>
      <c r="DO40" s="894"/>
      <c r="DP40" s="894"/>
      <c r="DQ40" s="894"/>
      <c r="DR40" s="186"/>
      <c r="DS40" s="186"/>
      <c r="DT40" s="186"/>
      <c r="DU40" s="186"/>
    </row>
    <row r="41" ht="15.0" customHeight="1" outlineLevel="1">
      <c r="A41" s="60">
        <v>37.0</v>
      </c>
      <c r="B41" s="747" t="s">
        <v>174</v>
      </c>
      <c r="C41" s="747" t="s">
        <v>175</v>
      </c>
      <c r="D41" s="71" t="s">
        <v>85</v>
      </c>
      <c r="E41" s="146" t="s">
        <v>176</v>
      </c>
      <c r="F41" s="72">
        <v>1113.0</v>
      </c>
      <c r="G41" s="139" t="s">
        <v>176</v>
      </c>
      <c r="H41" s="139">
        <v>1113.0</v>
      </c>
      <c r="I41" s="126" t="str">
        <f>IFERROR(VLOOKUP(C38:C180,'R22 RELATÓRIO ACC'!B:F,5,FALSE),"NOT PUBLISHED")</f>
        <v>V28</v>
      </c>
      <c r="J41" s="126" t="str">
        <f>IFERROR(VLOOKUP(C38:C180,'R22 RELATÓRIO ACC'!B:P,15,FALSE),"NOT PUBLISHED")</f>
        <v>16/04/2026</v>
      </c>
      <c r="K41" s="746" t="str">
        <f>IFERROR(VLOOKUP(B38:B180,'RELATÓRIO ACC'!B:F,5,FALSE),"NOT PUBLISHED")</f>
        <v>V4</v>
      </c>
      <c r="L41" s="748" t="str">
        <f>IFERROR(VLOOKUP(B38:B180,'RELATÓRIO ACC'!B:P,15,FALSE),"NOT PUBLISHED")</f>
        <v>26/06/2026</v>
      </c>
      <c r="M41" s="141" t="s">
        <v>498</v>
      </c>
      <c r="N41" s="843" t="s">
        <v>499</v>
      </c>
      <c r="O41" s="740" t="s">
        <v>482</v>
      </c>
      <c r="P41" s="1043" t="s">
        <v>129</v>
      </c>
      <c r="Q41" s="746" t="s">
        <v>477</v>
      </c>
      <c r="R41" s="759" t="s">
        <v>476</v>
      </c>
      <c r="S41" s="764">
        <v>0.64</v>
      </c>
      <c r="T41" s="1176" t="s">
        <v>477</v>
      </c>
      <c r="U41" s="759" t="s">
        <v>476</v>
      </c>
      <c r="V41" s="764">
        <v>0.79</v>
      </c>
      <c r="W41" s="755" t="s">
        <v>478</v>
      </c>
      <c r="X41" s="759" t="s">
        <v>476</v>
      </c>
      <c r="Y41" s="755" t="s">
        <v>478</v>
      </c>
      <c r="Z41" s="755" t="s">
        <v>484</v>
      </c>
      <c r="AA41" s="759" t="s">
        <v>476</v>
      </c>
      <c r="AB41" s="764">
        <v>1.0</v>
      </c>
      <c r="AC41" s="68" t="s">
        <v>485</v>
      </c>
      <c r="AD41" s="791" t="s">
        <v>476</v>
      </c>
      <c r="AE41" s="764">
        <v>1.0</v>
      </c>
      <c r="AF41" s="68" t="s">
        <v>485</v>
      </c>
      <c r="AG41" s="791" t="s">
        <v>476</v>
      </c>
      <c r="AH41" s="764">
        <v>1.0</v>
      </c>
      <c r="AI41" s="68" t="s">
        <v>485</v>
      </c>
      <c r="AJ41" s="791" t="s">
        <v>476</v>
      </c>
      <c r="AK41" s="764">
        <v>1.0</v>
      </c>
      <c r="AL41" s="126" t="s">
        <v>485</v>
      </c>
      <c r="AM41" s="1177" t="s">
        <v>476</v>
      </c>
      <c r="AN41" s="119">
        <v>1.0</v>
      </c>
      <c r="AO41" s="126" t="s">
        <v>485</v>
      </c>
      <c r="AP41" s="1177" t="s">
        <v>476</v>
      </c>
      <c r="AQ41" s="119">
        <v>1.0</v>
      </c>
      <c r="AR41" s="126" t="s">
        <v>485</v>
      </c>
      <c r="AS41" s="1177" t="s">
        <v>476</v>
      </c>
      <c r="AT41" s="119">
        <v>1.0</v>
      </c>
      <c r="AU41" s="126" t="s">
        <v>485</v>
      </c>
      <c r="AV41" s="1177" t="s">
        <v>476</v>
      </c>
      <c r="AW41" s="119">
        <v>1.0</v>
      </c>
      <c r="AX41" s="126" t="s">
        <v>485</v>
      </c>
      <c r="AY41" s="1177" t="s">
        <v>476</v>
      </c>
      <c r="AZ41" s="119">
        <v>1.0</v>
      </c>
      <c r="BA41" s="126" t="s">
        <v>485</v>
      </c>
      <c r="BB41" s="1177" t="s">
        <v>476</v>
      </c>
      <c r="BC41" s="119">
        <v>1.0</v>
      </c>
      <c r="BD41" s="126" t="s">
        <v>485</v>
      </c>
      <c r="BE41" s="1177" t="s">
        <v>476</v>
      </c>
      <c r="BF41" s="119">
        <v>1.0</v>
      </c>
      <c r="BG41" s="126" t="s">
        <v>485</v>
      </c>
      <c r="BH41" s="1177" t="s">
        <v>476</v>
      </c>
      <c r="BI41" s="119">
        <v>1.0</v>
      </c>
      <c r="BJ41" s="126" t="s">
        <v>485</v>
      </c>
      <c r="BK41" s="1177" t="s">
        <v>476</v>
      </c>
      <c r="BL41" s="119">
        <v>1.0</v>
      </c>
      <c r="BM41" s="126" t="s">
        <v>485</v>
      </c>
      <c r="BN41" s="1177" t="s">
        <v>476</v>
      </c>
      <c r="BO41" s="119">
        <v>1.0</v>
      </c>
      <c r="BP41" s="126" t="s">
        <v>485</v>
      </c>
      <c r="BQ41" s="1177" t="s">
        <v>476</v>
      </c>
      <c r="BR41" s="119">
        <v>1.0</v>
      </c>
      <c r="BS41" s="126" t="s">
        <v>485</v>
      </c>
      <c r="BT41" s="1177" t="s">
        <v>476</v>
      </c>
      <c r="BU41" s="119">
        <v>1.0</v>
      </c>
      <c r="BV41" s="126" t="s">
        <v>485</v>
      </c>
      <c r="BW41" s="1177" t="s">
        <v>476</v>
      </c>
      <c r="BX41" s="119">
        <v>1.0</v>
      </c>
      <c r="BY41" s="126" t="s">
        <v>485</v>
      </c>
      <c r="BZ41" s="1177" t="s">
        <v>476</v>
      </c>
      <c r="CA41" s="119">
        <v>1.0</v>
      </c>
      <c r="CB41" s="126" t="s">
        <v>485</v>
      </c>
      <c r="CC41" s="1177" t="s">
        <v>476</v>
      </c>
      <c r="CD41" s="119">
        <v>1.0</v>
      </c>
      <c r="CE41" s="126" t="s">
        <v>485</v>
      </c>
      <c r="CF41" s="1177" t="s">
        <v>476</v>
      </c>
      <c r="CG41" s="119">
        <v>1.0</v>
      </c>
      <c r="CH41" s="126" t="s">
        <v>485</v>
      </c>
      <c r="CI41" s="1177" t="s">
        <v>476</v>
      </c>
      <c r="CJ41" s="119">
        <v>1.0</v>
      </c>
      <c r="CK41" s="126" t="s">
        <v>485</v>
      </c>
      <c r="CL41" s="1177" t="s">
        <v>476</v>
      </c>
      <c r="CM41" s="119">
        <v>1.0</v>
      </c>
      <c r="CN41" s="126" t="s">
        <v>485</v>
      </c>
      <c r="CO41" s="1177" t="s">
        <v>476</v>
      </c>
      <c r="CP41" s="119">
        <v>1.0</v>
      </c>
      <c r="CQ41" s="126" t="s">
        <v>485</v>
      </c>
      <c r="CR41" s="1177" t="s">
        <v>476</v>
      </c>
      <c r="CS41" s="119">
        <v>1.0</v>
      </c>
      <c r="CT41" s="126" t="s">
        <v>485</v>
      </c>
      <c r="CU41" s="1177" t="s">
        <v>476</v>
      </c>
      <c r="CV41" s="119">
        <v>1.0</v>
      </c>
      <c r="CW41" s="126" t="s">
        <v>485</v>
      </c>
      <c r="CX41" s="1177" t="s">
        <v>476</v>
      </c>
      <c r="CY41" s="119">
        <v>1.0</v>
      </c>
      <c r="CZ41" s="126" t="s">
        <v>485</v>
      </c>
      <c r="DA41" s="1177" t="s">
        <v>476</v>
      </c>
      <c r="DB41" s="119">
        <v>1.0</v>
      </c>
      <c r="DC41" s="126" t="s">
        <v>485</v>
      </c>
      <c r="DD41" s="1177" t="s">
        <v>476</v>
      </c>
      <c r="DE41" s="119">
        <v>1.0</v>
      </c>
      <c r="DF41" s="126" t="s">
        <v>485</v>
      </c>
      <c r="DG41" s="1177" t="s">
        <v>476</v>
      </c>
      <c r="DH41" s="119">
        <v>1.0</v>
      </c>
      <c r="DI41" s="126" t="s">
        <v>485</v>
      </c>
      <c r="DJ41" s="1177" t="s">
        <v>476</v>
      </c>
      <c r="DK41" s="119">
        <v>1.0</v>
      </c>
      <c r="DL41" s="126" t="s">
        <v>485</v>
      </c>
      <c r="DM41" s="1177" t="s">
        <v>476</v>
      </c>
      <c r="DN41" s="119">
        <v>1.0</v>
      </c>
      <c r="DO41" s="126" t="s">
        <v>485</v>
      </c>
      <c r="DP41" s="1177" t="s">
        <v>476</v>
      </c>
      <c r="DQ41" s="119">
        <v>1.0</v>
      </c>
      <c r="DR41" s="126" t="s">
        <v>708</v>
      </c>
      <c r="DS41" s="111"/>
      <c r="DT41" s="111"/>
      <c r="DU41" s="111"/>
    </row>
    <row r="42" ht="15.0" hidden="1" customHeight="1" outlineLevel="1">
      <c r="A42" s="60">
        <v>62.0</v>
      </c>
      <c r="B42" s="862" t="s">
        <v>224</v>
      </c>
      <c r="C42" s="291"/>
      <c r="D42" s="292"/>
      <c r="E42" s="292"/>
      <c r="F42" s="292"/>
      <c r="G42" s="292"/>
      <c r="H42" s="293"/>
      <c r="I42" s="292"/>
      <c r="J42" s="292"/>
      <c r="K42" s="863"/>
      <c r="L42" s="864"/>
      <c r="M42" s="292"/>
      <c r="N42" s="292"/>
      <c r="O42" s="73"/>
      <c r="P42" s="864"/>
      <c r="Q42" s="875"/>
      <c r="R42" s="875"/>
      <c r="S42" s="1091"/>
      <c r="T42" s="875"/>
      <c r="U42" s="875"/>
      <c r="V42" s="1091"/>
      <c r="W42" s="875"/>
      <c r="X42" s="875"/>
      <c r="Y42" s="1091"/>
      <c r="Z42" s="875"/>
      <c r="AA42" s="875"/>
      <c r="AB42" s="1091"/>
      <c r="AC42" s="875"/>
      <c r="AD42" s="875"/>
      <c r="AE42" s="1091"/>
      <c r="AF42" s="875"/>
      <c r="AG42" s="875"/>
      <c r="AH42" s="875"/>
      <c r="AI42" s="875"/>
      <c r="AJ42" s="875"/>
      <c r="AK42" s="875"/>
      <c r="AL42" s="875"/>
      <c r="AM42" s="875"/>
      <c r="AN42" s="875"/>
      <c r="AO42" s="875"/>
      <c r="AP42" s="875"/>
      <c r="AQ42" s="875"/>
      <c r="AR42" s="875"/>
      <c r="AS42" s="875"/>
      <c r="AT42" s="875"/>
      <c r="AU42" s="875"/>
      <c r="AV42" s="875"/>
      <c r="AW42" s="875"/>
      <c r="AX42" s="875"/>
      <c r="AY42" s="875"/>
      <c r="AZ42" s="875"/>
      <c r="BA42" s="875"/>
      <c r="BB42" s="875"/>
      <c r="BC42" s="875"/>
      <c r="BD42" s="875"/>
      <c r="BE42" s="875"/>
      <c r="BF42" s="875"/>
      <c r="BG42" s="875"/>
      <c r="BH42" s="875"/>
      <c r="BI42" s="875"/>
      <c r="BJ42" s="875"/>
      <c r="BK42" s="875"/>
      <c r="BL42" s="875"/>
      <c r="BM42" s="875"/>
      <c r="BN42" s="875"/>
      <c r="BO42" s="875"/>
      <c r="BP42" s="875"/>
      <c r="BQ42" s="875"/>
      <c r="BR42" s="875"/>
      <c r="BS42" s="875"/>
      <c r="BT42" s="875"/>
      <c r="BU42" s="875"/>
      <c r="BV42" s="875"/>
      <c r="BW42" s="875"/>
      <c r="BX42" s="875"/>
      <c r="BY42" s="875"/>
      <c r="BZ42" s="875"/>
      <c r="CA42" s="875"/>
      <c r="CB42" s="875"/>
      <c r="CC42" s="875"/>
      <c r="CD42" s="875"/>
      <c r="CE42" s="875"/>
      <c r="CF42" s="875"/>
      <c r="CG42" s="875"/>
      <c r="CH42" s="875"/>
      <c r="CI42" s="875"/>
      <c r="CJ42" s="875"/>
      <c r="CK42" s="875"/>
      <c r="CL42" s="875"/>
      <c r="CM42" s="875"/>
      <c r="CN42" s="875"/>
      <c r="CO42" s="875"/>
      <c r="CP42" s="875"/>
      <c r="CQ42" s="875"/>
      <c r="CR42" s="875"/>
      <c r="CS42" s="875"/>
      <c r="CT42" s="875"/>
      <c r="CU42" s="875"/>
      <c r="CV42" s="875"/>
      <c r="CW42" s="875"/>
      <c r="CX42" s="875"/>
      <c r="CY42" s="875"/>
      <c r="CZ42" s="875"/>
      <c r="DA42" s="875"/>
      <c r="DB42" s="875"/>
      <c r="DC42" s="875"/>
      <c r="DD42" s="875"/>
      <c r="DE42" s="875"/>
      <c r="DF42" s="875"/>
      <c r="DG42" s="875"/>
      <c r="DH42" s="875"/>
      <c r="DI42" s="875"/>
      <c r="DJ42" s="875"/>
      <c r="DK42" s="875"/>
      <c r="DL42" s="875"/>
      <c r="DM42" s="875"/>
      <c r="DN42" s="875"/>
      <c r="DO42" s="875"/>
      <c r="DP42" s="875"/>
      <c r="DQ42" s="875"/>
      <c r="DR42" s="186"/>
      <c r="DS42" s="186"/>
      <c r="DT42" s="186"/>
      <c r="DU42" s="186"/>
    </row>
    <row r="43" ht="15.0" customHeight="1" outlineLevel="1">
      <c r="A43" s="60">
        <v>39.0</v>
      </c>
      <c r="B43" s="747" t="s">
        <v>178</v>
      </c>
      <c r="C43" s="747" t="s">
        <v>179</v>
      </c>
      <c r="D43" s="71" t="s">
        <v>85</v>
      </c>
      <c r="E43" s="146" t="s">
        <v>180</v>
      </c>
      <c r="F43" s="146">
        <v>1114.0</v>
      </c>
      <c r="G43" s="146" t="s">
        <v>180</v>
      </c>
      <c r="H43" s="139">
        <v>1114.0</v>
      </c>
      <c r="I43" s="126" t="str">
        <f>IFERROR(VLOOKUP(C40:C182,'R22 RELATÓRIO ACC'!B:F,5,FALSE),"NOT PUBLISHED")</f>
        <v>V15</v>
      </c>
      <c r="J43" s="126" t="str">
        <f>IFERROR(VLOOKUP(C40:C182,'R22 RELATÓRIO ACC'!B:P,15,FALSE),"NOT PUBLISHED")</f>
        <v>27/04/2026</v>
      </c>
      <c r="K43" s="746" t="str">
        <f>IFERROR(VLOOKUP(B40:B182,'RELATÓRIO ACC'!B:F,5,FALSE),"NOT PUBLISHED")</f>
        <v>V3</v>
      </c>
      <c r="L43" s="748" t="str">
        <f>IFERROR(VLOOKUP(B40:B182,'RELATÓRIO ACC'!B:P,15,FALSE),"NOT PUBLISHED")</f>
        <v>12/07/2026</v>
      </c>
      <c r="M43" s="141" t="s">
        <v>500</v>
      </c>
      <c r="N43" s="847">
        <v>45929.0</v>
      </c>
      <c r="O43" s="740" t="s">
        <v>482</v>
      </c>
      <c r="P43" s="1043" t="s">
        <v>102</v>
      </c>
      <c r="Q43" s="746" t="s">
        <v>477</v>
      </c>
      <c r="R43" s="759" t="s">
        <v>476</v>
      </c>
      <c r="S43" s="764">
        <v>0.9</v>
      </c>
      <c r="T43" s="755" t="s">
        <v>478</v>
      </c>
      <c r="U43" s="759" t="s">
        <v>476</v>
      </c>
      <c r="V43" s="755" t="s">
        <v>478</v>
      </c>
      <c r="W43" s="755" t="s">
        <v>484</v>
      </c>
      <c r="X43" s="759" t="s">
        <v>476</v>
      </c>
      <c r="Y43" s="764">
        <v>1.0</v>
      </c>
      <c r="Z43" s="746" t="s">
        <v>485</v>
      </c>
      <c r="AA43" s="766" t="s">
        <v>476</v>
      </c>
      <c r="AB43" s="764">
        <v>1.0</v>
      </c>
      <c r="AC43" s="746" t="s">
        <v>485</v>
      </c>
      <c r="AD43" s="766" t="s">
        <v>476</v>
      </c>
      <c r="AE43" s="764">
        <v>1.0</v>
      </c>
      <c r="AF43" s="68" t="s">
        <v>485</v>
      </c>
      <c r="AG43" s="779" t="s">
        <v>476</v>
      </c>
      <c r="AH43" s="764">
        <v>1.0</v>
      </c>
      <c r="AI43" s="68" t="s">
        <v>485</v>
      </c>
      <c r="AJ43" s="779" t="s">
        <v>476</v>
      </c>
      <c r="AK43" s="764">
        <v>1.0</v>
      </c>
      <c r="AL43" s="126" t="s">
        <v>485</v>
      </c>
      <c r="AM43" s="853" t="s">
        <v>476</v>
      </c>
      <c r="AN43" s="119">
        <v>1.0</v>
      </c>
      <c r="AO43" s="126" t="s">
        <v>485</v>
      </c>
      <c r="AP43" s="853" t="s">
        <v>476</v>
      </c>
      <c r="AQ43" s="119">
        <v>1.0</v>
      </c>
      <c r="AR43" s="126" t="s">
        <v>485</v>
      </c>
      <c r="AS43" s="853" t="s">
        <v>476</v>
      </c>
      <c r="AT43" s="119">
        <v>1.0</v>
      </c>
      <c r="AU43" s="126" t="s">
        <v>485</v>
      </c>
      <c r="AV43" s="853" t="s">
        <v>476</v>
      </c>
      <c r="AW43" s="119">
        <v>1.0</v>
      </c>
      <c r="AX43" s="126" t="s">
        <v>485</v>
      </c>
      <c r="AY43" s="853" t="s">
        <v>476</v>
      </c>
      <c r="AZ43" s="119">
        <v>1.0</v>
      </c>
      <c r="BA43" s="126" t="s">
        <v>485</v>
      </c>
      <c r="BB43" s="853" t="s">
        <v>476</v>
      </c>
      <c r="BC43" s="119">
        <v>1.0</v>
      </c>
      <c r="BD43" s="126" t="s">
        <v>485</v>
      </c>
      <c r="BE43" s="853" t="s">
        <v>476</v>
      </c>
      <c r="BF43" s="119">
        <v>1.0</v>
      </c>
      <c r="BG43" s="126" t="s">
        <v>485</v>
      </c>
      <c r="BH43" s="853" t="s">
        <v>476</v>
      </c>
      <c r="BI43" s="119">
        <v>1.0</v>
      </c>
      <c r="BJ43" s="126" t="s">
        <v>485</v>
      </c>
      <c r="BK43" s="853" t="s">
        <v>476</v>
      </c>
      <c r="BL43" s="119">
        <v>1.0</v>
      </c>
      <c r="BM43" s="126" t="s">
        <v>485</v>
      </c>
      <c r="BN43" s="853" t="s">
        <v>476</v>
      </c>
      <c r="BO43" s="119">
        <v>1.0</v>
      </c>
      <c r="BP43" s="126" t="s">
        <v>485</v>
      </c>
      <c r="BQ43" s="853" t="s">
        <v>476</v>
      </c>
      <c r="BR43" s="119">
        <v>1.0</v>
      </c>
      <c r="BS43" s="126" t="s">
        <v>485</v>
      </c>
      <c r="BT43" s="853" t="s">
        <v>476</v>
      </c>
      <c r="BU43" s="119">
        <v>1.0</v>
      </c>
      <c r="BV43" s="126" t="s">
        <v>485</v>
      </c>
      <c r="BW43" s="853" t="s">
        <v>476</v>
      </c>
      <c r="BX43" s="119">
        <v>1.0</v>
      </c>
      <c r="BY43" s="126" t="s">
        <v>485</v>
      </c>
      <c r="BZ43" s="853" t="s">
        <v>476</v>
      </c>
      <c r="CA43" s="119">
        <v>1.0</v>
      </c>
      <c r="CB43" s="126" t="s">
        <v>485</v>
      </c>
      <c r="CC43" s="853" t="s">
        <v>476</v>
      </c>
      <c r="CD43" s="119">
        <v>1.0</v>
      </c>
      <c r="CE43" s="126" t="s">
        <v>485</v>
      </c>
      <c r="CF43" s="853" t="s">
        <v>476</v>
      </c>
      <c r="CG43" s="119">
        <v>1.0</v>
      </c>
      <c r="CH43" s="126" t="s">
        <v>485</v>
      </c>
      <c r="CI43" s="853" t="s">
        <v>476</v>
      </c>
      <c r="CJ43" s="119">
        <v>1.0</v>
      </c>
      <c r="CK43" s="126" t="s">
        <v>485</v>
      </c>
      <c r="CL43" s="853" t="s">
        <v>476</v>
      </c>
      <c r="CM43" s="119">
        <v>1.0</v>
      </c>
      <c r="CN43" s="126" t="s">
        <v>485</v>
      </c>
      <c r="CO43" s="853" t="s">
        <v>476</v>
      </c>
      <c r="CP43" s="119">
        <v>1.0</v>
      </c>
      <c r="CQ43" s="126" t="s">
        <v>485</v>
      </c>
      <c r="CR43" s="853" t="s">
        <v>476</v>
      </c>
      <c r="CS43" s="119">
        <v>1.0</v>
      </c>
      <c r="CT43" s="126" t="s">
        <v>485</v>
      </c>
      <c r="CU43" s="853" t="s">
        <v>476</v>
      </c>
      <c r="CV43" s="119">
        <v>1.0</v>
      </c>
      <c r="CW43" s="126" t="s">
        <v>485</v>
      </c>
      <c r="CX43" s="853" t="s">
        <v>476</v>
      </c>
      <c r="CY43" s="119">
        <v>1.0</v>
      </c>
      <c r="CZ43" s="126" t="s">
        <v>485</v>
      </c>
      <c r="DA43" s="853" t="s">
        <v>476</v>
      </c>
      <c r="DB43" s="119">
        <v>1.0</v>
      </c>
      <c r="DC43" s="126" t="s">
        <v>485</v>
      </c>
      <c r="DD43" s="853" t="s">
        <v>476</v>
      </c>
      <c r="DE43" s="119">
        <v>1.0</v>
      </c>
      <c r="DF43" s="126" t="s">
        <v>485</v>
      </c>
      <c r="DG43" s="853" t="s">
        <v>476</v>
      </c>
      <c r="DH43" s="119">
        <v>1.0</v>
      </c>
      <c r="DI43" s="126" t="s">
        <v>485</v>
      </c>
      <c r="DJ43" s="853" t="s">
        <v>476</v>
      </c>
      <c r="DK43" s="119">
        <v>1.0</v>
      </c>
      <c r="DL43" s="126" t="s">
        <v>485</v>
      </c>
      <c r="DM43" s="853" t="s">
        <v>476</v>
      </c>
      <c r="DN43" s="119">
        <v>1.0</v>
      </c>
      <c r="DO43" s="126" t="s">
        <v>485</v>
      </c>
      <c r="DP43" s="853" t="s">
        <v>476</v>
      </c>
      <c r="DQ43" s="119">
        <v>1.0</v>
      </c>
      <c r="DR43" s="126" t="s">
        <v>708</v>
      </c>
      <c r="DS43" s="111"/>
      <c r="DT43" s="111"/>
      <c r="DU43" s="111"/>
    </row>
    <row r="44" ht="15.0" hidden="1" customHeight="1">
      <c r="A44" s="60">
        <v>65.0</v>
      </c>
      <c r="B44" s="862" t="s">
        <v>229</v>
      </c>
      <c r="C44" s="291"/>
      <c r="D44" s="292"/>
      <c r="E44" s="292"/>
      <c r="F44" s="292"/>
      <c r="G44" s="292"/>
      <c r="H44" s="293"/>
      <c r="I44" s="292"/>
      <c r="J44" s="292"/>
      <c r="K44" s="863"/>
      <c r="L44" s="864"/>
      <c r="M44" s="292"/>
      <c r="N44" s="292"/>
      <c r="O44" s="73"/>
      <c r="P44" s="864"/>
      <c r="Q44" s="875"/>
      <c r="R44" s="875"/>
      <c r="S44" s="1091"/>
      <c r="T44" s="875"/>
      <c r="U44" s="875"/>
      <c r="V44" s="1091"/>
      <c r="W44" s="875"/>
      <c r="X44" s="875"/>
      <c r="Y44" s="1091"/>
      <c r="Z44" s="875"/>
      <c r="AA44" s="875"/>
      <c r="AB44" s="1091"/>
      <c r="AC44" s="875"/>
      <c r="AD44" s="875"/>
      <c r="AE44" s="1091"/>
      <c r="AF44" s="875"/>
      <c r="AG44" s="875"/>
      <c r="AH44" s="875"/>
      <c r="AI44" s="875"/>
      <c r="AJ44" s="875"/>
      <c r="AK44" s="875"/>
      <c r="AL44" s="875"/>
      <c r="AM44" s="875"/>
      <c r="AN44" s="875"/>
      <c r="AO44" s="875"/>
      <c r="AP44" s="875"/>
      <c r="AQ44" s="875"/>
      <c r="AR44" s="875"/>
      <c r="AS44" s="875"/>
      <c r="AT44" s="875"/>
      <c r="AU44" s="875"/>
      <c r="AV44" s="875"/>
      <c r="AW44" s="875"/>
      <c r="AX44" s="875"/>
      <c r="AY44" s="875"/>
      <c r="AZ44" s="875"/>
      <c r="BA44" s="875"/>
      <c r="BB44" s="875"/>
      <c r="BC44" s="875"/>
      <c r="BD44" s="875"/>
      <c r="BE44" s="875"/>
      <c r="BF44" s="875"/>
      <c r="BG44" s="875"/>
      <c r="BH44" s="875"/>
      <c r="BI44" s="875"/>
      <c r="BJ44" s="875"/>
      <c r="BK44" s="875"/>
      <c r="BL44" s="875"/>
      <c r="BM44" s="875"/>
      <c r="BN44" s="875"/>
      <c r="BO44" s="875"/>
      <c r="BP44" s="875"/>
      <c r="BQ44" s="875"/>
      <c r="BR44" s="875"/>
      <c r="BS44" s="875"/>
      <c r="BT44" s="875"/>
      <c r="BU44" s="875"/>
      <c r="BV44" s="875"/>
      <c r="BW44" s="875"/>
      <c r="BX44" s="875"/>
      <c r="BY44" s="875"/>
      <c r="BZ44" s="875"/>
      <c r="CA44" s="875"/>
      <c r="CB44" s="875"/>
      <c r="CC44" s="875"/>
      <c r="CD44" s="875"/>
      <c r="CE44" s="875"/>
      <c r="CF44" s="875"/>
      <c r="CG44" s="875"/>
      <c r="CH44" s="875"/>
      <c r="CI44" s="875"/>
      <c r="CJ44" s="875"/>
      <c r="CK44" s="875"/>
      <c r="CL44" s="875"/>
      <c r="CM44" s="875"/>
      <c r="CN44" s="875"/>
      <c r="CO44" s="875"/>
      <c r="CP44" s="875"/>
      <c r="CQ44" s="875"/>
      <c r="CR44" s="875"/>
      <c r="CS44" s="875"/>
      <c r="CT44" s="875"/>
      <c r="CU44" s="875"/>
      <c r="CV44" s="875"/>
      <c r="CW44" s="875"/>
      <c r="CX44" s="875"/>
      <c r="CY44" s="875"/>
      <c r="CZ44" s="875"/>
      <c r="DA44" s="875"/>
      <c r="DB44" s="875"/>
      <c r="DC44" s="875"/>
      <c r="DD44" s="875"/>
      <c r="DE44" s="875"/>
      <c r="DF44" s="875"/>
      <c r="DG44" s="875"/>
      <c r="DH44" s="875"/>
      <c r="DI44" s="875"/>
      <c r="DJ44" s="875"/>
      <c r="DK44" s="875"/>
      <c r="DL44" s="875"/>
      <c r="DM44" s="875"/>
      <c r="DN44" s="875"/>
      <c r="DO44" s="875"/>
      <c r="DP44" s="875"/>
      <c r="DQ44" s="875"/>
      <c r="DR44" s="186"/>
      <c r="DS44" s="186"/>
      <c r="DT44" s="186"/>
      <c r="DU44" s="186"/>
    </row>
    <row r="45" ht="15.0" customHeight="1" outlineLevel="1">
      <c r="A45" s="60">
        <v>43.0</v>
      </c>
      <c r="B45" s="747" t="s">
        <v>187</v>
      </c>
      <c r="C45" s="747" t="s">
        <v>188</v>
      </c>
      <c r="D45" s="71" t="s">
        <v>85</v>
      </c>
      <c r="E45" s="146" t="s">
        <v>176</v>
      </c>
      <c r="F45" s="72">
        <v>1113.0</v>
      </c>
      <c r="G45" s="139" t="s">
        <v>176</v>
      </c>
      <c r="H45" s="139">
        <v>1113.0</v>
      </c>
      <c r="I45" s="126" t="str">
        <f>IFERROR(VLOOKUP(C42:C184,'R22 RELATÓRIO ACC'!B:F,5,FALSE),"NOT PUBLISHED")</f>
        <v>V36</v>
      </c>
      <c r="J45" s="126" t="str">
        <f>IFERROR(VLOOKUP(C42:C184,'R22 RELATÓRIO ACC'!B:P,15,FALSE),"NOT PUBLISHED")</f>
        <v>08/05/2026</v>
      </c>
      <c r="K45" s="746" t="str">
        <f>IFERROR(VLOOKUP(B42:B184,'RELATÓRIO ACC'!B:F,5,FALSE),"NOT PUBLISHED")</f>
        <v>V2</v>
      </c>
      <c r="L45" s="748" t="str">
        <f>IFERROR(VLOOKUP(B42:B184,'RELATÓRIO ACC'!B:P,15,FALSE),"NOT PUBLISHED")</f>
        <v>03/06/2026</v>
      </c>
      <c r="M45" s="141" t="s">
        <v>501</v>
      </c>
      <c r="N45" s="782">
        <v>45946.0</v>
      </c>
      <c r="O45" s="740" t="s">
        <v>482</v>
      </c>
      <c r="P45" s="1043" t="s">
        <v>146</v>
      </c>
      <c r="Q45" s="746" t="s">
        <v>477</v>
      </c>
      <c r="R45" s="759" t="s">
        <v>476</v>
      </c>
      <c r="S45" s="1057">
        <v>0.49</v>
      </c>
      <c r="T45" s="1176" t="s">
        <v>477</v>
      </c>
      <c r="U45" s="861" t="s">
        <v>476</v>
      </c>
      <c r="V45" s="1178">
        <v>0.69</v>
      </c>
      <c r="W45" s="755" t="s">
        <v>478</v>
      </c>
      <c r="X45" s="759" t="s">
        <v>476</v>
      </c>
      <c r="Y45" s="1157" t="s">
        <v>478</v>
      </c>
      <c r="Z45" s="755" t="s">
        <v>478</v>
      </c>
      <c r="AA45" s="759" t="s">
        <v>476</v>
      </c>
      <c r="AB45" s="1157" t="s">
        <v>478</v>
      </c>
      <c r="AC45" s="755" t="s">
        <v>484</v>
      </c>
      <c r="AD45" s="759" t="s">
        <v>476</v>
      </c>
      <c r="AE45" s="1057">
        <v>1.0</v>
      </c>
      <c r="AF45" s="68" t="s">
        <v>485</v>
      </c>
      <c r="AG45" s="759" t="s">
        <v>476</v>
      </c>
      <c r="AH45" s="1057">
        <v>1.0</v>
      </c>
      <c r="AI45" s="68" t="s">
        <v>485</v>
      </c>
      <c r="AJ45" s="759" t="s">
        <v>476</v>
      </c>
      <c r="AK45" s="1057">
        <v>1.0</v>
      </c>
      <c r="AL45" s="126" t="s">
        <v>485</v>
      </c>
      <c r="AM45" s="1177" t="s">
        <v>476</v>
      </c>
      <c r="AN45" s="119">
        <v>1.0</v>
      </c>
      <c r="AO45" s="126" t="s">
        <v>485</v>
      </c>
      <c r="AP45" s="1177" t="s">
        <v>476</v>
      </c>
      <c r="AQ45" s="119">
        <v>1.0</v>
      </c>
      <c r="AR45" s="126" t="s">
        <v>485</v>
      </c>
      <c r="AS45" s="1177" t="s">
        <v>476</v>
      </c>
      <c r="AT45" s="119">
        <v>1.0</v>
      </c>
      <c r="AU45" s="126" t="s">
        <v>485</v>
      </c>
      <c r="AV45" s="1177" t="s">
        <v>476</v>
      </c>
      <c r="AW45" s="119">
        <v>1.0</v>
      </c>
      <c r="AX45" s="126" t="s">
        <v>485</v>
      </c>
      <c r="AY45" s="1177" t="s">
        <v>476</v>
      </c>
      <c r="AZ45" s="119">
        <v>1.0</v>
      </c>
      <c r="BA45" s="126" t="s">
        <v>485</v>
      </c>
      <c r="BB45" s="1177" t="s">
        <v>476</v>
      </c>
      <c r="BC45" s="119">
        <v>1.0</v>
      </c>
      <c r="BD45" s="126" t="s">
        <v>485</v>
      </c>
      <c r="BE45" s="1177" t="s">
        <v>476</v>
      </c>
      <c r="BF45" s="119">
        <v>1.0</v>
      </c>
      <c r="BG45" s="126" t="s">
        <v>485</v>
      </c>
      <c r="BH45" s="1177" t="s">
        <v>476</v>
      </c>
      <c r="BI45" s="119">
        <v>1.0</v>
      </c>
      <c r="BJ45" s="126" t="s">
        <v>485</v>
      </c>
      <c r="BK45" s="1177" t="s">
        <v>476</v>
      </c>
      <c r="BL45" s="119">
        <v>1.0</v>
      </c>
      <c r="BM45" s="126" t="s">
        <v>485</v>
      </c>
      <c r="BN45" s="791" t="s">
        <v>476</v>
      </c>
      <c r="BO45" s="119">
        <v>1.0</v>
      </c>
      <c r="BP45" s="126" t="s">
        <v>485</v>
      </c>
      <c r="BQ45" s="791" t="s">
        <v>476</v>
      </c>
      <c r="BR45" s="119">
        <v>1.0</v>
      </c>
      <c r="BS45" s="126" t="s">
        <v>485</v>
      </c>
      <c r="BT45" s="791" t="s">
        <v>476</v>
      </c>
      <c r="BU45" s="119">
        <v>1.0</v>
      </c>
      <c r="BV45" s="126" t="s">
        <v>485</v>
      </c>
      <c r="BW45" s="791" t="s">
        <v>476</v>
      </c>
      <c r="BX45" s="119">
        <v>1.0</v>
      </c>
      <c r="BY45" s="126" t="s">
        <v>485</v>
      </c>
      <c r="BZ45" s="791" t="s">
        <v>476</v>
      </c>
      <c r="CA45" s="119">
        <v>1.0</v>
      </c>
      <c r="CB45" s="126" t="s">
        <v>485</v>
      </c>
      <c r="CC45" s="791" t="s">
        <v>476</v>
      </c>
      <c r="CD45" s="119">
        <v>1.0</v>
      </c>
      <c r="CE45" s="126" t="s">
        <v>485</v>
      </c>
      <c r="CF45" s="791" t="s">
        <v>476</v>
      </c>
      <c r="CG45" s="119">
        <v>1.0</v>
      </c>
      <c r="CH45" s="126" t="s">
        <v>485</v>
      </c>
      <c r="CI45" s="791" t="s">
        <v>476</v>
      </c>
      <c r="CJ45" s="119">
        <v>1.0</v>
      </c>
      <c r="CK45" s="126" t="s">
        <v>485</v>
      </c>
      <c r="CL45" s="791" t="s">
        <v>476</v>
      </c>
      <c r="CM45" s="119">
        <v>1.0</v>
      </c>
      <c r="CN45" s="126" t="s">
        <v>485</v>
      </c>
      <c r="CO45" s="791" t="s">
        <v>476</v>
      </c>
      <c r="CP45" s="119">
        <v>1.0</v>
      </c>
      <c r="CQ45" s="126" t="s">
        <v>485</v>
      </c>
      <c r="CR45" s="791" t="s">
        <v>476</v>
      </c>
      <c r="CS45" s="119">
        <v>1.0</v>
      </c>
      <c r="CT45" s="126" t="s">
        <v>485</v>
      </c>
      <c r="CU45" s="791" t="s">
        <v>476</v>
      </c>
      <c r="CV45" s="119">
        <v>1.0</v>
      </c>
      <c r="CW45" s="126" t="s">
        <v>485</v>
      </c>
      <c r="CX45" s="791" t="s">
        <v>476</v>
      </c>
      <c r="CY45" s="119">
        <v>1.0</v>
      </c>
      <c r="CZ45" s="126" t="s">
        <v>485</v>
      </c>
      <c r="DA45" s="791" t="s">
        <v>476</v>
      </c>
      <c r="DB45" s="119">
        <v>1.0</v>
      </c>
      <c r="DC45" s="126" t="s">
        <v>485</v>
      </c>
      <c r="DD45" s="791" t="s">
        <v>476</v>
      </c>
      <c r="DE45" s="119">
        <v>1.0</v>
      </c>
      <c r="DF45" s="126" t="s">
        <v>485</v>
      </c>
      <c r="DG45" s="791" t="s">
        <v>476</v>
      </c>
      <c r="DH45" s="119">
        <v>1.0</v>
      </c>
      <c r="DI45" s="126" t="s">
        <v>485</v>
      </c>
      <c r="DJ45" s="791" t="s">
        <v>476</v>
      </c>
      <c r="DK45" s="119">
        <v>1.0</v>
      </c>
      <c r="DL45" s="126" t="s">
        <v>485</v>
      </c>
      <c r="DM45" s="791" t="s">
        <v>476</v>
      </c>
      <c r="DN45" s="119">
        <v>1.0</v>
      </c>
      <c r="DO45" s="126" t="s">
        <v>485</v>
      </c>
      <c r="DP45" s="791" t="s">
        <v>476</v>
      </c>
      <c r="DQ45" s="119">
        <v>1.0</v>
      </c>
      <c r="DR45" s="126" t="s">
        <v>91</v>
      </c>
      <c r="DS45" s="111"/>
      <c r="DT45" s="111"/>
      <c r="DU45" s="111"/>
    </row>
    <row r="46" ht="15.0" hidden="1" customHeight="1">
      <c r="A46" s="60">
        <v>67.0</v>
      </c>
      <c r="B46" s="899" t="s">
        <v>233</v>
      </c>
      <c r="C46" s="319"/>
      <c r="D46" s="320"/>
      <c r="E46" s="320"/>
      <c r="F46" s="320"/>
      <c r="G46" s="320"/>
      <c r="H46" s="321"/>
      <c r="I46" s="320"/>
      <c r="J46" s="320"/>
      <c r="K46" s="343"/>
      <c r="L46" s="331"/>
      <c r="M46" s="320"/>
      <c r="N46" s="320"/>
      <c r="O46" s="73"/>
      <c r="P46" s="331"/>
      <c r="Q46" s="907"/>
      <c r="R46" s="907"/>
      <c r="S46" s="1095"/>
      <c r="T46" s="907"/>
      <c r="U46" s="907"/>
      <c r="V46" s="1095"/>
      <c r="W46" s="907"/>
      <c r="X46" s="907"/>
      <c r="Y46" s="1095"/>
      <c r="Z46" s="907"/>
      <c r="AA46" s="907"/>
      <c r="AB46" s="1095"/>
      <c r="AC46" s="907"/>
      <c r="AD46" s="907"/>
      <c r="AE46" s="1095"/>
      <c r="AF46" s="907"/>
      <c r="AG46" s="907"/>
      <c r="AH46" s="907"/>
      <c r="AI46" s="907"/>
      <c r="AJ46" s="907"/>
      <c r="AK46" s="907"/>
      <c r="AL46" s="907"/>
      <c r="AM46" s="907"/>
      <c r="AN46" s="907"/>
      <c r="AO46" s="907"/>
      <c r="AP46" s="907"/>
      <c r="AQ46" s="907"/>
      <c r="AR46" s="907"/>
      <c r="AS46" s="907"/>
      <c r="AT46" s="907"/>
      <c r="AU46" s="907"/>
      <c r="AV46" s="907"/>
      <c r="AW46" s="907"/>
      <c r="AX46" s="907"/>
      <c r="AY46" s="907"/>
      <c r="AZ46" s="907"/>
      <c r="BA46" s="907"/>
      <c r="BB46" s="907"/>
      <c r="BC46" s="907"/>
      <c r="BD46" s="907"/>
      <c r="BE46" s="907"/>
      <c r="BF46" s="907"/>
      <c r="BG46" s="907"/>
      <c r="BH46" s="907"/>
      <c r="BI46" s="907"/>
      <c r="BJ46" s="907"/>
      <c r="BK46" s="907"/>
      <c r="BL46" s="907"/>
      <c r="BM46" s="907"/>
      <c r="BN46" s="907"/>
      <c r="BO46" s="907"/>
      <c r="BP46" s="907"/>
      <c r="BQ46" s="907"/>
      <c r="BR46" s="907"/>
      <c r="BS46" s="907"/>
      <c r="BT46" s="907"/>
      <c r="BU46" s="907"/>
      <c r="BV46" s="907"/>
      <c r="BW46" s="907"/>
      <c r="BX46" s="907"/>
      <c r="BY46" s="907"/>
      <c r="BZ46" s="907"/>
      <c r="CA46" s="907"/>
      <c r="CB46" s="907"/>
      <c r="CC46" s="907"/>
      <c r="CD46" s="907"/>
      <c r="CE46" s="907"/>
      <c r="CF46" s="907"/>
      <c r="CG46" s="907"/>
      <c r="CH46" s="907"/>
      <c r="CI46" s="907"/>
      <c r="CJ46" s="907"/>
      <c r="CK46" s="907"/>
      <c r="CL46" s="907"/>
      <c r="CM46" s="907"/>
      <c r="CN46" s="907"/>
      <c r="CO46" s="907"/>
      <c r="CP46" s="907"/>
      <c r="CQ46" s="907"/>
      <c r="CR46" s="907"/>
      <c r="CS46" s="907"/>
      <c r="CT46" s="907"/>
      <c r="CU46" s="907"/>
      <c r="CV46" s="907"/>
      <c r="CW46" s="907"/>
      <c r="CX46" s="907"/>
      <c r="CY46" s="907"/>
      <c r="CZ46" s="907"/>
      <c r="DA46" s="907"/>
      <c r="DB46" s="907"/>
      <c r="DC46" s="907"/>
      <c r="DD46" s="907"/>
      <c r="DE46" s="907"/>
      <c r="DF46" s="907"/>
      <c r="DG46" s="907"/>
      <c r="DH46" s="907"/>
      <c r="DI46" s="907"/>
      <c r="DJ46" s="907"/>
      <c r="DK46" s="907"/>
      <c r="DL46" s="907"/>
      <c r="DM46" s="907"/>
      <c r="DN46" s="907"/>
      <c r="DO46" s="907"/>
      <c r="DP46" s="907"/>
      <c r="DQ46" s="907"/>
      <c r="DR46" s="68"/>
      <c r="DS46" s="68"/>
      <c r="DT46" s="68"/>
      <c r="DU46" s="68"/>
    </row>
    <row r="47" ht="15.0" customHeight="1" outlineLevel="1">
      <c r="A47" s="60">
        <v>46.0</v>
      </c>
      <c r="B47" s="747" t="s">
        <v>192</v>
      </c>
      <c r="C47" s="747" t="s">
        <v>193</v>
      </c>
      <c r="D47" s="71" t="s">
        <v>85</v>
      </c>
      <c r="E47" s="146" t="s">
        <v>180</v>
      </c>
      <c r="F47" s="72">
        <v>1114.0</v>
      </c>
      <c r="G47" s="139" t="s">
        <v>180</v>
      </c>
      <c r="H47" s="139">
        <v>1114.0</v>
      </c>
      <c r="I47" s="126" t="str">
        <f>IFERROR(VLOOKUP(C44:C186,'R22 RELATÓRIO ACC'!B:F,5,FALSE),"NOT PUBLISHED")</f>
        <v>V18</v>
      </c>
      <c r="J47" s="126" t="str">
        <f>IFERROR(VLOOKUP(C44:C186,'R22 RELATÓRIO ACC'!B:P,15,FALSE),"NOT PUBLISHED")</f>
        <v>30/04/2026</v>
      </c>
      <c r="K47" s="746" t="str">
        <f>IFERROR(VLOOKUP(B44:B186,'RELATÓRIO ACC'!B:F,5,FALSE),"NOT PUBLISHED")</f>
        <v>V3</v>
      </c>
      <c r="L47" s="748" t="str">
        <f>IFERROR(VLOOKUP(B44:B186,'RELATÓRIO ACC'!B:P,15,FALSE),"NOT PUBLISHED")</f>
        <v>29/06/2026</v>
      </c>
      <c r="M47" s="141" t="s">
        <v>492</v>
      </c>
      <c r="N47" s="756" t="s">
        <v>499</v>
      </c>
      <c r="O47" s="740" t="s">
        <v>482</v>
      </c>
      <c r="P47" s="1043" t="s">
        <v>194</v>
      </c>
      <c r="Q47" s="746" t="s">
        <v>477</v>
      </c>
      <c r="R47" s="759" t="s">
        <v>476</v>
      </c>
      <c r="S47" s="1057">
        <v>0.82</v>
      </c>
      <c r="T47" s="755" t="s">
        <v>478</v>
      </c>
      <c r="U47" s="759" t="s">
        <v>476</v>
      </c>
      <c r="V47" s="1157" t="s">
        <v>478</v>
      </c>
      <c r="W47" s="755" t="s">
        <v>478</v>
      </c>
      <c r="X47" s="759" t="s">
        <v>476</v>
      </c>
      <c r="Y47" s="1157" t="s">
        <v>478</v>
      </c>
      <c r="Z47" s="755" t="s">
        <v>484</v>
      </c>
      <c r="AA47" s="759" t="s">
        <v>476</v>
      </c>
      <c r="AB47" s="1057">
        <v>1.0</v>
      </c>
      <c r="AC47" s="746" t="s">
        <v>485</v>
      </c>
      <c r="AD47" s="759" t="s">
        <v>476</v>
      </c>
      <c r="AE47" s="1057">
        <v>1.0</v>
      </c>
      <c r="AF47" s="746" t="s">
        <v>485</v>
      </c>
      <c r="AG47" s="759" t="s">
        <v>476</v>
      </c>
      <c r="AH47" s="1057">
        <v>1.0</v>
      </c>
      <c r="AI47" s="746" t="s">
        <v>485</v>
      </c>
      <c r="AJ47" s="759" t="s">
        <v>476</v>
      </c>
      <c r="AK47" s="1057">
        <v>1.0</v>
      </c>
      <c r="AL47" s="126" t="s">
        <v>485</v>
      </c>
      <c r="AM47" s="1177" t="s">
        <v>476</v>
      </c>
      <c r="AN47" s="119">
        <v>1.0</v>
      </c>
      <c r="AO47" s="126" t="s">
        <v>485</v>
      </c>
      <c r="AP47" s="1177" t="s">
        <v>476</v>
      </c>
      <c r="AQ47" s="119">
        <v>1.0</v>
      </c>
      <c r="AR47" s="126" t="s">
        <v>485</v>
      </c>
      <c r="AS47" s="1177" t="s">
        <v>476</v>
      </c>
      <c r="AT47" s="119">
        <v>1.0</v>
      </c>
      <c r="AU47" s="126" t="s">
        <v>485</v>
      </c>
      <c r="AV47" s="1177" t="s">
        <v>476</v>
      </c>
      <c r="AW47" s="119">
        <v>1.0</v>
      </c>
      <c r="AX47" s="126" t="s">
        <v>485</v>
      </c>
      <c r="AY47" s="1177" t="s">
        <v>476</v>
      </c>
      <c r="AZ47" s="119">
        <v>1.0</v>
      </c>
      <c r="BA47" s="126" t="s">
        <v>485</v>
      </c>
      <c r="BB47" s="1177" t="s">
        <v>476</v>
      </c>
      <c r="BC47" s="119">
        <v>1.0</v>
      </c>
      <c r="BD47" s="126" t="s">
        <v>485</v>
      </c>
      <c r="BE47" s="1177" t="s">
        <v>476</v>
      </c>
      <c r="BF47" s="119">
        <v>1.0</v>
      </c>
      <c r="BG47" s="126" t="s">
        <v>485</v>
      </c>
      <c r="BH47" s="1177" t="s">
        <v>476</v>
      </c>
      <c r="BI47" s="119">
        <v>1.0</v>
      </c>
      <c r="BJ47" s="126" t="s">
        <v>485</v>
      </c>
      <c r="BK47" s="1177" t="s">
        <v>476</v>
      </c>
      <c r="BL47" s="119">
        <v>1.0</v>
      </c>
      <c r="BM47" s="126" t="s">
        <v>485</v>
      </c>
      <c r="BN47" s="1177" t="s">
        <v>476</v>
      </c>
      <c r="BO47" s="119">
        <v>1.0</v>
      </c>
      <c r="BP47" s="126" t="s">
        <v>485</v>
      </c>
      <c r="BQ47" s="1177" t="s">
        <v>476</v>
      </c>
      <c r="BR47" s="119">
        <v>1.0</v>
      </c>
      <c r="BS47" s="126" t="s">
        <v>485</v>
      </c>
      <c r="BT47" s="1177" t="s">
        <v>476</v>
      </c>
      <c r="BU47" s="119">
        <v>1.0</v>
      </c>
      <c r="BV47" s="126" t="s">
        <v>485</v>
      </c>
      <c r="BW47" s="1177" t="s">
        <v>476</v>
      </c>
      <c r="BX47" s="119">
        <v>1.0</v>
      </c>
      <c r="BY47" s="126" t="s">
        <v>485</v>
      </c>
      <c r="BZ47" s="1177" t="s">
        <v>476</v>
      </c>
      <c r="CA47" s="119">
        <v>1.0</v>
      </c>
      <c r="CB47" s="126" t="s">
        <v>485</v>
      </c>
      <c r="CC47" s="1177" t="s">
        <v>476</v>
      </c>
      <c r="CD47" s="119">
        <v>1.0</v>
      </c>
      <c r="CE47" s="126" t="s">
        <v>485</v>
      </c>
      <c r="CF47" s="1177" t="s">
        <v>476</v>
      </c>
      <c r="CG47" s="119">
        <v>1.0</v>
      </c>
      <c r="CH47" s="126" t="s">
        <v>485</v>
      </c>
      <c r="CI47" s="1177" t="s">
        <v>476</v>
      </c>
      <c r="CJ47" s="119">
        <v>1.0</v>
      </c>
      <c r="CK47" s="68" t="s">
        <v>485</v>
      </c>
      <c r="CL47" s="1177" t="s">
        <v>476</v>
      </c>
      <c r="CM47" s="135">
        <v>1.0</v>
      </c>
      <c r="CN47" s="68" t="s">
        <v>485</v>
      </c>
      <c r="CO47" s="1177" t="s">
        <v>476</v>
      </c>
      <c r="CP47" s="135">
        <v>1.0</v>
      </c>
      <c r="CQ47" s="68" t="s">
        <v>485</v>
      </c>
      <c r="CR47" s="1177" t="s">
        <v>476</v>
      </c>
      <c r="CS47" s="135">
        <v>1.0</v>
      </c>
      <c r="CT47" s="68" t="s">
        <v>485</v>
      </c>
      <c r="CU47" s="1177" t="s">
        <v>476</v>
      </c>
      <c r="CV47" s="119">
        <v>1.0</v>
      </c>
      <c r="CW47" s="126" t="s">
        <v>485</v>
      </c>
      <c r="CX47" s="1177" t="s">
        <v>476</v>
      </c>
      <c r="CY47" s="119">
        <v>1.0</v>
      </c>
      <c r="CZ47" s="126" t="s">
        <v>485</v>
      </c>
      <c r="DA47" s="1177" t="s">
        <v>476</v>
      </c>
      <c r="DB47" s="119">
        <v>1.0</v>
      </c>
      <c r="DC47" s="126" t="s">
        <v>485</v>
      </c>
      <c r="DD47" s="1177" t="s">
        <v>476</v>
      </c>
      <c r="DE47" s="119">
        <v>1.0</v>
      </c>
      <c r="DF47" s="126" t="s">
        <v>485</v>
      </c>
      <c r="DG47" s="1177" t="s">
        <v>476</v>
      </c>
      <c r="DH47" s="119">
        <v>1.0</v>
      </c>
      <c r="DI47" s="126" t="s">
        <v>485</v>
      </c>
      <c r="DJ47" s="1177" t="s">
        <v>476</v>
      </c>
      <c r="DK47" s="119">
        <v>1.0</v>
      </c>
      <c r="DL47" s="126" t="s">
        <v>485</v>
      </c>
      <c r="DM47" s="1177" t="s">
        <v>476</v>
      </c>
      <c r="DN47" s="119">
        <v>1.0</v>
      </c>
      <c r="DO47" s="126" t="s">
        <v>485</v>
      </c>
      <c r="DP47" s="1177" t="s">
        <v>476</v>
      </c>
      <c r="DQ47" s="119">
        <v>1.0</v>
      </c>
      <c r="DR47" s="126" t="s">
        <v>91</v>
      </c>
      <c r="DS47" s="111"/>
      <c r="DT47" s="111"/>
      <c r="DU47" s="111"/>
    </row>
    <row r="48" ht="15.0" hidden="1" customHeight="1">
      <c r="A48" s="60">
        <v>70.0</v>
      </c>
      <c r="B48" s="1097" t="s">
        <v>238</v>
      </c>
      <c r="C48" s="346"/>
      <c r="D48" s="347"/>
      <c r="E48" s="347"/>
      <c r="F48" s="347"/>
      <c r="G48" s="347"/>
      <c r="H48" s="348"/>
      <c r="I48" s="347"/>
      <c r="J48" s="347"/>
      <c r="K48" s="917"/>
      <c r="L48" s="1098"/>
      <c r="M48" s="347"/>
      <c r="N48" s="347"/>
      <c r="O48" s="73"/>
      <c r="P48" s="1098"/>
      <c r="Q48" s="922"/>
      <c r="R48" s="922"/>
      <c r="S48" s="1101"/>
      <c r="T48" s="922"/>
      <c r="U48" s="922"/>
      <c r="V48" s="1101"/>
      <c r="W48" s="922"/>
      <c r="X48" s="922"/>
      <c r="Y48" s="1101"/>
      <c r="Z48" s="922"/>
      <c r="AA48" s="922"/>
      <c r="AB48" s="1101"/>
      <c r="AC48" s="922"/>
      <c r="AD48" s="922"/>
      <c r="AE48" s="1101"/>
      <c r="AF48" s="922"/>
      <c r="AG48" s="922"/>
      <c r="AH48" s="922"/>
      <c r="AI48" s="922"/>
      <c r="AJ48" s="922"/>
      <c r="AK48" s="922"/>
      <c r="AL48" s="922"/>
      <c r="AM48" s="922"/>
      <c r="AN48" s="922"/>
      <c r="AO48" s="922"/>
      <c r="AP48" s="922"/>
      <c r="AQ48" s="922"/>
      <c r="AR48" s="922"/>
      <c r="AS48" s="922"/>
      <c r="AT48" s="922"/>
      <c r="AU48" s="922"/>
      <c r="AV48" s="922"/>
      <c r="AW48" s="922"/>
      <c r="AX48" s="922"/>
      <c r="AY48" s="922"/>
      <c r="AZ48" s="922"/>
      <c r="BA48" s="922"/>
      <c r="BB48" s="922"/>
      <c r="BC48" s="922"/>
      <c r="BD48" s="922"/>
      <c r="BE48" s="922"/>
      <c r="BF48" s="922"/>
      <c r="BG48" s="922"/>
      <c r="BH48" s="922"/>
      <c r="BI48" s="922"/>
      <c r="BJ48" s="922"/>
      <c r="BK48" s="922"/>
      <c r="BL48" s="922"/>
      <c r="BM48" s="922"/>
      <c r="BN48" s="922"/>
      <c r="BO48" s="922"/>
      <c r="BP48" s="922"/>
      <c r="BQ48" s="922"/>
      <c r="BR48" s="922"/>
      <c r="BS48" s="922"/>
      <c r="BT48" s="922"/>
      <c r="BU48" s="922"/>
      <c r="BV48" s="922"/>
      <c r="BW48" s="922"/>
      <c r="BX48" s="922"/>
      <c r="BY48" s="922"/>
      <c r="BZ48" s="922"/>
      <c r="CA48" s="922"/>
      <c r="CB48" s="922"/>
      <c r="CC48" s="922"/>
      <c r="CD48" s="922"/>
      <c r="CE48" s="922"/>
      <c r="CF48" s="922"/>
      <c r="CG48" s="922"/>
      <c r="CH48" s="922"/>
      <c r="CI48" s="922"/>
      <c r="CJ48" s="922"/>
      <c r="CK48" s="922"/>
      <c r="CL48" s="922"/>
      <c r="CM48" s="922"/>
      <c r="CN48" s="922"/>
      <c r="CO48" s="922"/>
      <c r="CP48" s="922"/>
      <c r="CQ48" s="922"/>
      <c r="CR48" s="922"/>
      <c r="CS48" s="922"/>
      <c r="CT48" s="922"/>
      <c r="CU48" s="922"/>
      <c r="CV48" s="922"/>
      <c r="CW48" s="922"/>
      <c r="CX48" s="922"/>
      <c r="CY48" s="922"/>
      <c r="CZ48" s="922"/>
      <c r="DA48" s="922"/>
      <c r="DB48" s="922"/>
      <c r="DC48" s="922"/>
      <c r="DD48" s="922"/>
      <c r="DE48" s="922"/>
      <c r="DF48" s="922"/>
      <c r="DG48" s="922"/>
      <c r="DH48" s="922"/>
      <c r="DI48" s="922"/>
      <c r="DJ48" s="922"/>
      <c r="DK48" s="922"/>
      <c r="DL48" s="922"/>
      <c r="DM48" s="922"/>
      <c r="DN48" s="922"/>
      <c r="DO48" s="922"/>
      <c r="DP48" s="922"/>
      <c r="DQ48" s="922"/>
      <c r="DR48" s="186"/>
      <c r="DS48" s="186"/>
      <c r="DT48" s="186"/>
      <c r="DU48" s="186"/>
    </row>
    <row r="49" ht="15.0" customHeight="1" outlineLevel="1">
      <c r="A49" s="60">
        <v>48.0</v>
      </c>
      <c r="B49" s="747" t="s">
        <v>196</v>
      </c>
      <c r="C49" s="747" t="s">
        <v>197</v>
      </c>
      <c r="D49" s="71" t="s">
        <v>85</v>
      </c>
      <c r="E49" s="146" t="s">
        <v>169</v>
      </c>
      <c r="F49" s="72">
        <v>1112.0</v>
      </c>
      <c r="G49" s="139" t="s">
        <v>170</v>
      </c>
      <c r="H49" s="139">
        <v>1129.0</v>
      </c>
      <c r="I49" s="126" t="str">
        <f>IFERROR(VLOOKUP(C46:C188,'R22 RELATÓRIO ACC'!B:F,5,FALSE),"NOT PUBLISHED")</f>
        <v>V33</v>
      </c>
      <c r="J49" s="126" t="str">
        <f>IFERROR(VLOOKUP(C46:C188,'R22 RELATÓRIO ACC'!B:P,15,FALSE),"NOT PUBLISHED")</f>
        <v>04/03/2026</v>
      </c>
      <c r="K49" s="746" t="str">
        <f>IFERROR(VLOOKUP(B46:B188,'RELATÓRIO ACC'!B:F,5,FALSE),"NOT PUBLISHED")</f>
        <v>V2</v>
      </c>
      <c r="L49" s="748" t="str">
        <f>IFERROR(VLOOKUP(B46:B188,'RELATÓRIO ACC'!B:P,15,FALSE),"NOT PUBLISHED")</f>
        <v>13/07/2026</v>
      </c>
      <c r="M49" s="141" t="s">
        <v>502</v>
      </c>
      <c r="N49" s="756" t="s">
        <v>503</v>
      </c>
      <c r="O49" s="740" t="s">
        <v>482</v>
      </c>
      <c r="P49" s="1043" t="s">
        <v>708</v>
      </c>
      <c r="Q49" s="746" t="s">
        <v>477</v>
      </c>
      <c r="R49" s="759" t="s">
        <v>476</v>
      </c>
      <c r="S49" s="1057">
        <v>0.44</v>
      </c>
      <c r="T49" s="755" t="s">
        <v>478</v>
      </c>
      <c r="U49" s="759" t="s">
        <v>476</v>
      </c>
      <c r="V49" s="1157" t="s">
        <v>478</v>
      </c>
      <c r="W49" s="755" t="s">
        <v>478</v>
      </c>
      <c r="X49" s="759" t="s">
        <v>476</v>
      </c>
      <c r="Y49" s="1157" t="s">
        <v>478</v>
      </c>
      <c r="Z49" s="755" t="s">
        <v>477</v>
      </c>
      <c r="AA49" s="759" t="s">
        <v>476</v>
      </c>
      <c r="AB49" s="1057">
        <v>0.97</v>
      </c>
      <c r="AC49" s="755" t="s">
        <v>478</v>
      </c>
      <c r="AD49" s="759" t="s">
        <v>476</v>
      </c>
      <c r="AE49" s="1157" t="s">
        <v>478</v>
      </c>
      <c r="AF49" s="755" t="s">
        <v>484</v>
      </c>
      <c r="AG49" s="766" t="s">
        <v>476</v>
      </c>
      <c r="AH49" s="1057">
        <v>1.0</v>
      </c>
      <c r="AI49" s="746" t="s">
        <v>485</v>
      </c>
      <c r="AJ49" s="766" t="s">
        <v>476</v>
      </c>
      <c r="AK49" s="1057">
        <v>1.0</v>
      </c>
      <c r="AL49" s="126" t="s">
        <v>485</v>
      </c>
      <c r="AM49" s="853" t="s">
        <v>476</v>
      </c>
      <c r="AN49" s="119">
        <v>1.0</v>
      </c>
      <c r="AO49" s="126" t="s">
        <v>485</v>
      </c>
      <c r="AP49" s="853" t="s">
        <v>476</v>
      </c>
      <c r="AQ49" s="119">
        <v>1.0</v>
      </c>
      <c r="AR49" s="126" t="s">
        <v>485</v>
      </c>
      <c r="AS49" s="853" t="s">
        <v>476</v>
      </c>
      <c r="AT49" s="119">
        <v>1.0</v>
      </c>
      <c r="AU49" s="126" t="s">
        <v>485</v>
      </c>
      <c r="AV49" s="853" t="s">
        <v>476</v>
      </c>
      <c r="AW49" s="119">
        <v>1.0</v>
      </c>
      <c r="AX49" s="126" t="s">
        <v>485</v>
      </c>
      <c r="AY49" s="853" t="s">
        <v>476</v>
      </c>
      <c r="AZ49" s="119">
        <v>1.0</v>
      </c>
      <c r="BA49" s="126" t="s">
        <v>485</v>
      </c>
      <c r="BB49" s="853" t="s">
        <v>476</v>
      </c>
      <c r="BC49" s="119">
        <v>1.0</v>
      </c>
      <c r="BD49" s="126" t="s">
        <v>485</v>
      </c>
      <c r="BE49" s="853" t="s">
        <v>476</v>
      </c>
      <c r="BF49" s="119">
        <v>1.0</v>
      </c>
      <c r="BG49" s="126" t="s">
        <v>485</v>
      </c>
      <c r="BH49" s="853" t="s">
        <v>476</v>
      </c>
      <c r="BI49" s="119">
        <v>1.0</v>
      </c>
      <c r="BJ49" s="126" t="s">
        <v>485</v>
      </c>
      <c r="BK49" s="853" t="s">
        <v>476</v>
      </c>
      <c r="BL49" s="119">
        <v>1.0</v>
      </c>
      <c r="BM49" s="126" t="s">
        <v>485</v>
      </c>
      <c r="BN49" s="853" t="s">
        <v>476</v>
      </c>
      <c r="BO49" s="119">
        <v>1.0</v>
      </c>
      <c r="BP49" s="126" t="s">
        <v>485</v>
      </c>
      <c r="BQ49" s="853" t="s">
        <v>476</v>
      </c>
      <c r="BR49" s="119">
        <v>1.0</v>
      </c>
      <c r="BS49" s="126" t="s">
        <v>485</v>
      </c>
      <c r="BT49" s="853" t="s">
        <v>476</v>
      </c>
      <c r="BU49" s="119">
        <v>1.0</v>
      </c>
      <c r="BV49" s="126" t="s">
        <v>485</v>
      </c>
      <c r="BW49" s="853" t="s">
        <v>476</v>
      </c>
      <c r="BX49" s="119">
        <v>1.0</v>
      </c>
      <c r="BY49" s="126" t="s">
        <v>485</v>
      </c>
      <c r="BZ49" s="853" t="s">
        <v>476</v>
      </c>
      <c r="CA49" s="119">
        <v>1.0</v>
      </c>
      <c r="CB49" s="126" t="s">
        <v>485</v>
      </c>
      <c r="CC49" s="853" t="s">
        <v>476</v>
      </c>
      <c r="CD49" s="119">
        <v>1.0</v>
      </c>
      <c r="CE49" s="126" t="s">
        <v>485</v>
      </c>
      <c r="CF49" s="853" t="s">
        <v>476</v>
      </c>
      <c r="CG49" s="119">
        <v>1.0</v>
      </c>
      <c r="CH49" s="126" t="s">
        <v>485</v>
      </c>
      <c r="CI49" s="853" t="s">
        <v>476</v>
      </c>
      <c r="CJ49" s="119">
        <v>1.0</v>
      </c>
      <c r="CK49" s="746" t="s">
        <v>485</v>
      </c>
      <c r="CL49" s="853" t="s">
        <v>476</v>
      </c>
      <c r="CM49" s="764">
        <v>1.0</v>
      </c>
      <c r="CN49" s="746" t="s">
        <v>485</v>
      </c>
      <c r="CO49" s="853" t="s">
        <v>476</v>
      </c>
      <c r="CP49" s="764">
        <v>1.0</v>
      </c>
      <c r="CQ49" s="68" t="s">
        <v>485</v>
      </c>
      <c r="CR49" s="853" t="s">
        <v>476</v>
      </c>
      <c r="CS49" s="135">
        <v>1.0</v>
      </c>
      <c r="CT49" s="68" t="s">
        <v>485</v>
      </c>
      <c r="CU49" s="853" t="s">
        <v>476</v>
      </c>
      <c r="CV49" s="135">
        <v>1.0</v>
      </c>
      <c r="CW49" s="68" t="s">
        <v>485</v>
      </c>
      <c r="CX49" s="853" t="s">
        <v>476</v>
      </c>
      <c r="CY49" s="135">
        <v>1.0</v>
      </c>
      <c r="CZ49" s="68" t="s">
        <v>485</v>
      </c>
      <c r="DA49" s="853" t="s">
        <v>476</v>
      </c>
      <c r="DB49" s="135">
        <v>1.0</v>
      </c>
      <c r="DC49" s="68" t="s">
        <v>485</v>
      </c>
      <c r="DD49" s="853" t="s">
        <v>476</v>
      </c>
      <c r="DE49" s="135">
        <v>1.0</v>
      </c>
      <c r="DF49" s="68" t="s">
        <v>485</v>
      </c>
      <c r="DG49" s="853" t="s">
        <v>476</v>
      </c>
      <c r="DH49" s="135">
        <v>1.0</v>
      </c>
      <c r="DI49" s="68" t="s">
        <v>485</v>
      </c>
      <c r="DJ49" s="853" t="s">
        <v>476</v>
      </c>
      <c r="DK49" s="135">
        <v>1.0</v>
      </c>
      <c r="DL49" s="68" t="s">
        <v>485</v>
      </c>
      <c r="DM49" s="853" t="s">
        <v>476</v>
      </c>
      <c r="DN49" s="135">
        <v>1.0</v>
      </c>
      <c r="DO49" s="68" t="s">
        <v>485</v>
      </c>
      <c r="DP49" s="853" t="s">
        <v>476</v>
      </c>
      <c r="DQ49" s="135">
        <v>1.0</v>
      </c>
      <c r="DR49" s="126" t="s">
        <v>708</v>
      </c>
      <c r="DS49" s="111"/>
      <c r="DT49" s="111"/>
      <c r="DU49" s="111"/>
    </row>
    <row r="50" ht="15.0" hidden="1" customHeight="1">
      <c r="A50" s="60">
        <v>74.0</v>
      </c>
      <c r="B50" s="1103" t="s">
        <v>247</v>
      </c>
      <c r="C50" s="374"/>
      <c r="D50" s="375"/>
      <c r="E50" s="375"/>
      <c r="F50" s="375"/>
      <c r="G50" s="375"/>
      <c r="H50" s="376"/>
      <c r="I50" s="375"/>
      <c r="J50" s="375"/>
      <c r="K50" s="1104"/>
      <c r="L50" s="1105"/>
      <c r="M50" s="375"/>
      <c r="N50" s="375"/>
      <c r="O50" s="73"/>
      <c r="P50" s="1105"/>
      <c r="Q50" s="958"/>
      <c r="R50" s="958"/>
      <c r="S50" s="1109"/>
      <c r="T50" s="958"/>
      <c r="U50" s="958"/>
      <c r="V50" s="1109"/>
      <c r="W50" s="958"/>
      <c r="X50" s="955"/>
      <c r="Y50" s="958"/>
      <c r="Z50" s="958"/>
      <c r="AA50" s="955"/>
      <c r="AB50" s="958"/>
      <c r="AC50" s="958"/>
      <c r="AD50" s="955"/>
      <c r="AE50" s="958"/>
      <c r="AF50" s="958"/>
      <c r="AG50" s="958"/>
      <c r="AH50" s="958"/>
      <c r="AI50" s="958"/>
      <c r="AJ50" s="958"/>
      <c r="AK50" s="958"/>
      <c r="AL50" s="958"/>
      <c r="AM50" s="958"/>
      <c r="AN50" s="958"/>
      <c r="AO50" s="958"/>
      <c r="AP50" s="958"/>
      <c r="AQ50" s="958"/>
      <c r="AR50" s="958"/>
      <c r="AS50" s="958"/>
      <c r="AT50" s="958"/>
      <c r="AU50" s="958"/>
      <c r="AV50" s="958"/>
      <c r="AW50" s="958"/>
      <c r="AX50" s="958"/>
      <c r="AY50" s="958"/>
      <c r="AZ50" s="958"/>
      <c r="BA50" s="958"/>
      <c r="BB50" s="958"/>
      <c r="BC50" s="958"/>
      <c r="BD50" s="958"/>
      <c r="BE50" s="958"/>
      <c r="BF50" s="958"/>
      <c r="BG50" s="958"/>
      <c r="BH50" s="958"/>
      <c r="BI50" s="958"/>
      <c r="BJ50" s="958"/>
      <c r="BK50" s="958"/>
      <c r="BL50" s="958"/>
      <c r="BM50" s="958"/>
      <c r="BN50" s="958"/>
      <c r="BO50" s="958"/>
      <c r="BP50" s="958"/>
      <c r="BQ50" s="958"/>
      <c r="BR50" s="958"/>
      <c r="BS50" s="958"/>
      <c r="BT50" s="958"/>
      <c r="BU50" s="958"/>
      <c r="BV50" s="958"/>
      <c r="BW50" s="958"/>
      <c r="BX50" s="958"/>
      <c r="BY50" s="958"/>
      <c r="BZ50" s="958"/>
      <c r="CA50" s="958"/>
      <c r="CB50" s="958"/>
      <c r="CC50" s="958"/>
      <c r="CD50" s="958"/>
      <c r="CE50" s="958"/>
      <c r="CF50" s="958"/>
      <c r="CG50" s="958"/>
      <c r="CH50" s="958"/>
      <c r="CI50" s="958"/>
      <c r="CJ50" s="958"/>
      <c r="CK50" s="958"/>
      <c r="CL50" s="958"/>
      <c r="CM50" s="958"/>
      <c r="CN50" s="958"/>
      <c r="CO50" s="958"/>
      <c r="CP50" s="958"/>
      <c r="CQ50" s="958"/>
      <c r="CR50" s="958"/>
      <c r="CS50" s="958"/>
      <c r="CT50" s="958"/>
      <c r="CU50" s="958"/>
      <c r="CV50" s="958"/>
      <c r="CW50" s="958"/>
      <c r="CX50" s="958"/>
      <c r="CY50" s="958"/>
      <c r="CZ50" s="958"/>
      <c r="DA50" s="958"/>
      <c r="DB50" s="958"/>
      <c r="DC50" s="958"/>
      <c r="DD50" s="958"/>
      <c r="DE50" s="958"/>
      <c r="DF50" s="958"/>
      <c r="DG50" s="958"/>
      <c r="DH50" s="958"/>
      <c r="DI50" s="958"/>
      <c r="DJ50" s="958"/>
      <c r="DK50" s="958"/>
      <c r="DL50" s="958"/>
      <c r="DM50" s="958"/>
      <c r="DN50" s="958"/>
      <c r="DO50" s="958"/>
      <c r="DP50" s="958"/>
      <c r="DQ50" s="958"/>
      <c r="DR50" s="186"/>
      <c r="DS50" s="186"/>
      <c r="DT50" s="186"/>
      <c r="DU50" s="186"/>
    </row>
    <row r="51" ht="15.75" customHeight="1" outlineLevel="1">
      <c r="A51" s="60">
        <v>52.0</v>
      </c>
      <c r="B51" s="747" t="s">
        <v>204</v>
      </c>
      <c r="C51" s="747" t="s">
        <v>205</v>
      </c>
      <c r="D51" s="71" t="s">
        <v>85</v>
      </c>
      <c r="E51" s="146" t="s">
        <v>180</v>
      </c>
      <c r="F51" s="72">
        <v>1114.0</v>
      </c>
      <c r="G51" s="139" t="s">
        <v>180</v>
      </c>
      <c r="H51" s="139">
        <v>1114.0</v>
      </c>
      <c r="I51" s="126" t="str">
        <f>IFERROR(VLOOKUP(C48:C190,'R22 RELATÓRIO ACC'!B:F,5,FALSE),"NOT PUBLISHED")</f>
        <v>V20</v>
      </c>
      <c r="J51" s="126" t="str">
        <f>IFERROR(VLOOKUP(C48:C190,'R22 RELATÓRIO ACC'!B:P,15,FALSE),"NOT PUBLISHED")</f>
        <v>05/05/2026</v>
      </c>
      <c r="K51" s="746" t="str">
        <f>IFERROR(VLOOKUP(B48:B190,'RELATÓRIO ACC'!B:F,5,FALSE),"NOT PUBLISHED")</f>
        <v>V2</v>
      </c>
      <c r="L51" s="748" t="str">
        <f>IFERROR(VLOOKUP(B48:B190,'RELATÓRIO ACC'!B:P,15,FALSE),"NOT PUBLISHED")</f>
        <v>12/07/2026</v>
      </c>
      <c r="M51" s="141" t="s">
        <v>492</v>
      </c>
      <c r="N51" s="756" t="s">
        <v>504</v>
      </c>
      <c r="O51" s="740" t="s">
        <v>482</v>
      </c>
      <c r="P51" s="1179" t="s">
        <v>129</v>
      </c>
      <c r="Q51" s="746" t="s">
        <v>477</v>
      </c>
      <c r="R51" s="759" t="s">
        <v>476</v>
      </c>
      <c r="S51" s="1057">
        <v>0.76</v>
      </c>
      <c r="T51" s="755" t="s">
        <v>478</v>
      </c>
      <c r="U51" s="759" t="s">
        <v>476</v>
      </c>
      <c r="V51" s="1157" t="s">
        <v>478</v>
      </c>
      <c r="W51" s="755" t="s">
        <v>478</v>
      </c>
      <c r="X51" s="759" t="s">
        <v>476</v>
      </c>
      <c r="Y51" s="1157" t="s">
        <v>478</v>
      </c>
      <c r="Z51" s="755" t="s">
        <v>477</v>
      </c>
      <c r="AA51" s="759" t="s">
        <v>476</v>
      </c>
      <c r="AB51" s="1057">
        <v>0.92</v>
      </c>
      <c r="AC51" s="755" t="s">
        <v>478</v>
      </c>
      <c r="AD51" s="759" t="s">
        <v>476</v>
      </c>
      <c r="AE51" s="1157" t="s">
        <v>478</v>
      </c>
      <c r="AF51" s="755" t="s">
        <v>478</v>
      </c>
      <c r="AG51" s="791" t="s">
        <v>476</v>
      </c>
      <c r="AH51" s="1157" t="s">
        <v>478</v>
      </c>
      <c r="AI51" s="755" t="s">
        <v>474</v>
      </c>
      <c r="AJ51" s="791" t="s">
        <v>476</v>
      </c>
      <c r="AK51" s="1157" t="s">
        <v>474</v>
      </c>
      <c r="AL51" s="1180" t="s">
        <v>484</v>
      </c>
      <c r="AM51" s="853" t="s">
        <v>476</v>
      </c>
      <c r="AN51" s="119">
        <v>1.0</v>
      </c>
      <c r="AO51" s="126" t="s">
        <v>485</v>
      </c>
      <c r="AP51" s="853" t="s">
        <v>476</v>
      </c>
      <c r="AQ51" s="119">
        <v>1.0</v>
      </c>
      <c r="AR51" s="126" t="s">
        <v>485</v>
      </c>
      <c r="AS51" s="853" t="s">
        <v>476</v>
      </c>
      <c r="AT51" s="119">
        <v>1.0</v>
      </c>
      <c r="AU51" s="126" t="s">
        <v>485</v>
      </c>
      <c r="AV51" s="853" t="s">
        <v>476</v>
      </c>
      <c r="AW51" s="119">
        <v>1.0</v>
      </c>
      <c r="AX51" s="126" t="s">
        <v>485</v>
      </c>
      <c r="AY51" s="853" t="s">
        <v>476</v>
      </c>
      <c r="AZ51" s="119">
        <v>1.0</v>
      </c>
      <c r="BA51" s="126" t="s">
        <v>485</v>
      </c>
      <c r="BB51" s="853" t="s">
        <v>476</v>
      </c>
      <c r="BC51" s="119">
        <v>1.0</v>
      </c>
      <c r="BD51" s="126" t="s">
        <v>485</v>
      </c>
      <c r="BE51" s="853" t="s">
        <v>476</v>
      </c>
      <c r="BF51" s="119">
        <v>1.0</v>
      </c>
      <c r="BG51" s="126" t="s">
        <v>485</v>
      </c>
      <c r="BH51" s="853" t="s">
        <v>476</v>
      </c>
      <c r="BI51" s="119">
        <v>1.0</v>
      </c>
      <c r="BJ51" s="126" t="s">
        <v>485</v>
      </c>
      <c r="BK51" s="853" t="s">
        <v>476</v>
      </c>
      <c r="BL51" s="119">
        <v>1.0</v>
      </c>
      <c r="BM51" s="126" t="s">
        <v>485</v>
      </c>
      <c r="BN51" s="853" t="s">
        <v>476</v>
      </c>
      <c r="BO51" s="119">
        <v>1.0</v>
      </c>
      <c r="BP51" s="126" t="s">
        <v>485</v>
      </c>
      <c r="BQ51" s="853" t="s">
        <v>476</v>
      </c>
      <c r="BR51" s="119">
        <v>1.0</v>
      </c>
      <c r="BS51" s="126" t="s">
        <v>485</v>
      </c>
      <c r="BT51" s="853" t="s">
        <v>476</v>
      </c>
      <c r="BU51" s="119">
        <v>1.0</v>
      </c>
      <c r="BV51" s="126" t="s">
        <v>485</v>
      </c>
      <c r="BW51" s="853" t="s">
        <v>476</v>
      </c>
      <c r="BX51" s="119">
        <v>1.0</v>
      </c>
      <c r="BY51" s="126" t="s">
        <v>485</v>
      </c>
      <c r="BZ51" s="853" t="s">
        <v>476</v>
      </c>
      <c r="CA51" s="119">
        <v>1.0</v>
      </c>
      <c r="CB51" s="126" t="s">
        <v>485</v>
      </c>
      <c r="CC51" s="853" t="s">
        <v>476</v>
      </c>
      <c r="CD51" s="119">
        <v>1.0</v>
      </c>
      <c r="CE51" s="126" t="s">
        <v>485</v>
      </c>
      <c r="CF51" s="853" t="s">
        <v>476</v>
      </c>
      <c r="CG51" s="119">
        <v>1.0</v>
      </c>
      <c r="CH51" s="126" t="s">
        <v>485</v>
      </c>
      <c r="CI51" s="853" t="s">
        <v>476</v>
      </c>
      <c r="CJ51" s="119">
        <v>1.0</v>
      </c>
      <c r="CK51" s="126" t="s">
        <v>485</v>
      </c>
      <c r="CL51" s="853" t="s">
        <v>476</v>
      </c>
      <c r="CM51" s="119">
        <v>1.0</v>
      </c>
      <c r="CN51" s="126" t="s">
        <v>485</v>
      </c>
      <c r="CO51" s="853" t="s">
        <v>476</v>
      </c>
      <c r="CP51" s="119">
        <v>1.0</v>
      </c>
      <c r="CQ51" s="126" t="s">
        <v>485</v>
      </c>
      <c r="CR51" s="853" t="s">
        <v>476</v>
      </c>
      <c r="CS51" s="119">
        <v>1.0</v>
      </c>
      <c r="CT51" s="126" t="s">
        <v>485</v>
      </c>
      <c r="CU51" s="853" t="s">
        <v>476</v>
      </c>
      <c r="CV51" s="119">
        <v>1.0</v>
      </c>
      <c r="CW51" s="126" t="s">
        <v>485</v>
      </c>
      <c r="CX51" s="853" t="s">
        <v>476</v>
      </c>
      <c r="CY51" s="119">
        <v>1.0</v>
      </c>
      <c r="CZ51" s="126" t="s">
        <v>485</v>
      </c>
      <c r="DA51" s="853" t="s">
        <v>476</v>
      </c>
      <c r="DB51" s="119">
        <v>1.0</v>
      </c>
      <c r="DC51" s="126" t="s">
        <v>485</v>
      </c>
      <c r="DD51" s="853" t="s">
        <v>476</v>
      </c>
      <c r="DE51" s="119">
        <v>1.0</v>
      </c>
      <c r="DF51" s="126" t="s">
        <v>485</v>
      </c>
      <c r="DG51" s="853" t="s">
        <v>476</v>
      </c>
      <c r="DH51" s="119">
        <v>1.0</v>
      </c>
      <c r="DI51" s="126" t="s">
        <v>485</v>
      </c>
      <c r="DJ51" s="853" t="s">
        <v>476</v>
      </c>
      <c r="DK51" s="119">
        <v>1.0</v>
      </c>
      <c r="DL51" s="126" t="s">
        <v>485</v>
      </c>
      <c r="DM51" s="853" t="s">
        <v>476</v>
      </c>
      <c r="DN51" s="119">
        <v>1.0</v>
      </c>
      <c r="DO51" s="126" t="s">
        <v>485</v>
      </c>
      <c r="DP51" s="853" t="s">
        <v>476</v>
      </c>
      <c r="DQ51" s="119">
        <v>1.0</v>
      </c>
      <c r="DR51" s="126" t="s">
        <v>91</v>
      </c>
      <c r="DS51" s="111"/>
      <c r="DT51" s="111"/>
      <c r="DU51" s="111"/>
    </row>
    <row r="52" ht="15.0" customHeight="1" outlineLevel="1">
      <c r="A52" s="60">
        <v>54.0</v>
      </c>
      <c r="B52" s="747" t="s">
        <v>207</v>
      </c>
      <c r="C52" s="747" t="s">
        <v>208</v>
      </c>
      <c r="D52" s="71" t="s">
        <v>85</v>
      </c>
      <c r="E52" s="146" t="s">
        <v>169</v>
      </c>
      <c r="F52" s="72">
        <v>1112.0</v>
      </c>
      <c r="G52" s="139" t="s">
        <v>170</v>
      </c>
      <c r="H52" s="139">
        <v>1129.0</v>
      </c>
      <c r="I52" s="126" t="str">
        <f>IFERROR(VLOOKUP(C49:C191,'R22 RELATÓRIO ACC'!B:F,5,FALSE),"NOT PUBLISHED")</f>
        <v>V39</v>
      </c>
      <c r="J52" s="126" t="str">
        <f>IFERROR(VLOOKUP(C49:C191,'R22 RELATÓRIO ACC'!B:P,15,FALSE),"NOT PUBLISHED")</f>
        <v>19/03/2026</v>
      </c>
      <c r="K52" s="746" t="str">
        <f>IFERROR(VLOOKUP(B49:B191,'RELATÓRIO ACC'!B:F,5,FALSE),"NOT PUBLISHED")</f>
        <v>V5</v>
      </c>
      <c r="L52" s="748" t="str">
        <f>IFERROR(VLOOKUP(B49:B191,'RELATÓRIO ACC'!B:P,15,FALSE),"NOT PUBLISHED")</f>
        <v>10/07/2026</v>
      </c>
      <c r="M52" s="141" t="s">
        <v>505</v>
      </c>
      <c r="N52" s="756" t="s">
        <v>497</v>
      </c>
      <c r="O52" s="1111" t="s">
        <v>482</v>
      </c>
      <c r="P52" s="1043" t="s">
        <v>129</v>
      </c>
      <c r="Q52" s="746" t="s">
        <v>477</v>
      </c>
      <c r="R52" s="759" t="s">
        <v>476</v>
      </c>
      <c r="S52" s="1057">
        <v>0.77</v>
      </c>
      <c r="T52" s="755" t="s">
        <v>478</v>
      </c>
      <c r="U52" s="861" t="s">
        <v>476</v>
      </c>
      <c r="V52" s="763" t="s">
        <v>478</v>
      </c>
      <c r="W52" s="755" t="s">
        <v>478</v>
      </c>
      <c r="X52" s="861" t="s">
        <v>476</v>
      </c>
      <c r="Y52" s="763" t="s">
        <v>478</v>
      </c>
      <c r="Z52" s="755" t="s">
        <v>484</v>
      </c>
      <c r="AA52" s="861" t="s">
        <v>476</v>
      </c>
      <c r="AB52" s="135">
        <v>1.0</v>
      </c>
      <c r="AC52" s="68" t="s">
        <v>485</v>
      </c>
      <c r="AD52" s="791" t="s">
        <v>476</v>
      </c>
      <c r="AE52" s="135">
        <v>1.0</v>
      </c>
      <c r="AF52" s="746" t="s">
        <v>485</v>
      </c>
      <c r="AG52" s="759" t="s">
        <v>476</v>
      </c>
      <c r="AH52" s="1057">
        <v>1.0</v>
      </c>
      <c r="AI52" s="746" t="s">
        <v>485</v>
      </c>
      <c r="AJ52" s="759" t="s">
        <v>476</v>
      </c>
      <c r="AK52" s="1057">
        <v>1.0</v>
      </c>
      <c r="AL52" s="746" t="s">
        <v>485</v>
      </c>
      <c r="AM52" s="759" t="s">
        <v>476</v>
      </c>
      <c r="AN52" s="1057">
        <v>1.0</v>
      </c>
      <c r="AO52" s="746" t="s">
        <v>485</v>
      </c>
      <c r="AP52" s="759" t="s">
        <v>476</v>
      </c>
      <c r="AQ52" s="1057">
        <v>1.0</v>
      </c>
      <c r="AR52" s="746" t="s">
        <v>485</v>
      </c>
      <c r="AS52" s="759" t="s">
        <v>476</v>
      </c>
      <c r="AT52" s="1057">
        <v>1.0</v>
      </c>
      <c r="AU52" s="746" t="s">
        <v>485</v>
      </c>
      <c r="AV52" s="759" t="s">
        <v>476</v>
      </c>
      <c r="AW52" s="1057">
        <v>1.0</v>
      </c>
      <c r="AX52" s="746" t="s">
        <v>485</v>
      </c>
      <c r="AY52" s="759" t="s">
        <v>476</v>
      </c>
      <c r="AZ52" s="1057">
        <v>1.0</v>
      </c>
      <c r="BA52" s="746" t="s">
        <v>485</v>
      </c>
      <c r="BB52" s="759" t="s">
        <v>476</v>
      </c>
      <c r="BC52" s="1057">
        <v>1.0</v>
      </c>
      <c r="BD52" s="746" t="s">
        <v>485</v>
      </c>
      <c r="BE52" s="759" t="s">
        <v>476</v>
      </c>
      <c r="BF52" s="1057">
        <v>1.0</v>
      </c>
      <c r="BG52" s="746" t="s">
        <v>485</v>
      </c>
      <c r="BH52" s="759" t="s">
        <v>476</v>
      </c>
      <c r="BI52" s="1057">
        <v>1.0</v>
      </c>
      <c r="BJ52" s="746" t="s">
        <v>485</v>
      </c>
      <c r="BK52" s="759" t="s">
        <v>476</v>
      </c>
      <c r="BL52" s="1057">
        <v>1.0</v>
      </c>
      <c r="BM52" s="746" t="s">
        <v>485</v>
      </c>
      <c r="BN52" s="759" t="s">
        <v>476</v>
      </c>
      <c r="BO52" s="1057">
        <v>1.0</v>
      </c>
      <c r="BP52" s="746" t="s">
        <v>485</v>
      </c>
      <c r="BQ52" s="759" t="s">
        <v>476</v>
      </c>
      <c r="BR52" s="1057">
        <v>1.0</v>
      </c>
      <c r="BS52" s="126" t="s">
        <v>485</v>
      </c>
      <c r="BT52" s="1177" t="s">
        <v>476</v>
      </c>
      <c r="BU52" s="119">
        <v>1.0</v>
      </c>
      <c r="BV52" s="126" t="s">
        <v>485</v>
      </c>
      <c r="BW52" s="1177" t="s">
        <v>476</v>
      </c>
      <c r="BX52" s="119">
        <v>1.0</v>
      </c>
      <c r="BY52" s="126" t="s">
        <v>485</v>
      </c>
      <c r="BZ52" s="1177" t="s">
        <v>476</v>
      </c>
      <c r="CA52" s="119">
        <v>1.0</v>
      </c>
      <c r="CB52" s="126" t="s">
        <v>485</v>
      </c>
      <c r="CC52" s="1177" t="s">
        <v>476</v>
      </c>
      <c r="CD52" s="119">
        <v>1.0</v>
      </c>
      <c r="CE52" s="126" t="s">
        <v>485</v>
      </c>
      <c r="CF52" s="1177" t="s">
        <v>476</v>
      </c>
      <c r="CG52" s="119">
        <v>1.0</v>
      </c>
      <c r="CH52" s="126" t="s">
        <v>485</v>
      </c>
      <c r="CI52" s="1177" t="s">
        <v>476</v>
      </c>
      <c r="CJ52" s="119">
        <v>1.0</v>
      </c>
      <c r="CK52" s="126" t="s">
        <v>485</v>
      </c>
      <c r="CL52" s="1177" t="s">
        <v>476</v>
      </c>
      <c r="CM52" s="119">
        <v>1.0</v>
      </c>
      <c r="CN52" s="126" t="s">
        <v>485</v>
      </c>
      <c r="CO52" s="1177" t="s">
        <v>476</v>
      </c>
      <c r="CP52" s="119">
        <v>1.0</v>
      </c>
      <c r="CQ52" s="126" t="s">
        <v>485</v>
      </c>
      <c r="CR52" s="1177" t="s">
        <v>476</v>
      </c>
      <c r="CS52" s="119">
        <v>1.0</v>
      </c>
      <c r="CT52" s="126" t="s">
        <v>485</v>
      </c>
      <c r="CU52" s="1177" t="s">
        <v>476</v>
      </c>
      <c r="CV52" s="119">
        <v>1.0</v>
      </c>
      <c r="CW52" s="126" t="s">
        <v>485</v>
      </c>
      <c r="CX52" s="1177" t="s">
        <v>476</v>
      </c>
      <c r="CY52" s="119">
        <v>1.0</v>
      </c>
      <c r="CZ52" s="126" t="s">
        <v>485</v>
      </c>
      <c r="DA52" s="1177" t="s">
        <v>476</v>
      </c>
      <c r="DB52" s="119">
        <v>1.0</v>
      </c>
      <c r="DC52" s="126" t="s">
        <v>485</v>
      </c>
      <c r="DD52" s="1177" t="s">
        <v>476</v>
      </c>
      <c r="DE52" s="119">
        <v>1.0</v>
      </c>
      <c r="DF52" s="126" t="s">
        <v>485</v>
      </c>
      <c r="DG52" s="1177" t="s">
        <v>476</v>
      </c>
      <c r="DH52" s="119">
        <v>1.0</v>
      </c>
      <c r="DI52" s="126" t="s">
        <v>485</v>
      </c>
      <c r="DJ52" s="1177" t="s">
        <v>476</v>
      </c>
      <c r="DK52" s="119">
        <v>1.0</v>
      </c>
      <c r="DL52" s="126" t="s">
        <v>485</v>
      </c>
      <c r="DM52" s="1177" t="s">
        <v>476</v>
      </c>
      <c r="DN52" s="119">
        <v>1.0</v>
      </c>
      <c r="DO52" s="126" t="s">
        <v>485</v>
      </c>
      <c r="DP52" s="1177" t="s">
        <v>476</v>
      </c>
      <c r="DQ52" s="119">
        <v>1.0</v>
      </c>
      <c r="DR52" s="126" t="s">
        <v>91</v>
      </c>
      <c r="DS52" s="111"/>
      <c r="DT52" s="111"/>
      <c r="DU52" s="111"/>
    </row>
    <row r="53" ht="15.0" hidden="1" customHeight="1">
      <c r="A53" s="60">
        <v>81.0</v>
      </c>
      <c r="B53" s="1112" t="s">
        <v>261</v>
      </c>
      <c r="C53" s="402"/>
      <c r="D53" s="403"/>
      <c r="E53" s="403"/>
      <c r="F53" s="403"/>
      <c r="G53" s="403"/>
      <c r="H53" s="404"/>
      <c r="I53" s="403"/>
      <c r="J53" s="403"/>
      <c r="K53" s="1113"/>
      <c r="L53" s="1114"/>
      <c r="M53" s="403"/>
      <c r="N53" s="403"/>
      <c r="O53" s="73"/>
      <c r="P53" s="1114"/>
      <c r="Q53" s="947"/>
      <c r="R53" s="947"/>
      <c r="S53" s="1118"/>
      <c r="T53" s="947"/>
      <c r="U53" s="947"/>
      <c r="V53" s="1118"/>
      <c r="W53" s="947"/>
      <c r="X53" s="947"/>
      <c r="Y53" s="1118"/>
      <c r="Z53" s="947"/>
      <c r="AA53" s="947"/>
      <c r="AB53" s="1118"/>
      <c r="AC53" s="947"/>
      <c r="AD53" s="947"/>
      <c r="AE53" s="947"/>
      <c r="AF53" s="947"/>
      <c r="AG53" s="947"/>
      <c r="AH53" s="947"/>
      <c r="AI53" s="947"/>
      <c r="AJ53" s="947"/>
      <c r="AK53" s="947"/>
      <c r="AL53" s="947"/>
      <c r="AM53" s="947"/>
      <c r="AN53" s="947"/>
      <c r="AO53" s="947"/>
      <c r="AP53" s="947"/>
      <c r="AQ53" s="947"/>
      <c r="AR53" s="947"/>
      <c r="AS53" s="947"/>
      <c r="AT53" s="947"/>
      <c r="AU53" s="947"/>
      <c r="AV53" s="947"/>
      <c r="AW53" s="947"/>
      <c r="AX53" s="947"/>
      <c r="AY53" s="947"/>
      <c r="AZ53" s="947"/>
      <c r="BA53" s="947"/>
      <c r="BB53" s="947"/>
      <c r="BC53" s="947"/>
      <c r="BD53" s="947"/>
      <c r="BE53" s="947"/>
      <c r="BF53" s="947"/>
      <c r="BG53" s="947"/>
      <c r="BH53" s="947"/>
      <c r="BI53" s="947"/>
      <c r="BJ53" s="947"/>
      <c r="BK53" s="947"/>
      <c r="BL53" s="947"/>
      <c r="BM53" s="947"/>
      <c r="BN53" s="947"/>
      <c r="BO53" s="947"/>
      <c r="BP53" s="947"/>
      <c r="BQ53" s="947"/>
      <c r="BR53" s="947"/>
      <c r="BS53" s="947"/>
      <c r="BT53" s="947"/>
      <c r="BU53" s="947"/>
      <c r="BV53" s="947"/>
      <c r="BW53" s="947"/>
      <c r="BX53" s="947"/>
      <c r="BY53" s="947"/>
      <c r="BZ53" s="947"/>
      <c r="CA53" s="947"/>
      <c r="CB53" s="947"/>
      <c r="CC53" s="947"/>
      <c r="CD53" s="947"/>
      <c r="CE53" s="947"/>
      <c r="CF53" s="947"/>
      <c r="CG53" s="947"/>
      <c r="CH53" s="947"/>
      <c r="CI53" s="947"/>
      <c r="CJ53" s="947"/>
      <c r="CK53" s="947"/>
      <c r="CL53" s="947"/>
      <c r="CM53" s="947"/>
      <c r="CN53" s="947"/>
      <c r="CO53" s="947"/>
      <c r="CP53" s="947"/>
      <c r="CQ53" s="947"/>
      <c r="CR53" s="947"/>
      <c r="CS53" s="947"/>
      <c r="CT53" s="947"/>
      <c r="CU53" s="947"/>
      <c r="CV53" s="947"/>
      <c r="CW53" s="947"/>
      <c r="CX53" s="947"/>
      <c r="CY53" s="947"/>
      <c r="CZ53" s="947"/>
      <c r="DA53" s="947"/>
      <c r="DB53" s="947"/>
      <c r="DC53" s="947"/>
      <c r="DD53" s="947"/>
      <c r="DE53" s="947"/>
      <c r="DF53" s="947"/>
      <c r="DG53" s="947"/>
      <c r="DH53" s="947"/>
      <c r="DI53" s="947"/>
      <c r="DJ53" s="947"/>
      <c r="DK53" s="947"/>
      <c r="DL53" s="947"/>
      <c r="DM53" s="947"/>
      <c r="DN53" s="947"/>
      <c r="DO53" s="947"/>
      <c r="DP53" s="947"/>
      <c r="DQ53" s="947"/>
      <c r="DR53" s="186"/>
      <c r="DS53" s="215"/>
      <c r="DT53" s="215"/>
      <c r="DU53" s="215"/>
    </row>
    <row r="54" ht="15.0" customHeight="1" outlineLevel="1">
      <c r="A54" s="60">
        <v>58.0</v>
      </c>
      <c r="B54" s="747" t="s">
        <v>215</v>
      </c>
      <c r="C54" s="747" t="s">
        <v>216</v>
      </c>
      <c r="D54" s="71" t="s">
        <v>85</v>
      </c>
      <c r="E54" s="146" t="s">
        <v>214</v>
      </c>
      <c r="F54" s="72">
        <v>1115.0</v>
      </c>
      <c r="G54" s="139" t="s">
        <v>214</v>
      </c>
      <c r="H54" s="139">
        <v>1115.0</v>
      </c>
      <c r="I54" s="126" t="str">
        <f>IFERROR(VLOOKUP(C51:C193,'R22 RELATÓRIO ACC'!B:F,5,FALSE),"NOT PUBLISHED")</f>
        <v>V40</v>
      </c>
      <c r="J54" s="126" t="str">
        <f>IFERROR(VLOOKUP(C51:C193,'R22 RELATÓRIO ACC'!B:P,15,FALSE),"NOT PUBLISHED")</f>
        <v>06/05/2026</v>
      </c>
      <c r="K54" s="746" t="str">
        <f>IFERROR(VLOOKUP(B51:B193,'RELATÓRIO ACC'!B:F,5,FALSE),"NOT PUBLISHED")</f>
        <v>V3</v>
      </c>
      <c r="L54" s="748" t="str">
        <f>IFERROR(VLOOKUP(B51:B193,'RELATÓRIO ACC'!B:P,15,FALSE),"NOT PUBLISHED")</f>
        <v>13/07/2026</v>
      </c>
      <c r="M54" s="141" t="s">
        <v>496</v>
      </c>
      <c r="N54" s="782">
        <v>45924.0</v>
      </c>
      <c r="O54" s="1111" t="s">
        <v>482</v>
      </c>
      <c r="P54" s="1043" t="s">
        <v>129</v>
      </c>
      <c r="Q54" s="746" t="s">
        <v>477</v>
      </c>
      <c r="R54" s="759" t="s">
        <v>476</v>
      </c>
      <c r="S54" s="1057">
        <v>0.94</v>
      </c>
      <c r="T54" s="755" t="s">
        <v>478</v>
      </c>
      <c r="U54" s="861" t="s">
        <v>476</v>
      </c>
      <c r="V54" s="763" t="s">
        <v>478</v>
      </c>
      <c r="W54" s="755" t="s">
        <v>484</v>
      </c>
      <c r="X54" s="861" t="s">
        <v>476</v>
      </c>
      <c r="Y54" s="135">
        <v>1.0</v>
      </c>
      <c r="Z54" s="746" t="s">
        <v>485</v>
      </c>
      <c r="AA54" s="792" t="s">
        <v>476</v>
      </c>
      <c r="AB54" s="135">
        <v>1.0</v>
      </c>
      <c r="AC54" s="68" t="s">
        <v>485</v>
      </c>
      <c r="AD54" s="853" t="s">
        <v>476</v>
      </c>
      <c r="AE54" s="135">
        <v>1.0</v>
      </c>
      <c r="AF54" s="68" t="s">
        <v>485</v>
      </c>
      <c r="AG54" s="779" t="s">
        <v>476</v>
      </c>
      <c r="AH54" s="135">
        <v>1.0</v>
      </c>
      <c r="AI54" s="68" t="s">
        <v>485</v>
      </c>
      <c r="AJ54" s="779" t="s">
        <v>476</v>
      </c>
      <c r="AK54" s="135">
        <v>1.0</v>
      </c>
      <c r="AL54" s="68" t="s">
        <v>485</v>
      </c>
      <c r="AM54" s="779" t="s">
        <v>476</v>
      </c>
      <c r="AN54" s="135">
        <v>1.0</v>
      </c>
      <c r="AO54" s="68" t="s">
        <v>485</v>
      </c>
      <c r="AP54" s="779" t="s">
        <v>476</v>
      </c>
      <c r="AQ54" s="135">
        <v>1.0</v>
      </c>
      <c r="AR54" s="68" t="s">
        <v>485</v>
      </c>
      <c r="AS54" s="779" t="s">
        <v>476</v>
      </c>
      <c r="AT54" s="135">
        <v>1.0</v>
      </c>
      <c r="AU54" s="68" t="s">
        <v>485</v>
      </c>
      <c r="AV54" s="779" t="s">
        <v>476</v>
      </c>
      <c r="AW54" s="135">
        <v>1.0</v>
      </c>
      <c r="AX54" s="68" t="s">
        <v>485</v>
      </c>
      <c r="AY54" s="779" t="s">
        <v>476</v>
      </c>
      <c r="AZ54" s="135">
        <v>1.0</v>
      </c>
      <c r="BA54" s="68" t="s">
        <v>485</v>
      </c>
      <c r="BB54" s="779" t="s">
        <v>476</v>
      </c>
      <c r="BC54" s="135">
        <v>1.0</v>
      </c>
      <c r="BD54" s="68" t="s">
        <v>485</v>
      </c>
      <c r="BE54" s="779" t="s">
        <v>476</v>
      </c>
      <c r="BF54" s="135">
        <v>1.0</v>
      </c>
      <c r="BG54" s="68" t="s">
        <v>485</v>
      </c>
      <c r="BH54" s="779" t="s">
        <v>476</v>
      </c>
      <c r="BI54" s="135">
        <v>1.0</v>
      </c>
      <c r="BJ54" s="68" t="s">
        <v>485</v>
      </c>
      <c r="BK54" s="779" t="s">
        <v>476</v>
      </c>
      <c r="BL54" s="135">
        <v>1.0</v>
      </c>
      <c r="BM54" s="68" t="s">
        <v>485</v>
      </c>
      <c r="BN54" s="779" t="s">
        <v>476</v>
      </c>
      <c r="BO54" s="135">
        <v>1.0</v>
      </c>
      <c r="BP54" s="68" t="s">
        <v>485</v>
      </c>
      <c r="BQ54" s="779" t="s">
        <v>476</v>
      </c>
      <c r="BR54" s="135">
        <v>1.0</v>
      </c>
      <c r="BS54" s="68" t="s">
        <v>485</v>
      </c>
      <c r="BT54" s="779" t="s">
        <v>476</v>
      </c>
      <c r="BU54" s="135">
        <v>1.0</v>
      </c>
      <c r="BV54" s="68" t="s">
        <v>485</v>
      </c>
      <c r="BW54" s="779" t="s">
        <v>476</v>
      </c>
      <c r="BX54" s="135">
        <v>1.0</v>
      </c>
      <c r="BY54" s="68" t="s">
        <v>485</v>
      </c>
      <c r="BZ54" s="779" t="s">
        <v>476</v>
      </c>
      <c r="CA54" s="135">
        <v>1.0</v>
      </c>
      <c r="CB54" s="68" t="s">
        <v>485</v>
      </c>
      <c r="CC54" s="779" t="s">
        <v>476</v>
      </c>
      <c r="CD54" s="135">
        <v>1.0</v>
      </c>
      <c r="CE54" s="68" t="s">
        <v>485</v>
      </c>
      <c r="CF54" s="779" t="s">
        <v>476</v>
      </c>
      <c r="CG54" s="135">
        <v>1.0</v>
      </c>
      <c r="CH54" s="68" t="s">
        <v>485</v>
      </c>
      <c r="CI54" s="779" t="s">
        <v>476</v>
      </c>
      <c r="CJ54" s="135">
        <v>1.0</v>
      </c>
      <c r="CK54" s="68" t="s">
        <v>485</v>
      </c>
      <c r="CL54" s="779" t="s">
        <v>476</v>
      </c>
      <c r="CM54" s="135">
        <v>1.0</v>
      </c>
      <c r="CN54" s="68" t="s">
        <v>485</v>
      </c>
      <c r="CO54" s="779" t="s">
        <v>476</v>
      </c>
      <c r="CP54" s="135">
        <v>1.0</v>
      </c>
      <c r="CQ54" s="68" t="s">
        <v>485</v>
      </c>
      <c r="CR54" s="779" t="s">
        <v>476</v>
      </c>
      <c r="CS54" s="135">
        <v>1.0</v>
      </c>
      <c r="CT54" s="68" t="s">
        <v>485</v>
      </c>
      <c r="CU54" s="779" t="s">
        <v>476</v>
      </c>
      <c r="CV54" s="135">
        <v>1.0</v>
      </c>
      <c r="CW54" s="68" t="s">
        <v>485</v>
      </c>
      <c r="CX54" s="779" t="s">
        <v>476</v>
      </c>
      <c r="CY54" s="135">
        <v>1.0</v>
      </c>
      <c r="CZ54" s="68" t="s">
        <v>485</v>
      </c>
      <c r="DA54" s="779" t="s">
        <v>476</v>
      </c>
      <c r="DB54" s="135">
        <v>1.0</v>
      </c>
      <c r="DC54" s="68" t="s">
        <v>485</v>
      </c>
      <c r="DD54" s="779" t="s">
        <v>476</v>
      </c>
      <c r="DE54" s="135">
        <v>1.0</v>
      </c>
      <c r="DF54" s="68" t="s">
        <v>485</v>
      </c>
      <c r="DG54" s="779" t="s">
        <v>476</v>
      </c>
      <c r="DH54" s="135">
        <v>1.0</v>
      </c>
      <c r="DI54" s="68" t="s">
        <v>485</v>
      </c>
      <c r="DJ54" s="779" t="s">
        <v>476</v>
      </c>
      <c r="DK54" s="135">
        <v>1.0</v>
      </c>
      <c r="DL54" s="68" t="s">
        <v>485</v>
      </c>
      <c r="DM54" s="779" t="s">
        <v>476</v>
      </c>
      <c r="DN54" s="135">
        <v>1.0</v>
      </c>
      <c r="DO54" s="68" t="s">
        <v>485</v>
      </c>
      <c r="DP54" s="779" t="s">
        <v>476</v>
      </c>
      <c r="DQ54" s="135">
        <v>1.0</v>
      </c>
      <c r="DR54" s="126" t="s">
        <v>129</v>
      </c>
      <c r="DS54" s="111"/>
      <c r="DT54" s="111"/>
      <c r="DU54" s="111"/>
    </row>
    <row r="55" ht="15.0" hidden="1" customHeight="1">
      <c r="A55" s="60">
        <v>84.0</v>
      </c>
      <c r="B55" s="1120" t="s">
        <v>266</v>
      </c>
      <c r="C55" s="430"/>
      <c r="D55" s="431"/>
      <c r="E55" s="431"/>
      <c r="F55" s="431"/>
      <c r="G55" s="431"/>
      <c r="H55" s="432"/>
      <c r="I55" s="431"/>
      <c r="J55" s="431"/>
      <c r="K55" s="932"/>
      <c r="L55" s="1121"/>
      <c r="M55" s="431"/>
      <c r="N55" s="431"/>
      <c r="O55" s="73"/>
      <c r="P55" s="1121"/>
      <c r="Q55" s="1127"/>
      <c r="R55" s="1127"/>
      <c r="S55" s="1128"/>
      <c r="T55" s="1127"/>
      <c r="U55" s="1127"/>
      <c r="V55" s="1128"/>
      <c r="W55" s="1127"/>
      <c r="X55" s="1127"/>
      <c r="Y55" s="1128"/>
      <c r="Z55" s="1127"/>
      <c r="AA55" s="1127"/>
      <c r="AB55" s="1128"/>
      <c r="AC55" s="1127"/>
      <c r="AD55" s="1127"/>
      <c r="AE55" s="1127"/>
      <c r="AF55" s="1127"/>
      <c r="AG55" s="1127"/>
      <c r="AH55" s="1127"/>
      <c r="AI55" s="1127"/>
      <c r="AJ55" s="1127"/>
      <c r="AK55" s="1127"/>
      <c r="AL55" s="1127"/>
      <c r="AM55" s="1127"/>
      <c r="AN55" s="1127"/>
      <c r="AO55" s="1127"/>
      <c r="AP55" s="1127"/>
      <c r="AQ55" s="1127"/>
      <c r="AR55" s="1127"/>
      <c r="AS55" s="1127"/>
      <c r="AT55" s="1127"/>
      <c r="AU55" s="1127"/>
      <c r="AV55" s="1127"/>
      <c r="AW55" s="1127"/>
      <c r="AX55" s="1127"/>
      <c r="AY55" s="1127"/>
      <c r="AZ55" s="1127"/>
      <c r="BA55" s="1127"/>
      <c r="BB55" s="1127"/>
      <c r="BC55" s="1127"/>
      <c r="BD55" s="1127"/>
      <c r="BE55" s="1127"/>
      <c r="BF55" s="1127"/>
      <c r="BG55" s="1127"/>
      <c r="BH55" s="1127"/>
      <c r="BI55" s="1127"/>
      <c r="BJ55" s="1127"/>
      <c r="BK55" s="1127"/>
      <c r="BL55" s="1127"/>
      <c r="BM55" s="1127"/>
      <c r="BN55" s="1127"/>
      <c r="BO55" s="1127"/>
      <c r="BP55" s="1127"/>
      <c r="BQ55" s="1127"/>
      <c r="BR55" s="1127"/>
      <c r="BS55" s="1127"/>
      <c r="BT55" s="1127"/>
      <c r="BU55" s="1127"/>
      <c r="BV55" s="1127"/>
      <c r="BW55" s="1127"/>
      <c r="BX55" s="1127"/>
      <c r="BY55" s="1127"/>
      <c r="BZ55" s="1127"/>
      <c r="CA55" s="1127"/>
      <c r="CB55" s="1127"/>
      <c r="CC55" s="1127"/>
      <c r="CD55" s="1127"/>
      <c r="CE55" s="1127"/>
      <c r="CF55" s="1127"/>
      <c r="CG55" s="1127"/>
      <c r="CH55" s="1127"/>
      <c r="CI55" s="1127"/>
      <c r="CJ55" s="1127"/>
      <c r="CK55" s="1127"/>
      <c r="CL55" s="1127"/>
      <c r="CM55" s="1127"/>
      <c r="CN55" s="1127"/>
      <c r="CO55" s="1127"/>
      <c r="CP55" s="1127"/>
      <c r="CQ55" s="1127"/>
      <c r="CR55" s="1127"/>
      <c r="CS55" s="1127"/>
      <c r="CT55" s="1127"/>
      <c r="CU55" s="1127"/>
      <c r="CV55" s="1127"/>
      <c r="CW55" s="1127"/>
      <c r="CX55" s="1127"/>
      <c r="CY55" s="1127"/>
      <c r="CZ55" s="1127"/>
      <c r="DA55" s="1127"/>
      <c r="DB55" s="1127"/>
      <c r="DC55" s="1127"/>
      <c r="DD55" s="1127"/>
      <c r="DE55" s="1127"/>
      <c r="DF55" s="1127"/>
      <c r="DG55" s="1127"/>
      <c r="DH55" s="1127"/>
      <c r="DI55" s="1127"/>
      <c r="DJ55" s="1127"/>
      <c r="DK55" s="1127"/>
      <c r="DL55" s="1127"/>
      <c r="DM55" s="1127"/>
      <c r="DN55" s="1127"/>
      <c r="DO55" s="1127"/>
      <c r="DP55" s="1127"/>
      <c r="DQ55" s="1127"/>
      <c r="DR55" s="186"/>
      <c r="DS55" s="215"/>
      <c r="DT55" s="215"/>
      <c r="DU55" s="215"/>
    </row>
    <row r="56" ht="15.0" hidden="1" customHeight="1">
      <c r="A56" s="60">
        <v>86.0</v>
      </c>
      <c r="B56" s="1130" t="s">
        <v>270</v>
      </c>
      <c r="C56" s="463"/>
      <c r="D56" s="464"/>
      <c r="E56" s="464"/>
      <c r="F56" s="464"/>
      <c r="G56" s="464"/>
      <c r="H56" s="465"/>
      <c r="I56" s="464"/>
      <c r="J56" s="464"/>
      <c r="K56" s="1131"/>
      <c r="L56" s="1132"/>
      <c r="M56" s="464"/>
      <c r="N56" s="464"/>
      <c r="O56" s="73"/>
      <c r="P56" s="1132"/>
      <c r="Q56" s="841"/>
      <c r="R56" s="837"/>
      <c r="S56" s="1136"/>
      <c r="T56" s="841"/>
      <c r="U56" s="837"/>
      <c r="V56" s="841"/>
      <c r="W56" s="841"/>
      <c r="X56" s="837"/>
      <c r="Y56" s="841"/>
      <c r="Z56" s="841"/>
      <c r="AA56" s="837"/>
      <c r="AB56" s="841"/>
      <c r="AC56" s="841"/>
      <c r="AD56" s="841"/>
      <c r="AE56" s="841"/>
      <c r="AF56" s="841"/>
      <c r="AG56" s="841"/>
      <c r="AH56" s="841"/>
      <c r="AI56" s="841"/>
      <c r="AJ56" s="841"/>
      <c r="AK56" s="841"/>
      <c r="AL56" s="841"/>
      <c r="AM56" s="841"/>
      <c r="AN56" s="841"/>
      <c r="AO56" s="841"/>
      <c r="AP56" s="841"/>
      <c r="AQ56" s="841"/>
      <c r="AR56" s="841"/>
      <c r="AS56" s="841"/>
      <c r="AT56" s="841"/>
      <c r="AU56" s="841"/>
      <c r="AV56" s="841"/>
      <c r="AW56" s="841"/>
      <c r="AX56" s="841"/>
      <c r="AY56" s="841"/>
      <c r="AZ56" s="841"/>
      <c r="BA56" s="841"/>
      <c r="BB56" s="841"/>
      <c r="BC56" s="841"/>
      <c r="BD56" s="841"/>
      <c r="BE56" s="841"/>
      <c r="BF56" s="841"/>
      <c r="BG56" s="841"/>
      <c r="BH56" s="841"/>
      <c r="BI56" s="841"/>
      <c r="BJ56" s="841"/>
      <c r="BK56" s="841"/>
      <c r="BL56" s="841"/>
      <c r="BM56" s="841"/>
      <c r="BN56" s="841"/>
      <c r="BO56" s="841"/>
      <c r="BP56" s="841"/>
      <c r="BQ56" s="841"/>
      <c r="BR56" s="841"/>
      <c r="BS56" s="841"/>
      <c r="BT56" s="841"/>
      <c r="BU56" s="841"/>
      <c r="BV56" s="841"/>
      <c r="BW56" s="841"/>
      <c r="BX56" s="841"/>
      <c r="BY56" s="841"/>
      <c r="BZ56" s="841"/>
      <c r="CA56" s="841"/>
      <c r="CB56" s="841"/>
      <c r="CC56" s="841"/>
      <c r="CD56" s="841"/>
      <c r="CE56" s="841"/>
      <c r="CF56" s="841"/>
      <c r="CG56" s="841"/>
      <c r="CH56" s="841"/>
      <c r="CI56" s="841"/>
      <c r="CJ56" s="841"/>
      <c r="CK56" s="841"/>
      <c r="CL56" s="841"/>
      <c r="CM56" s="841"/>
      <c r="CN56" s="841"/>
      <c r="CO56" s="841"/>
      <c r="CP56" s="841"/>
      <c r="CQ56" s="841"/>
      <c r="CR56" s="841"/>
      <c r="CS56" s="841"/>
      <c r="CT56" s="841"/>
      <c r="CU56" s="841"/>
      <c r="CV56" s="841"/>
      <c r="CW56" s="841"/>
      <c r="CX56" s="841"/>
      <c r="CY56" s="841"/>
      <c r="CZ56" s="841"/>
      <c r="DA56" s="841"/>
      <c r="DB56" s="841"/>
      <c r="DC56" s="841"/>
      <c r="DD56" s="841"/>
      <c r="DE56" s="841"/>
      <c r="DF56" s="841"/>
      <c r="DG56" s="841"/>
      <c r="DH56" s="841"/>
      <c r="DI56" s="841"/>
      <c r="DJ56" s="841"/>
      <c r="DK56" s="841"/>
      <c r="DL56" s="841"/>
      <c r="DM56" s="841"/>
      <c r="DN56" s="841"/>
      <c r="DO56" s="841"/>
      <c r="DP56" s="841"/>
      <c r="DQ56" s="841"/>
      <c r="DR56" s="1181"/>
      <c r="DS56" s="215"/>
      <c r="DT56" s="215"/>
      <c r="DU56" s="215"/>
    </row>
    <row r="57" ht="15.0" hidden="1" customHeight="1">
      <c r="A57" s="60">
        <v>92.0</v>
      </c>
      <c r="B57" s="1138" t="s">
        <v>284</v>
      </c>
      <c r="C57" s="493"/>
      <c r="D57" s="494"/>
      <c r="E57" s="494"/>
      <c r="F57" s="494"/>
      <c r="G57" s="494"/>
      <c r="H57" s="495"/>
      <c r="I57" s="494"/>
      <c r="J57" s="494"/>
      <c r="K57" s="983"/>
      <c r="L57" s="1139"/>
      <c r="M57" s="494"/>
      <c r="N57" s="494"/>
      <c r="O57" s="73"/>
      <c r="P57" s="1139"/>
      <c r="Q57" s="1146"/>
      <c r="R57" s="1146"/>
      <c r="S57" s="1147"/>
      <c r="T57" s="1146"/>
      <c r="U57" s="1146"/>
      <c r="V57" s="1146"/>
      <c r="W57" s="1146"/>
      <c r="X57" s="1146"/>
      <c r="Y57" s="1146"/>
      <c r="Z57" s="1146"/>
      <c r="AA57" s="1146"/>
      <c r="AB57" s="1146"/>
      <c r="AC57" s="1146"/>
      <c r="AD57" s="1146"/>
      <c r="AE57" s="1146"/>
      <c r="AF57" s="1146"/>
      <c r="AG57" s="1146"/>
      <c r="AH57" s="1146"/>
      <c r="AI57" s="1146"/>
      <c r="AJ57" s="1146"/>
      <c r="AK57" s="1146"/>
      <c r="AL57" s="1146"/>
      <c r="AM57" s="1146"/>
      <c r="AN57" s="1146"/>
      <c r="AO57" s="1146"/>
      <c r="AP57" s="1146"/>
      <c r="AQ57" s="1146"/>
      <c r="AR57" s="1146"/>
      <c r="AS57" s="1146"/>
      <c r="AT57" s="1146"/>
      <c r="AU57" s="1146"/>
      <c r="AV57" s="1146"/>
      <c r="AW57" s="1146"/>
      <c r="AX57" s="1146"/>
      <c r="AY57" s="1146"/>
      <c r="AZ57" s="1146"/>
      <c r="BA57" s="1146"/>
      <c r="BB57" s="1146"/>
      <c r="BC57" s="1146"/>
      <c r="BD57" s="1146"/>
      <c r="BE57" s="1146"/>
      <c r="BF57" s="1146"/>
      <c r="BG57" s="1146"/>
      <c r="BH57" s="1146"/>
      <c r="BI57" s="1146"/>
      <c r="BJ57" s="1146"/>
      <c r="BK57" s="1146"/>
      <c r="BL57" s="1146"/>
      <c r="BM57" s="1146"/>
      <c r="BN57" s="1146"/>
      <c r="BO57" s="1146"/>
      <c r="BP57" s="1146"/>
      <c r="BQ57" s="1146"/>
      <c r="BR57" s="1146"/>
      <c r="BS57" s="1146"/>
      <c r="BT57" s="1146"/>
      <c r="BU57" s="1146"/>
      <c r="BV57" s="1146"/>
      <c r="BW57" s="1146"/>
      <c r="BX57" s="1146"/>
      <c r="BY57" s="1146"/>
      <c r="BZ57" s="1146"/>
      <c r="CA57" s="1146"/>
      <c r="CB57" s="1146"/>
      <c r="CC57" s="1146"/>
      <c r="CD57" s="1146"/>
      <c r="CE57" s="1146"/>
      <c r="CF57" s="1146"/>
      <c r="CG57" s="1146"/>
      <c r="CH57" s="1146"/>
      <c r="CI57" s="1146"/>
      <c r="CJ57" s="1146"/>
      <c r="CK57" s="1146"/>
      <c r="CL57" s="1146"/>
      <c r="CM57" s="1146"/>
      <c r="CN57" s="1146"/>
      <c r="CO57" s="1146"/>
      <c r="CP57" s="1146"/>
      <c r="CQ57" s="1146"/>
      <c r="CR57" s="1146"/>
      <c r="CS57" s="1146"/>
      <c r="CT57" s="1146"/>
      <c r="CU57" s="1146"/>
      <c r="CV57" s="1146"/>
      <c r="CW57" s="1146"/>
      <c r="CX57" s="1146"/>
      <c r="CY57" s="1146"/>
      <c r="CZ57" s="1146"/>
      <c r="DA57" s="1146"/>
      <c r="DB57" s="1146"/>
      <c r="DC57" s="1146"/>
      <c r="DD57" s="1146"/>
      <c r="DE57" s="1146"/>
      <c r="DF57" s="1146"/>
      <c r="DG57" s="1146"/>
      <c r="DH57" s="1146"/>
      <c r="DI57" s="1146"/>
      <c r="DJ57" s="1146"/>
      <c r="DK57" s="1146"/>
      <c r="DL57" s="1146"/>
      <c r="DM57" s="1146"/>
      <c r="DN57" s="1146"/>
      <c r="DO57" s="1146"/>
      <c r="DP57" s="1146"/>
      <c r="DQ57" s="1146"/>
      <c r="DR57" s="186"/>
      <c r="DS57" s="186"/>
      <c r="DT57" s="186"/>
      <c r="DU57" s="186"/>
    </row>
    <row r="58" ht="15.0" customHeight="1" outlineLevel="1">
      <c r="A58" s="60">
        <v>61.0</v>
      </c>
      <c r="B58" s="747" t="s">
        <v>222</v>
      </c>
      <c r="C58" s="747" t="s">
        <v>223</v>
      </c>
      <c r="D58" s="71" t="s">
        <v>85</v>
      </c>
      <c r="E58" s="146" t="s">
        <v>169</v>
      </c>
      <c r="F58" s="771">
        <v>1112.0</v>
      </c>
      <c r="G58" s="139" t="s">
        <v>170</v>
      </c>
      <c r="H58" s="139">
        <v>1129.0</v>
      </c>
      <c r="I58" s="126" t="str">
        <f>IFERROR(VLOOKUP(C55:C197,'R22 RELATÓRIO ACC'!B:F,5,FALSE),"NOT PUBLISHED")</f>
        <v>V52</v>
      </c>
      <c r="J58" s="126" t="str">
        <f>IFERROR(VLOOKUP(C55:C197,'R22 RELATÓRIO ACC'!B:P,15,FALSE),"NOT PUBLISHED")</f>
        <v>30/04/2026</v>
      </c>
      <c r="K58" s="746" t="str">
        <f>IFERROR(VLOOKUP(B55:B197,'RELATÓRIO ACC'!B:F,5,FALSE),"NOT PUBLISHED")</f>
        <v>V4</v>
      </c>
      <c r="L58" s="748" t="str">
        <f>IFERROR(VLOOKUP(B55:B197,'RELATÓRIO ACC'!B:P,15,FALSE),"NOT PUBLISHED")</f>
        <v>06/07/2026</v>
      </c>
      <c r="M58" s="141" t="s">
        <v>506</v>
      </c>
      <c r="N58" s="1149" t="s">
        <v>503</v>
      </c>
      <c r="O58" s="1111" t="s">
        <v>482</v>
      </c>
      <c r="P58" s="1043" t="s">
        <v>129</v>
      </c>
      <c r="Q58" s="746" t="s">
        <v>477</v>
      </c>
      <c r="R58" s="759" t="s">
        <v>476</v>
      </c>
      <c r="S58" s="1057">
        <v>0.79</v>
      </c>
      <c r="T58" s="755" t="s">
        <v>478</v>
      </c>
      <c r="U58" s="759" t="s">
        <v>476</v>
      </c>
      <c r="V58" s="1157" t="s">
        <v>478</v>
      </c>
      <c r="W58" s="755" t="s">
        <v>478</v>
      </c>
      <c r="X58" s="759" t="s">
        <v>476</v>
      </c>
      <c r="Y58" s="1157" t="s">
        <v>478</v>
      </c>
      <c r="Z58" s="755" t="s">
        <v>477</v>
      </c>
      <c r="AA58" s="759" t="s">
        <v>476</v>
      </c>
      <c r="AB58" s="1057">
        <v>0.95</v>
      </c>
      <c r="AC58" s="153" t="s">
        <v>474</v>
      </c>
      <c r="AD58" s="1177" t="s">
        <v>476</v>
      </c>
      <c r="AE58" s="153" t="s">
        <v>474</v>
      </c>
      <c r="AF58" s="153" t="s">
        <v>484</v>
      </c>
      <c r="AG58" s="791" t="s">
        <v>476</v>
      </c>
      <c r="AH58" s="119">
        <v>1.0</v>
      </c>
      <c r="AI58" s="126" t="s">
        <v>485</v>
      </c>
      <c r="AJ58" s="791" t="s">
        <v>476</v>
      </c>
      <c r="AK58" s="119">
        <v>1.0</v>
      </c>
      <c r="AL58" s="126" t="s">
        <v>485</v>
      </c>
      <c r="AM58" s="1177" t="s">
        <v>476</v>
      </c>
      <c r="AN58" s="119">
        <v>1.0</v>
      </c>
      <c r="AO58" s="126" t="s">
        <v>485</v>
      </c>
      <c r="AP58" s="1177" t="s">
        <v>476</v>
      </c>
      <c r="AQ58" s="119">
        <v>1.0</v>
      </c>
      <c r="AR58" s="126" t="s">
        <v>485</v>
      </c>
      <c r="AS58" s="1177" t="s">
        <v>476</v>
      </c>
      <c r="AT58" s="119">
        <v>1.0</v>
      </c>
      <c r="AU58" s="126" t="s">
        <v>485</v>
      </c>
      <c r="AV58" s="1177" t="s">
        <v>476</v>
      </c>
      <c r="AW58" s="119">
        <v>1.0</v>
      </c>
      <c r="AX58" s="126" t="s">
        <v>485</v>
      </c>
      <c r="AY58" s="1177" t="s">
        <v>476</v>
      </c>
      <c r="AZ58" s="119">
        <v>1.0</v>
      </c>
      <c r="BA58" s="126" t="s">
        <v>485</v>
      </c>
      <c r="BB58" s="1177" t="s">
        <v>476</v>
      </c>
      <c r="BC58" s="119">
        <v>1.0</v>
      </c>
      <c r="BD58" s="126" t="s">
        <v>485</v>
      </c>
      <c r="BE58" s="1177" t="s">
        <v>476</v>
      </c>
      <c r="BF58" s="119">
        <v>1.0</v>
      </c>
      <c r="BG58" s="126" t="s">
        <v>485</v>
      </c>
      <c r="BH58" s="1177" t="s">
        <v>476</v>
      </c>
      <c r="BI58" s="119">
        <v>1.0</v>
      </c>
      <c r="BJ58" s="126" t="s">
        <v>485</v>
      </c>
      <c r="BK58" s="1177" t="s">
        <v>476</v>
      </c>
      <c r="BL58" s="119">
        <v>1.0</v>
      </c>
      <c r="BM58" s="126" t="s">
        <v>485</v>
      </c>
      <c r="BN58" s="1177" t="s">
        <v>476</v>
      </c>
      <c r="BO58" s="119">
        <v>1.0</v>
      </c>
      <c r="BP58" s="126" t="s">
        <v>485</v>
      </c>
      <c r="BQ58" s="1177" t="s">
        <v>476</v>
      </c>
      <c r="BR58" s="119">
        <v>1.0</v>
      </c>
      <c r="BS58" s="126" t="s">
        <v>485</v>
      </c>
      <c r="BT58" s="1177" t="s">
        <v>476</v>
      </c>
      <c r="BU58" s="119">
        <v>1.0</v>
      </c>
      <c r="BV58" s="126" t="s">
        <v>485</v>
      </c>
      <c r="BW58" s="1177" t="s">
        <v>476</v>
      </c>
      <c r="BX58" s="119">
        <v>1.0</v>
      </c>
      <c r="BY58" s="126" t="s">
        <v>485</v>
      </c>
      <c r="BZ58" s="1177" t="s">
        <v>476</v>
      </c>
      <c r="CA58" s="119">
        <v>1.0</v>
      </c>
      <c r="CB58" s="126" t="s">
        <v>485</v>
      </c>
      <c r="CC58" s="1177" t="s">
        <v>476</v>
      </c>
      <c r="CD58" s="119">
        <v>1.0</v>
      </c>
      <c r="CE58" s="126" t="s">
        <v>485</v>
      </c>
      <c r="CF58" s="1177" t="s">
        <v>476</v>
      </c>
      <c r="CG58" s="119">
        <v>1.0</v>
      </c>
      <c r="CH58" s="126" t="s">
        <v>485</v>
      </c>
      <c r="CI58" s="1177" t="s">
        <v>476</v>
      </c>
      <c r="CJ58" s="119">
        <v>1.0</v>
      </c>
      <c r="CK58" s="126" t="s">
        <v>485</v>
      </c>
      <c r="CL58" s="1177" t="s">
        <v>476</v>
      </c>
      <c r="CM58" s="119">
        <v>1.0</v>
      </c>
      <c r="CN58" s="126" t="s">
        <v>485</v>
      </c>
      <c r="CO58" s="1177" t="s">
        <v>476</v>
      </c>
      <c r="CP58" s="119">
        <v>1.0</v>
      </c>
      <c r="CQ58" s="126" t="s">
        <v>485</v>
      </c>
      <c r="CR58" s="1177" t="s">
        <v>476</v>
      </c>
      <c r="CS58" s="119">
        <v>1.0</v>
      </c>
      <c r="CT58" s="126" t="s">
        <v>485</v>
      </c>
      <c r="CU58" s="1177" t="s">
        <v>476</v>
      </c>
      <c r="CV58" s="119">
        <v>1.0</v>
      </c>
      <c r="CW58" s="126" t="s">
        <v>485</v>
      </c>
      <c r="CX58" s="1177" t="s">
        <v>476</v>
      </c>
      <c r="CY58" s="119">
        <v>1.0</v>
      </c>
      <c r="CZ58" s="126" t="s">
        <v>485</v>
      </c>
      <c r="DA58" s="1177" t="s">
        <v>476</v>
      </c>
      <c r="DB58" s="119">
        <v>1.0</v>
      </c>
      <c r="DC58" s="126" t="s">
        <v>485</v>
      </c>
      <c r="DD58" s="1177" t="s">
        <v>476</v>
      </c>
      <c r="DE58" s="119">
        <v>1.0</v>
      </c>
      <c r="DF58" s="126" t="s">
        <v>485</v>
      </c>
      <c r="DG58" s="1177" t="s">
        <v>476</v>
      </c>
      <c r="DH58" s="119">
        <v>1.0</v>
      </c>
      <c r="DI58" s="126" t="s">
        <v>485</v>
      </c>
      <c r="DJ58" s="1177" t="s">
        <v>476</v>
      </c>
      <c r="DK58" s="119">
        <v>1.0</v>
      </c>
      <c r="DL58" s="126" t="s">
        <v>485</v>
      </c>
      <c r="DM58" s="1177" t="s">
        <v>476</v>
      </c>
      <c r="DN58" s="119">
        <v>1.0</v>
      </c>
      <c r="DO58" s="126" t="s">
        <v>485</v>
      </c>
      <c r="DP58" s="1177" t="s">
        <v>476</v>
      </c>
      <c r="DQ58" s="119">
        <v>1.0</v>
      </c>
      <c r="DR58" s="153" t="s">
        <v>87</v>
      </c>
      <c r="DS58" s="111"/>
      <c r="DT58" s="111"/>
      <c r="DU58" s="111"/>
    </row>
    <row r="59" ht="15.0" customHeight="1" outlineLevel="1">
      <c r="A59" s="60">
        <v>63.0</v>
      </c>
      <c r="B59" s="849" t="s">
        <v>225</v>
      </c>
      <c r="C59" s="849" t="s">
        <v>226</v>
      </c>
      <c r="D59" s="71" t="s">
        <v>85</v>
      </c>
      <c r="E59" s="146" t="s">
        <v>169</v>
      </c>
      <c r="F59" s="72" t="s">
        <v>169</v>
      </c>
      <c r="G59" s="139" t="s">
        <v>169</v>
      </c>
      <c r="H59" s="139"/>
      <c r="I59" s="126" t="str">
        <f>IFERROR(VLOOKUP(C56:C198,'R22 RELATÓRIO ACC'!B:F,5,FALSE),"NOT PUBLISHED")</f>
        <v>V13</v>
      </c>
      <c r="J59" s="126" t="str">
        <f>IFERROR(VLOOKUP(C56:C198,'R22 RELATÓRIO ACC'!B:P,15,FALSE),"NOT PUBLISHED")</f>
        <v>12/05/2026</v>
      </c>
      <c r="K59" s="746" t="str">
        <f>IFERROR(VLOOKUP(B56:B198,'RELATÓRIO ACC'!B:F,5,FALSE),"NOT PUBLISHED")</f>
        <v>V5</v>
      </c>
      <c r="L59" s="748" t="str">
        <f>IFERROR(VLOOKUP(B56:B198,'RELATÓRIO ACC'!B:P,15,FALSE),"NOT PUBLISHED")</f>
        <v>13/07/2026</v>
      </c>
      <c r="M59" s="141" t="s">
        <v>507</v>
      </c>
      <c r="N59" s="782">
        <v>46008.0</v>
      </c>
      <c r="O59" s="1111" t="s">
        <v>482</v>
      </c>
      <c r="P59" s="1043"/>
      <c r="Q59" s="746" t="s">
        <v>466</v>
      </c>
      <c r="R59" s="74" t="s">
        <v>462</v>
      </c>
      <c r="S59" s="1037" t="s">
        <v>466</v>
      </c>
      <c r="T59" s="746" t="s">
        <v>466</v>
      </c>
      <c r="U59" s="74" t="s">
        <v>462</v>
      </c>
      <c r="V59" s="1037" t="s">
        <v>466</v>
      </c>
      <c r="W59" s="746" t="s">
        <v>466</v>
      </c>
      <c r="X59" s="74" t="s">
        <v>462</v>
      </c>
      <c r="Y59" s="1037" t="s">
        <v>466</v>
      </c>
      <c r="Z59" s="746" t="s">
        <v>466</v>
      </c>
      <c r="AA59" s="74" t="s">
        <v>462</v>
      </c>
      <c r="AB59" s="1037" t="s">
        <v>466</v>
      </c>
      <c r="AC59" s="126" t="s">
        <v>466</v>
      </c>
      <c r="AD59" s="126" t="s">
        <v>462</v>
      </c>
      <c r="AE59" s="126" t="s">
        <v>466</v>
      </c>
      <c r="AF59" s="153" t="s">
        <v>477</v>
      </c>
      <c r="AG59" s="1177" t="s">
        <v>476</v>
      </c>
      <c r="AH59" s="119">
        <v>0.72</v>
      </c>
      <c r="AI59" s="153" t="s">
        <v>478</v>
      </c>
      <c r="AJ59" s="1177" t="s">
        <v>476</v>
      </c>
      <c r="AK59" s="153" t="s">
        <v>478</v>
      </c>
      <c r="AL59" s="153" t="s">
        <v>478</v>
      </c>
      <c r="AM59" s="1177" t="s">
        <v>476</v>
      </c>
      <c r="AN59" s="153" t="s">
        <v>478</v>
      </c>
      <c r="AO59" s="153" t="s">
        <v>474</v>
      </c>
      <c r="AP59" s="1177" t="s">
        <v>476</v>
      </c>
      <c r="AQ59" s="153" t="s">
        <v>474</v>
      </c>
      <c r="AR59" s="153" t="s">
        <v>484</v>
      </c>
      <c r="AS59" s="1177" t="s">
        <v>476</v>
      </c>
      <c r="AT59" s="119">
        <v>1.0</v>
      </c>
      <c r="AU59" s="126" t="s">
        <v>485</v>
      </c>
      <c r="AV59" s="1177" t="s">
        <v>476</v>
      </c>
      <c r="AW59" s="119">
        <v>1.0</v>
      </c>
      <c r="AX59" s="126" t="s">
        <v>485</v>
      </c>
      <c r="AY59" s="1177" t="s">
        <v>476</v>
      </c>
      <c r="AZ59" s="119">
        <v>1.0</v>
      </c>
      <c r="BA59" s="126" t="s">
        <v>485</v>
      </c>
      <c r="BB59" s="1177" t="s">
        <v>476</v>
      </c>
      <c r="BC59" s="119">
        <v>1.0</v>
      </c>
      <c r="BD59" s="126" t="s">
        <v>485</v>
      </c>
      <c r="BE59" s="1177" t="s">
        <v>476</v>
      </c>
      <c r="BF59" s="119">
        <v>1.0</v>
      </c>
      <c r="BG59" s="126" t="s">
        <v>485</v>
      </c>
      <c r="BH59" s="1177" t="s">
        <v>476</v>
      </c>
      <c r="BI59" s="119">
        <v>1.0</v>
      </c>
      <c r="BJ59" s="126" t="s">
        <v>485</v>
      </c>
      <c r="BK59" s="1177" t="s">
        <v>476</v>
      </c>
      <c r="BL59" s="119">
        <v>1.0</v>
      </c>
      <c r="BM59" s="126" t="s">
        <v>485</v>
      </c>
      <c r="BN59" s="1177" t="s">
        <v>476</v>
      </c>
      <c r="BO59" s="119">
        <v>1.0</v>
      </c>
      <c r="BP59" s="126" t="s">
        <v>485</v>
      </c>
      <c r="BQ59" s="1177" t="s">
        <v>476</v>
      </c>
      <c r="BR59" s="119">
        <v>1.0</v>
      </c>
      <c r="BS59" s="126" t="s">
        <v>485</v>
      </c>
      <c r="BT59" s="1177" t="s">
        <v>476</v>
      </c>
      <c r="BU59" s="119">
        <v>1.0</v>
      </c>
      <c r="BV59" s="126" t="s">
        <v>485</v>
      </c>
      <c r="BW59" s="1177" t="s">
        <v>476</v>
      </c>
      <c r="BX59" s="119">
        <v>1.0</v>
      </c>
      <c r="BY59" s="126" t="s">
        <v>485</v>
      </c>
      <c r="BZ59" s="1177" t="s">
        <v>476</v>
      </c>
      <c r="CA59" s="119">
        <v>1.0</v>
      </c>
      <c r="CB59" s="126" t="s">
        <v>485</v>
      </c>
      <c r="CC59" s="1177" t="s">
        <v>476</v>
      </c>
      <c r="CD59" s="119">
        <v>1.0</v>
      </c>
      <c r="CE59" s="126" t="s">
        <v>485</v>
      </c>
      <c r="CF59" s="1177" t="s">
        <v>476</v>
      </c>
      <c r="CG59" s="119">
        <v>1.0</v>
      </c>
      <c r="CH59" s="126" t="s">
        <v>485</v>
      </c>
      <c r="CI59" s="1177" t="s">
        <v>476</v>
      </c>
      <c r="CJ59" s="119">
        <v>1.0</v>
      </c>
      <c r="CK59" s="126" t="s">
        <v>485</v>
      </c>
      <c r="CL59" s="1177" t="s">
        <v>476</v>
      </c>
      <c r="CM59" s="119">
        <v>1.0</v>
      </c>
      <c r="CN59" s="126" t="s">
        <v>485</v>
      </c>
      <c r="CO59" s="1177" t="s">
        <v>476</v>
      </c>
      <c r="CP59" s="119">
        <v>1.0</v>
      </c>
      <c r="CQ59" s="126" t="s">
        <v>485</v>
      </c>
      <c r="CR59" s="1177" t="s">
        <v>476</v>
      </c>
      <c r="CS59" s="119">
        <v>1.0</v>
      </c>
      <c r="CT59" s="126" t="s">
        <v>485</v>
      </c>
      <c r="CU59" s="1177" t="s">
        <v>476</v>
      </c>
      <c r="CV59" s="119">
        <v>1.0</v>
      </c>
      <c r="CW59" s="126" t="s">
        <v>485</v>
      </c>
      <c r="CX59" s="1177" t="s">
        <v>476</v>
      </c>
      <c r="CY59" s="119">
        <v>1.0</v>
      </c>
      <c r="CZ59" s="126" t="s">
        <v>485</v>
      </c>
      <c r="DA59" s="1177" t="s">
        <v>476</v>
      </c>
      <c r="DB59" s="119">
        <v>1.0</v>
      </c>
      <c r="DC59" s="126" t="s">
        <v>485</v>
      </c>
      <c r="DD59" s="1177" t="s">
        <v>476</v>
      </c>
      <c r="DE59" s="119">
        <v>1.0</v>
      </c>
      <c r="DF59" s="126" t="s">
        <v>485</v>
      </c>
      <c r="DG59" s="1177" t="s">
        <v>476</v>
      </c>
      <c r="DH59" s="119">
        <v>1.0</v>
      </c>
      <c r="DI59" s="126" t="s">
        <v>485</v>
      </c>
      <c r="DJ59" s="1177" t="s">
        <v>476</v>
      </c>
      <c r="DK59" s="119">
        <v>1.0</v>
      </c>
      <c r="DL59" s="126" t="s">
        <v>485</v>
      </c>
      <c r="DM59" s="1177" t="s">
        <v>476</v>
      </c>
      <c r="DN59" s="119">
        <v>1.0</v>
      </c>
      <c r="DO59" s="126" t="s">
        <v>485</v>
      </c>
      <c r="DP59" s="1177" t="s">
        <v>476</v>
      </c>
      <c r="DQ59" s="119">
        <v>1.0</v>
      </c>
      <c r="DR59" s="126"/>
      <c r="DS59" s="111"/>
      <c r="DT59" s="111"/>
      <c r="DU59" s="111"/>
    </row>
    <row r="60" ht="15.0" customHeight="1" outlineLevel="1">
      <c r="A60" s="60">
        <v>66.0</v>
      </c>
      <c r="B60" s="747" t="s">
        <v>230</v>
      </c>
      <c r="C60" s="747" t="s">
        <v>231</v>
      </c>
      <c r="D60" s="71" t="s">
        <v>85</v>
      </c>
      <c r="E60" s="146" t="s">
        <v>232</v>
      </c>
      <c r="F60" s="72">
        <v>1116.0</v>
      </c>
      <c r="G60" s="139" t="s">
        <v>232</v>
      </c>
      <c r="H60" s="139">
        <v>1116.0</v>
      </c>
      <c r="I60" s="126" t="str">
        <f>IFERROR(VLOOKUP(C57:C199,'R22 RELATÓRIO ACC'!B:F,5,FALSE),"NOT PUBLISHED")</f>
        <v>V15</v>
      </c>
      <c r="J60" s="126" t="str">
        <f>IFERROR(VLOOKUP(C57:C199,'R22 RELATÓRIO ACC'!B:P,15,FALSE),"NOT PUBLISHED")</f>
        <v>15/04/2026</v>
      </c>
      <c r="K60" s="746" t="str">
        <f>IFERROR(VLOOKUP(B57:B199,'RELATÓRIO ACC'!B:F,5,FALSE),"NOT PUBLISHED")</f>
        <v>V2</v>
      </c>
      <c r="L60" s="748" t="str">
        <f>IFERROR(VLOOKUP(B57:B199,'RELATÓRIO ACC'!B:P,15,FALSE),"NOT PUBLISHED")</f>
        <v>02/06/2026</v>
      </c>
      <c r="M60" s="141" t="s">
        <v>508</v>
      </c>
      <c r="N60" s="1038">
        <v>45945.0</v>
      </c>
      <c r="O60" s="1111" t="s">
        <v>482</v>
      </c>
      <c r="P60" s="1043" t="s">
        <v>91</v>
      </c>
      <c r="Q60" s="746" t="s">
        <v>477</v>
      </c>
      <c r="R60" s="759" t="s">
        <v>476</v>
      </c>
      <c r="S60" s="1057">
        <v>0.81</v>
      </c>
      <c r="T60" s="1176" t="s">
        <v>477</v>
      </c>
      <c r="U60" s="759" t="s">
        <v>476</v>
      </c>
      <c r="V60" s="1182">
        <v>0.86</v>
      </c>
      <c r="W60" s="755" t="s">
        <v>478</v>
      </c>
      <c r="X60" s="759" t="s">
        <v>476</v>
      </c>
      <c r="Y60" s="1157" t="s">
        <v>478</v>
      </c>
      <c r="Z60" s="755" t="s">
        <v>478</v>
      </c>
      <c r="AA60" s="759" t="s">
        <v>476</v>
      </c>
      <c r="AB60" s="1157" t="s">
        <v>478</v>
      </c>
      <c r="AC60" s="153" t="s">
        <v>484</v>
      </c>
      <c r="AD60" s="1177" t="s">
        <v>476</v>
      </c>
      <c r="AE60" s="119">
        <v>1.0</v>
      </c>
      <c r="AF60" s="126" t="s">
        <v>485</v>
      </c>
      <c r="AG60" s="1177" t="s">
        <v>476</v>
      </c>
      <c r="AH60" s="119">
        <v>1.0</v>
      </c>
      <c r="AI60" s="126" t="s">
        <v>485</v>
      </c>
      <c r="AJ60" s="1177" t="s">
        <v>476</v>
      </c>
      <c r="AK60" s="119">
        <v>1.0</v>
      </c>
      <c r="AL60" s="126" t="s">
        <v>485</v>
      </c>
      <c r="AM60" s="1177" t="s">
        <v>476</v>
      </c>
      <c r="AN60" s="119">
        <v>1.0</v>
      </c>
      <c r="AO60" s="126" t="s">
        <v>485</v>
      </c>
      <c r="AP60" s="1177" t="s">
        <v>476</v>
      </c>
      <c r="AQ60" s="119">
        <v>1.0</v>
      </c>
      <c r="AR60" s="126" t="s">
        <v>485</v>
      </c>
      <c r="AS60" s="1177" t="s">
        <v>476</v>
      </c>
      <c r="AT60" s="119">
        <v>1.0</v>
      </c>
      <c r="AU60" s="126" t="s">
        <v>485</v>
      </c>
      <c r="AV60" s="1177" t="s">
        <v>476</v>
      </c>
      <c r="AW60" s="119">
        <v>1.0</v>
      </c>
      <c r="AX60" s="126" t="s">
        <v>485</v>
      </c>
      <c r="AY60" s="1177" t="s">
        <v>476</v>
      </c>
      <c r="AZ60" s="119">
        <v>1.0</v>
      </c>
      <c r="BA60" s="126" t="s">
        <v>485</v>
      </c>
      <c r="BB60" s="1177" t="s">
        <v>476</v>
      </c>
      <c r="BC60" s="119">
        <v>1.0</v>
      </c>
      <c r="BD60" s="126" t="s">
        <v>485</v>
      </c>
      <c r="BE60" s="1177" t="s">
        <v>476</v>
      </c>
      <c r="BF60" s="119">
        <v>1.0</v>
      </c>
      <c r="BG60" s="126" t="s">
        <v>485</v>
      </c>
      <c r="BH60" s="1177" t="s">
        <v>476</v>
      </c>
      <c r="BI60" s="119">
        <v>1.0</v>
      </c>
      <c r="BJ60" s="126" t="s">
        <v>485</v>
      </c>
      <c r="BK60" s="1177" t="s">
        <v>476</v>
      </c>
      <c r="BL60" s="119">
        <v>1.0</v>
      </c>
      <c r="BM60" s="126" t="s">
        <v>485</v>
      </c>
      <c r="BN60" s="1177" t="s">
        <v>476</v>
      </c>
      <c r="BO60" s="119">
        <v>1.0</v>
      </c>
      <c r="BP60" s="126" t="s">
        <v>485</v>
      </c>
      <c r="BQ60" s="1177" t="s">
        <v>476</v>
      </c>
      <c r="BR60" s="119">
        <v>1.0</v>
      </c>
      <c r="BS60" s="126" t="s">
        <v>485</v>
      </c>
      <c r="BT60" s="1177" t="s">
        <v>476</v>
      </c>
      <c r="BU60" s="119">
        <v>1.0</v>
      </c>
      <c r="BV60" s="126" t="s">
        <v>485</v>
      </c>
      <c r="BW60" s="1177" t="s">
        <v>476</v>
      </c>
      <c r="BX60" s="119">
        <v>1.0</v>
      </c>
      <c r="BY60" s="126" t="s">
        <v>485</v>
      </c>
      <c r="BZ60" s="1177" t="s">
        <v>476</v>
      </c>
      <c r="CA60" s="119">
        <v>1.0</v>
      </c>
      <c r="CB60" s="126" t="s">
        <v>485</v>
      </c>
      <c r="CC60" s="1177" t="s">
        <v>476</v>
      </c>
      <c r="CD60" s="119">
        <v>1.0</v>
      </c>
      <c r="CE60" s="126" t="s">
        <v>485</v>
      </c>
      <c r="CF60" s="1177" t="s">
        <v>476</v>
      </c>
      <c r="CG60" s="119">
        <v>1.0</v>
      </c>
      <c r="CH60" s="126" t="s">
        <v>485</v>
      </c>
      <c r="CI60" s="1177" t="s">
        <v>476</v>
      </c>
      <c r="CJ60" s="119">
        <v>1.0</v>
      </c>
      <c r="CK60" s="126" t="s">
        <v>485</v>
      </c>
      <c r="CL60" s="1177" t="s">
        <v>476</v>
      </c>
      <c r="CM60" s="119">
        <v>1.0</v>
      </c>
      <c r="CN60" s="126" t="s">
        <v>485</v>
      </c>
      <c r="CO60" s="1177" t="s">
        <v>476</v>
      </c>
      <c r="CP60" s="119">
        <v>1.0</v>
      </c>
      <c r="CQ60" s="126" t="s">
        <v>485</v>
      </c>
      <c r="CR60" s="1177" t="s">
        <v>476</v>
      </c>
      <c r="CS60" s="119">
        <v>1.0</v>
      </c>
      <c r="CT60" s="126" t="s">
        <v>485</v>
      </c>
      <c r="CU60" s="1177" t="s">
        <v>476</v>
      </c>
      <c r="CV60" s="119">
        <v>1.0</v>
      </c>
      <c r="CW60" s="126" t="s">
        <v>485</v>
      </c>
      <c r="CX60" s="1177" t="s">
        <v>476</v>
      </c>
      <c r="CY60" s="119">
        <v>1.0</v>
      </c>
      <c r="CZ60" s="126" t="s">
        <v>485</v>
      </c>
      <c r="DA60" s="1177" t="s">
        <v>476</v>
      </c>
      <c r="DB60" s="119">
        <v>1.0</v>
      </c>
      <c r="DC60" s="126" t="s">
        <v>485</v>
      </c>
      <c r="DD60" s="1177" t="s">
        <v>476</v>
      </c>
      <c r="DE60" s="119">
        <v>1.0</v>
      </c>
      <c r="DF60" s="126" t="s">
        <v>485</v>
      </c>
      <c r="DG60" s="1177" t="s">
        <v>476</v>
      </c>
      <c r="DH60" s="119">
        <v>1.0</v>
      </c>
      <c r="DI60" s="126" t="s">
        <v>485</v>
      </c>
      <c r="DJ60" s="1177" t="s">
        <v>476</v>
      </c>
      <c r="DK60" s="119">
        <v>1.0</v>
      </c>
      <c r="DL60" s="126" t="s">
        <v>485</v>
      </c>
      <c r="DM60" s="1177" t="s">
        <v>476</v>
      </c>
      <c r="DN60" s="119">
        <v>1.0</v>
      </c>
      <c r="DO60" s="126" t="s">
        <v>485</v>
      </c>
      <c r="DP60" s="1177" t="s">
        <v>476</v>
      </c>
      <c r="DQ60" s="119">
        <v>1.0</v>
      </c>
      <c r="DR60" s="126"/>
      <c r="DS60" s="111"/>
      <c r="DT60" s="111"/>
      <c r="DU60" s="111"/>
    </row>
    <row r="61" ht="15.0" customHeight="1" outlineLevel="1">
      <c r="A61" s="60">
        <v>69.0</v>
      </c>
      <c r="B61" s="849" t="s">
        <v>236</v>
      </c>
      <c r="C61" s="849" t="s">
        <v>237</v>
      </c>
      <c r="D61" s="71" t="s">
        <v>85</v>
      </c>
      <c r="E61" s="146" t="s">
        <v>169</v>
      </c>
      <c r="F61" s="72">
        <v>1112.0</v>
      </c>
      <c r="G61" s="139" t="s">
        <v>169</v>
      </c>
      <c r="H61" s="139">
        <v>1112.0</v>
      </c>
      <c r="I61" s="126" t="str">
        <f>IFERROR(VLOOKUP(C58:C200,'R22 RELATÓRIO ACC'!B:F,5,FALSE),"NOT PUBLISHED")</f>
        <v>V24</v>
      </c>
      <c r="J61" s="126" t="str">
        <f>IFERROR(VLOOKUP(C58:C200,'R22 RELATÓRIO ACC'!B:P,15,FALSE),"NOT PUBLISHED")</f>
        <v>15/05/2026</v>
      </c>
      <c r="K61" s="746" t="str">
        <f>IFERROR(VLOOKUP(B58:B200,'RELATÓRIO ACC'!B:F,5,FALSE),"NOT PUBLISHED")</f>
        <v>V2</v>
      </c>
      <c r="L61" s="748" t="str">
        <f>IFERROR(VLOOKUP(B58:B200,'RELATÓRIO ACC'!B:P,15,FALSE),"NOT PUBLISHED")</f>
        <v>06/07/2026</v>
      </c>
      <c r="M61" s="141" t="s">
        <v>498</v>
      </c>
      <c r="N61" s="782">
        <v>46111.0</v>
      </c>
      <c r="O61" s="1111" t="s">
        <v>482</v>
      </c>
      <c r="P61" s="1043" t="s">
        <v>473</v>
      </c>
      <c r="Q61" s="746" t="s">
        <v>477</v>
      </c>
      <c r="R61" s="759" t="s">
        <v>476</v>
      </c>
      <c r="S61" s="1183">
        <v>0.69</v>
      </c>
      <c r="T61" s="755" t="s">
        <v>478</v>
      </c>
      <c r="U61" s="759" t="s">
        <v>476</v>
      </c>
      <c r="V61" s="1157" t="s">
        <v>478</v>
      </c>
      <c r="W61" s="755" t="s">
        <v>478</v>
      </c>
      <c r="X61" s="759" t="s">
        <v>476</v>
      </c>
      <c r="Y61" s="1157" t="s">
        <v>478</v>
      </c>
      <c r="Z61" s="755" t="s">
        <v>478</v>
      </c>
      <c r="AA61" s="759" t="s">
        <v>476</v>
      </c>
      <c r="AB61" s="1157" t="s">
        <v>478</v>
      </c>
      <c r="AC61" s="153" t="s">
        <v>478</v>
      </c>
      <c r="AD61" s="1177" t="s">
        <v>476</v>
      </c>
      <c r="AE61" s="153" t="s">
        <v>478</v>
      </c>
      <c r="AF61" s="153" t="s">
        <v>478</v>
      </c>
      <c r="AG61" s="1177" t="s">
        <v>476</v>
      </c>
      <c r="AH61" s="153" t="s">
        <v>478</v>
      </c>
      <c r="AI61" s="153" t="s">
        <v>474</v>
      </c>
      <c r="AJ61" s="1177" t="s">
        <v>476</v>
      </c>
      <c r="AK61" s="153" t="s">
        <v>474</v>
      </c>
      <c r="AL61" s="1184" t="s">
        <v>475</v>
      </c>
      <c r="AM61" s="1177" t="s">
        <v>476</v>
      </c>
      <c r="AN61" s="1184" t="s">
        <v>475</v>
      </c>
      <c r="AO61" s="153" t="s">
        <v>474</v>
      </c>
      <c r="AP61" s="1177" t="s">
        <v>476</v>
      </c>
      <c r="AQ61" s="153" t="s">
        <v>474</v>
      </c>
      <c r="AR61" s="1184" t="s">
        <v>475</v>
      </c>
      <c r="AS61" s="1177" t="s">
        <v>476</v>
      </c>
      <c r="AT61" s="1184" t="s">
        <v>475</v>
      </c>
      <c r="AU61" s="153" t="s">
        <v>477</v>
      </c>
      <c r="AV61" s="1177" t="s">
        <v>476</v>
      </c>
      <c r="AW61" s="119">
        <v>0.96</v>
      </c>
      <c r="AX61" s="153" t="s">
        <v>478</v>
      </c>
      <c r="AY61" s="1177" t="s">
        <v>476</v>
      </c>
      <c r="AZ61" s="153" t="s">
        <v>478</v>
      </c>
      <c r="BA61" s="153" t="s">
        <v>475</v>
      </c>
      <c r="BB61" s="1177" t="s">
        <v>476</v>
      </c>
      <c r="BC61" s="153" t="s">
        <v>475</v>
      </c>
      <c r="BD61" s="153" t="s">
        <v>474</v>
      </c>
      <c r="BE61" s="1177" t="s">
        <v>476</v>
      </c>
      <c r="BF61" s="153" t="s">
        <v>474</v>
      </c>
      <c r="BG61" s="153" t="s">
        <v>474</v>
      </c>
      <c r="BH61" s="1177" t="s">
        <v>476</v>
      </c>
      <c r="BI61" s="153" t="s">
        <v>474</v>
      </c>
      <c r="BJ61" s="153" t="s">
        <v>477</v>
      </c>
      <c r="BK61" s="1177" t="s">
        <v>476</v>
      </c>
      <c r="BL61" s="119">
        <v>0.96</v>
      </c>
      <c r="BM61" s="153" t="s">
        <v>478</v>
      </c>
      <c r="BN61" s="1177" t="s">
        <v>476</v>
      </c>
      <c r="BO61" s="153" t="s">
        <v>478</v>
      </c>
      <c r="BP61" s="153" t="s">
        <v>478</v>
      </c>
      <c r="BQ61" s="1177" t="s">
        <v>476</v>
      </c>
      <c r="BR61" s="153" t="s">
        <v>478</v>
      </c>
      <c r="BS61" s="153" t="s">
        <v>477</v>
      </c>
      <c r="BT61" s="1177" t="s">
        <v>476</v>
      </c>
      <c r="BU61" s="119">
        <v>0.98</v>
      </c>
      <c r="BV61" s="153" t="s">
        <v>484</v>
      </c>
      <c r="BW61" s="1177" t="s">
        <v>476</v>
      </c>
      <c r="BX61" s="119">
        <v>1.0</v>
      </c>
      <c r="BY61" s="126" t="s">
        <v>485</v>
      </c>
      <c r="BZ61" s="1177" t="s">
        <v>476</v>
      </c>
      <c r="CA61" s="119">
        <v>1.0</v>
      </c>
      <c r="CB61" s="126" t="s">
        <v>485</v>
      </c>
      <c r="CC61" s="1177" t="s">
        <v>476</v>
      </c>
      <c r="CD61" s="119">
        <v>1.0</v>
      </c>
      <c r="CE61" s="126" t="s">
        <v>485</v>
      </c>
      <c r="CF61" s="1177" t="s">
        <v>476</v>
      </c>
      <c r="CG61" s="119">
        <v>1.0</v>
      </c>
      <c r="CH61" s="126" t="s">
        <v>485</v>
      </c>
      <c r="CI61" s="1177" t="s">
        <v>476</v>
      </c>
      <c r="CJ61" s="119">
        <v>1.0</v>
      </c>
      <c r="CK61" s="126" t="s">
        <v>485</v>
      </c>
      <c r="CL61" s="1177" t="s">
        <v>476</v>
      </c>
      <c r="CM61" s="119">
        <v>1.0</v>
      </c>
      <c r="CN61" s="126" t="s">
        <v>485</v>
      </c>
      <c r="CO61" s="1177" t="s">
        <v>476</v>
      </c>
      <c r="CP61" s="119">
        <v>1.0</v>
      </c>
      <c r="CQ61" s="126" t="s">
        <v>485</v>
      </c>
      <c r="CR61" s="1177" t="s">
        <v>476</v>
      </c>
      <c r="CS61" s="119">
        <v>1.0</v>
      </c>
      <c r="CT61" s="126" t="s">
        <v>485</v>
      </c>
      <c r="CU61" s="1177" t="s">
        <v>476</v>
      </c>
      <c r="CV61" s="119">
        <v>1.0</v>
      </c>
      <c r="CW61" s="126" t="s">
        <v>485</v>
      </c>
      <c r="CX61" s="1177" t="s">
        <v>476</v>
      </c>
      <c r="CY61" s="119">
        <v>1.0</v>
      </c>
      <c r="CZ61" s="126" t="s">
        <v>485</v>
      </c>
      <c r="DA61" s="1177" t="s">
        <v>476</v>
      </c>
      <c r="DB61" s="119">
        <v>1.0</v>
      </c>
      <c r="DC61" s="126" t="s">
        <v>485</v>
      </c>
      <c r="DD61" s="1177" t="s">
        <v>476</v>
      </c>
      <c r="DE61" s="119">
        <v>1.0</v>
      </c>
      <c r="DF61" s="126" t="s">
        <v>485</v>
      </c>
      <c r="DG61" s="1177" t="s">
        <v>476</v>
      </c>
      <c r="DH61" s="119">
        <v>1.0</v>
      </c>
      <c r="DI61" s="126" t="s">
        <v>485</v>
      </c>
      <c r="DJ61" s="1177" t="s">
        <v>476</v>
      </c>
      <c r="DK61" s="119">
        <v>1.0</v>
      </c>
      <c r="DL61" s="126" t="s">
        <v>485</v>
      </c>
      <c r="DM61" s="1177" t="s">
        <v>476</v>
      </c>
      <c r="DN61" s="119">
        <v>1.0</v>
      </c>
      <c r="DO61" s="126" t="s">
        <v>485</v>
      </c>
      <c r="DP61" s="1177" t="s">
        <v>476</v>
      </c>
      <c r="DQ61" s="119">
        <v>1.0</v>
      </c>
      <c r="DR61" s="126" t="s">
        <v>709</v>
      </c>
      <c r="DS61" s="111"/>
      <c r="DT61" s="111"/>
      <c r="DU61" s="111"/>
    </row>
    <row r="62" ht="15.0" customHeight="1" outlineLevel="1">
      <c r="A62" s="60">
        <v>76.0</v>
      </c>
      <c r="B62" s="747" t="s">
        <v>250</v>
      </c>
      <c r="C62" s="747" t="s">
        <v>251</v>
      </c>
      <c r="D62" s="71" t="s">
        <v>85</v>
      </c>
      <c r="E62" s="146" t="s">
        <v>169</v>
      </c>
      <c r="F62" s="72">
        <v>1112.0</v>
      </c>
      <c r="G62" s="139" t="s">
        <v>170</v>
      </c>
      <c r="H62" s="139">
        <v>1129.0</v>
      </c>
      <c r="I62" s="126" t="str">
        <f>IFERROR(VLOOKUP(C59:C201,'R22 RELATÓRIO ACC'!B:F,5,FALSE),"NOT PUBLISHED")</f>
        <v>V30</v>
      </c>
      <c r="J62" s="126" t="str">
        <f>IFERROR(VLOOKUP(C59:C201,'R22 RELATÓRIO ACC'!B:P,15,FALSE),"NOT PUBLISHED")</f>
        <v>24/03/2026</v>
      </c>
      <c r="K62" s="746" t="str">
        <f>IFERROR(VLOOKUP(B59:B201,'RELATÓRIO ACC'!B:F,5,FALSE),"NOT PUBLISHED")</f>
        <v>V2</v>
      </c>
      <c r="L62" s="748" t="str">
        <f>IFERROR(VLOOKUP(B59:B201,'RELATÓRIO ACC'!B:P,15,FALSE),"NOT PUBLISHED")</f>
        <v>13/07/2026</v>
      </c>
      <c r="M62" s="141" t="s">
        <v>501</v>
      </c>
      <c r="N62" s="756" t="s">
        <v>503</v>
      </c>
      <c r="O62" s="1111" t="s">
        <v>482</v>
      </c>
      <c r="P62" s="1043" t="s">
        <v>102</v>
      </c>
      <c r="Q62" s="746" t="s">
        <v>477</v>
      </c>
      <c r="R62" s="759" t="s">
        <v>476</v>
      </c>
      <c r="S62" s="1183">
        <v>0.68</v>
      </c>
      <c r="T62" s="755" t="s">
        <v>478</v>
      </c>
      <c r="U62" s="759" t="s">
        <v>476</v>
      </c>
      <c r="V62" s="1157" t="s">
        <v>478</v>
      </c>
      <c r="W62" s="755" t="s">
        <v>478</v>
      </c>
      <c r="X62" s="759" t="s">
        <v>476</v>
      </c>
      <c r="Y62" s="1157" t="s">
        <v>478</v>
      </c>
      <c r="Z62" s="755" t="s">
        <v>477</v>
      </c>
      <c r="AA62" s="759" t="s">
        <v>476</v>
      </c>
      <c r="AB62" s="1057">
        <v>0.97</v>
      </c>
      <c r="AC62" s="153" t="s">
        <v>478</v>
      </c>
      <c r="AD62" s="1177" t="s">
        <v>476</v>
      </c>
      <c r="AE62" s="153" t="s">
        <v>478</v>
      </c>
      <c r="AF62" s="153" t="s">
        <v>484</v>
      </c>
      <c r="AG62" s="853" t="s">
        <v>476</v>
      </c>
      <c r="AH62" s="119">
        <v>1.0</v>
      </c>
      <c r="AI62" s="126" t="s">
        <v>485</v>
      </c>
      <c r="AJ62" s="853" t="s">
        <v>476</v>
      </c>
      <c r="AK62" s="119">
        <v>1.0</v>
      </c>
      <c r="AL62" s="126" t="s">
        <v>485</v>
      </c>
      <c r="AM62" s="853" t="s">
        <v>476</v>
      </c>
      <c r="AN62" s="119">
        <v>1.0</v>
      </c>
      <c r="AO62" s="126" t="s">
        <v>485</v>
      </c>
      <c r="AP62" s="853" t="s">
        <v>476</v>
      </c>
      <c r="AQ62" s="119">
        <v>1.0</v>
      </c>
      <c r="AR62" s="126" t="s">
        <v>485</v>
      </c>
      <c r="AS62" s="853" t="s">
        <v>476</v>
      </c>
      <c r="AT62" s="119">
        <v>1.0</v>
      </c>
      <c r="AU62" s="126" t="s">
        <v>485</v>
      </c>
      <c r="AV62" s="853" t="s">
        <v>476</v>
      </c>
      <c r="AW62" s="119">
        <v>1.0</v>
      </c>
      <c r="AX62" s="126" t="s">
        <v>485</v>
      </c>
      <c r="AY62" s="853" t="s">
        <v>476</v>
      </c>
      <c r="AZ62" s="119">
        <v>1.0</v>
      </c>
      <c r="BA62" s="126" t="s">
        <v>485</v>
      </c>
      <c r="BB62" s="853" t="s">
        <v>476</v>
      </c>
      <c r="BC62" s="119">
        <v>1.0</v>
      </c>
      <c r="BD62" s="126" t="s">
        <v>485</v>
      </c>
      <c r="BE62" s="853" t="s">
        <v>476</v>
      </c>
      <c r="BF62" s="119">
        <v>1.0</v>
      </c>
      <c r="BG62" s="126" t="s">
        <v>485</v>
      </c>
      <c r="BH62" s="853" t="s">
        <v>476</v>
      </c>
      <c r="BI62" s="119">
        <v>1.0</v>
      </c>
      <c r="BJ62" s="126" t="s">
        <v>485</v>
      </c>
      <c r="BK62" s="853" t="s">
        <v>476</v>
      </c>
      <c r="BL62" s="119">
        <v>1.0</v>
      </c>
      <c r="BM62" s="126" t="s">
        <v>485</v>
      </c>
      <c r="BN62" s="853" t="s">
        <v>476</v>
      </c>
      <c r="BO62" s="119">
        <v>1.0</v>
      </c>
      <c r="BP62" s="126" t="s">
        <v>485</v>
      </c>
      <c r="BQ62" s="853" t="s">
        <v>476</v>
      </c>
      <c r="BR62" s="119">
        <v>1.0</v>
      </c>
      <c r="BS62" s="126" t="s">
        <v>485</v>
      </c>
      <c r="BT62" s="853" t="s">
        <v>476</v>
      </c>
      <c r="BU62" s="119">
        <v>1.0</v>
      </c>
      <c r="BV62" s="126" t="s">
        <v>485</v>
      </c>
      <c r="BW62" s="853" t="s">
        <v>476</v>
      </c>
      <c r="BX62" s="119">
        <v>1.0</v>
      </c>
      <c r="BY62" s="126" t="s">
        <v>485</v>
      </c>
      <c r="BZ62" s="853" t="s">
        <v>476</v>
      </c>
      <c r="CA62" s="119">
        <v>1.0</v>
      </c>
      <c r="CB62" s="126" t="s">
        <v>485</v>
      </c>
      <c r="CC62" s="853" t="s">
        <v>476</v>
      </c>
      <c r="CD62" s="119">
        <v>1.0</v>
      </c>
      <c r="CE62" s="126" t="s">
        <v>485</v>
      </c>
      <c r="CF62" s="853" t="s">
        <v>476</v>
      </c>
      <c r="CG62" s="119">
        <v>1.0</v>
      </c>
      <c r="CH62" s="68" t="s">
        <v>485</v>
      </c>
      <c r="CI62" s="853" t="s">
        <v>476</v>
      </c>
      <c r="CJ62" s="135">
        <v>1.0</v>
      </c>
      <c r="CK62" s="68" t="s">
        <v>485</v>
      </c>
      <c r="CL62" s="853" t="s">
        <v>476</v>
      </c>
      <c r="CM62" s="135">
        <v>1.0</v>
      </c>
      <c r="CN62" s="68" t="s">
        <v>485</v>
      </c>
      <c r="CO62" s="853" t="s">
        <v>476</v>
      </c>
      <c r="CP62" s="135">
        <v>1.0</v>
      </c>
      <c r="CQ62" s="68" t="s">
        <v>485</v>
      </c>
      <c r="CR62" s="853" t="s">
        <v>476</v>
      </c>
      <c r="CS62" s="135">
        <v>1.0</v>
      </c>
      <c r="CT62" s="68" t="s">
        <v>485</v>
      </c>
      <c r="CU62" s="853" t="s">
        <v>476</v>
      </c>
      <c r="CV62" s="135">
        <v>1.0</v>
      </c>
      <c r="CW62" s="68" t="s">
        <v>485</v>
      </c>
      <c r="CX62" s="853" t="s">
        <v>476</v>
      </c>
      <c r="CY62" s="135">
        <v>1.0</v>
      </c>
      <c r="CZ62" s="68" t="s">
        <v>485</v>
      </c>
      <c r="DA62" s="853" t="s">
        <v>476</v>
      </c>
      <c r="DB62" s="135">
        <v>1.0</v>
      </c>
      <c r="DC62" s="68" t="s">
        <v>485</v>
      </c>
      <c r="DD62" s="853" t="s">
        <v>476</v>
      </c>
      <c r="DE62" s="135">
        <v>1.0</v>
      </c>
      <c r="DF62" s="68" t="s">
        <v>485</v>
      </c>
      <c r="DG62" s="853" t="s">
        <v>476</v>
      </c>
      <c r="DH62" s="135">
        <v>1.0</v>
      </c>
      <c r="DI62" s="68" t="s">
        <v>485</v>
      </c>
      <c r="DJ62" s="853" t="s">
        <v>476</v>
      </c>
      <c r="DK62" s="135">
        <v>1.0</v>
      </c>
      <c r="DL62" s="68" t="s">
        <v>485</v>
      </c>
      <c r="DM62" s="853" t="s">
        <v>476</v>
      </c>
      <c r="DN62" s="135">
        <v>1.0</v>
      </c>
      <c r="DO62" s="68" t="s">
        <v>485</v>
      </c>
      <c r="DP62" s="853" t="s">
        <v>476</v>
      </c>
      <c r="DQ62" s="135">
        <v>1.0</v>
      </c>
      <c r="DR62" s="126" t="s">
        <v>709</v>
      </c>
      <c r="DS62" s="111"/>
      <c r="DT62" s="111"/>
      <c r="DU62" s="111"/>
    </row>
    <row r="63" ht="15.0" customHeight="1" outlineLevel="1">
      <c r="A63" s="60">
        <v>79.0</v>
      </c>
      <c r="B63" s="747" t="s">
        <v>257</v>
      </c>
      <c r="C63" s="747" t="s">
        <v>258</v>
      </c>
      <c r="D63" s="71" t="s">
        <v>85</v>
      </c>
      <c r="E63" s="146" t="s">
        <v>256</v>
      </c>
      <c r="F63" s="72">
        <v>1118.0</v>
      </c>
      <c r="G63" s="146" t="s">
        <v>256</v>
      </c>
      <c r="H63" s="139">
        <v>1118.0</v>
      </c>
      <c r="I63" s="126" t="str">
        <f>IFERROR(VLOOKUP(C60:C202,'R22 RELATÓRIO ACC'!B:F,5,FALSE),"NOT PUBLISHED")</f>
        <v>V39</v>
      </c>
      <c r="J63" s="126" t="str">
        <f>IFERROR(VLOOKUP(C60:C202,'R22 RELATÓRIO ACC'!B:P,15,FALSE),"NOT PUBLISHED")</f>
        <v>30/04/2026</v>
      </c>
      <c r="K63" s="746" t="str">
        <f>IFERROR(VLOOKUP(B60:B202,'RELATÓRIO ACC'!B:F,5,FALSE),"NOT PUBLISHED")</f>
        <v>V3</v>
      </c>
      <c r="L63" s="748" t="str">
        <f>IFERROR(VLOOKUP(B60:B202,'RELATÓRIO ACC'!B:P,15,FALSE),"NOT PUBLISHED")</f>
        <v>01/07/2026</v>
      </c>
      <c r="M63" s="141" t="s">
        <v>460</v>
      </c>
      <c r="N63" s="756" t="s">
        <v>461</v>
      </c>
      <c r="O63" s="1111" t="s">
        <v>482</v>
      </c>
      <c r="P63" s="1043" t="s">
        <v>129</v>
      </c>
      <c r="Q63" s="746" t="s">
        <v>477</v>
      </c>
      <c r="R63" s="759" t="s">
        <v>476</v>
      </c>
      <c r="S63" s="1057">
        <v>0.88</v>
      </c>
      <c r="T63" s="755" t="s">
        <v>478</v>
      </c>
      <c r="U63" s="759" t="s">
        <v>476</v>
      </c>
      <c r="V63" s="1157" t="s">
        <v>478</v>
      </c>
      <c r="W63" s="755" t="s">
        <v>478</v>
      </c>
      <c r="X63" s="759" t="s">
        <v>476</v>
      </c>
      <c r="Y63" s="1157" t="s">
        <v>478</v>
      </c>
      <c r="Z63" s="755" t="s">
        <v>478</v>
      </c>
      <c r="AA63" s="759" t="s">
        <v>476</v>
      </c>
      <c r="AB63" s="1157" t="s">
        <v>478</v>
      </c>
      <c r="AC63" s="153" t="s">
        <v>477</v>
      </c>
      <c r="AD63" s="1177" t="s">
        <v>476</v>
      </c>
      <c r="AE63" s="119">
        <v>0.98</v>
      </c>
      <c r="AF63" s="153" t="s">
        <v>474</v>
      </c>
      <c r="AG63" s="1177" t="s">
        <v>476</v>
      </c>
      <c r="AH63" s="153" t="s">
        <v>474</v>
      </c>
      <c r="AI63" s="153" t="s">
        <v>484</v>
      </c>
      <c r="AJ63" s="1177" t="s">
        <v>476</v>
      </c>
      <c r="AK63" s="119">
        <v>1.0</v>
      </c>
      <c r="AL63" s="126" t="s">
        <v>485</v>
      </c>
      <c r="AM63" s="1177" t="s">
        <v>476</v>
      </c>
      <c r="AN63" s="119">
        <v>1.0</v>
      </c>
      <c r="AO63" s="126" t="s">
        <v>485</v>
      </c>
      <c r="AP63" s="1177" t="s">
        <v>476</v>
      </c>
      <c r="AQ63" s="119">
        <v>1.0</v>
      </c>
      <c r="AR63" s="126" t="s">
        <v>485</v>
      </c>
      <c r="AS63" s="1177" t="s">
        <v>476</v>
      </c>
      <c r="AT63" s="119">
        <v>1.0</v>
      </c>
      <c r="AU63" s="126" t="s">
        <v>485</v>
      </c>
      <c r="AV63" s="1177" t="s">
        <v>476</v>
      </c>
      <c r="AW63" s="119">
        <v>1.0</v>
      </c>
      <c r="AX63" s="126" t="s">
        <v>485</v>
      </c>
      <c r="AY63" s="1177" t="s">
        <v>476</v>
      </c>
      <c r="AZ63" s="119">
        <v>1.0</v>
      </c>
      <c r="BA63" s="126" t="s">
        <v>485</v>
      </c>
      <c r="BB63" s="1177" t="s">
        <v>476</v>
      </c>
      <c r="BC63" s="119">
        <v>1.0</v>
      </c>
      <c r="BD63" s="126" t="s">
        <v>485</v>
      </c>
      <c r="BE63" s="1177" t="s">
        <v>476</v>
      </c>
      <c r="BF63" s="119">
        <v>1.0</v>
      </c>
      <c r="BG63" s="126" t="s">
        <v>485</v>
      </c>
      <c r="BH63" s="1177" t="s">
        <v>476</v>
      </c>
      <c r="BI63" s="119">
        <v>1.0</v>
      </c>
      <c r="BJ63" s="126" t="s">
        <v>485</v>
      </c>
      <c r="BK63" s="1177" t="s">
        <v>476</v>
      </c>
      <c r="BL63" s="119">
        <v>1.0</v>
      </c>
      <c r="BM63" s="126" t="s">
        <v>485</v>
      </c>
      <c r="BN63" s="1177" t="s">
        <v>476</v>
      </c>
      <c r="BO63" s="119">
        <v>1.0</v>
      </c>
      <c r="BP63" s="126" t="s">
        <v>485</v>
      </c>
      <c r="BQ63" s="1177" t="s">
        <v>476</v>
      </c>
      <c r="BR63" s="119">
        <v>1.0</v>
      </c>
      <c r="BS63" s="126" t="s">
        <v>485</v>
      </c>
      <c r="BT63" s="1177" t="s">
        <v>476</v>
      </c>
      <c r="BU63" s="119">
        <v>1.0</v>
      </c>
      <c r="BV63" s="126" t="s">
        <v>485</v>
      </c>
      <c r="BW63" s="1177" t="s">
        <v>476</v>
      </c>
      <c r="BX63" s="119">
        <v>1.0</v>
      </c>
      <c r="BY63" s="126" t="s">
        <v>485</v>
      </c>
      <c r="BZ63" s="1177" t="s">
        <v>476</v>
      </c>
      <c r="CA63" s="119">
        <v>1.0</v>
      </c>
      <c r="CB63" s="126" t="s">
        <v>485</v>
      </c>
      <c r="CC63" s="1177" t="s">
        <v>476</v>
      </c>
      <c r="CD63" s="119">
        <v>1.0</v>
      </c>
      <c r="CE63" s="126" t="s">
        <v>485</v>
      </c>
      <c r="CF63" s="1177" t="s">
        <v>476</v>
      </c>
      <c r="CG63" s="119">
        <v>1.0</v>
      </c>
      <c r="CH63" s="126" t="s">
        <v>485</v>
      </c>
      <c r="CI63" s="1177" t="s">
        <v>476</v>
      </c>
      <c r="CJ63" s="119">
        <v>1.0</v>
      </c>
      <c r="CK63" s="126" t="s">
        <v>485</v>
      </c>
      <c r="CL63" s="1177" t="s">
        <v>476</v>
      </c>
      <c r="CM63" s="119">
        <v>1.0</v>
      </c>
      <c r="CN63" s="126" t="s">
        <v>485</v>
      </c>
      <c r="CO63" s="1177" t="s">
        <v>476</v>
      </c>
      <c r="CP63" s="119">
        <v>1.0</v>
      </c>
      <c r="CQ63" s="126" t="s">
        <v>485</v>
      </c>
      <c r="CR63" s="1177" t="s">
        <v>476</v>
      </c>
      <c r="CS63" s="119">
        <v>1.0</v>
      </c>
      <c r="CT63" s="126" t="s">
        <v>485</v>
      </c>
      <c r="CU63" s="1177" t="s">
        <v>476</v>
      </c>
      <c r="CV63" s="119">
        <v>1.0</v>
      </c>
      <c r="CW63" s="126" t="s">
        <v>485</v>
      </c>
      <c r="CX63" s="1177" t="s">
        <v>476</v>
      </c>
      <c r="CY63" s="764">
        <v>1.0</v>
      </c>
      <c r="CZ63" s="68" t="s">
        <v>485</v>
      </c>
      <c r="DA63" s="1177" t="s">
        <v>476</v>
      </c>
      <c r="DB63" s="119">
        <v>1.0</v>
      </c>
      <c r="DC63" s="68" t="s">
        <v>485</v>
      </c>
      <c r="DD63" s="1177" t="s">
        <v>476</v>
      </c>
      <c r="DE63" s="135">
        <v>1.0</v>
      </c>
      <c r="DF63" s="68" t="s">
        <v>485</v>
      </c>
      <c r="DG63" s="1177" t="s">
        <v>476</v>
      </c>
      <c r="DH63" s="135">
        <v>1.0</v>
      </c>
      <c r="DI63" s="68" t="s">
        <v>485</v>
      </c>
      <c r="DJ63" s="1177" t="s">
        <v>476</v>
      </c>
      <c r="DK63" s="135">
        <v>1.0</v>
      </c>
      <c r="DL63" s="68" t="s">
        <v>485</v>
      </c>
      <c r="DM63" s="1177" t="s">
        <v>476</v>
      </c>
      <c r="DN63" s="135">
        <v>1.0</v>
      </c>
      <c r="DO63" s="68" t="s">
        <v>485</v>
      </c>
      <c r="DP63" s="1177" t="s">
        <v>476</v>
      </c>
      <c r="DQ63" s="135">
        <v>1.0</v>
      </c>
      <c r="DR63" s="126"/>
      <c r="DS63" s="111"/>
      <c r="DT63" s="111"/>
      <c r="DU63" s="111"/>
    </row>
    <row r="64" ht="15.0" customHeight="1" outlineLevel="1">
      <c r="A64" s="60">
        <v>82.0</v>
      </c>
      <c r="B64" s="747" t="s">
        <v>262</v>
      </c>
      <c r="C64" s="747" t="s">
        <v>263</v>
      </c>
      <c r="D64" s="71" t="s">
        <v>85</v>
      </c>
      <c r="E64" s="1153" t="s">
        <v>256</v>
      </c>
      <c r="F64" s="72">
        <v>1118.0</v>
      </c>
      <c r="G64" s="139" t="s">
        <v>256</v>
      </c>
      <c r="H64" s="139">
        <v>1118.0</v>
      </c>
      <c r="I64" s="126" t="str">
        <f>IFERROR(VLOOKUP(C61:C203,'R22 RELATÓRIO ACC'!B:F,5,FALSE),"NOT PUBLISHED")</f>
        <v>V59</v>
      </c>
      <c r="J64" s="126" t="str">
        <f>IFERROR(VLOOKUP(C61:C203,'R22 RELATÓRIO ACC'!B:P,15,FALSE),"NOT PUBLISHED")</f>
        <v>17/04/2026</v>
      </c>
      <c r="K64" s="746" t="str">
        <f>IFERROR(VLOOKUP(B61:B203,'RELATÓRIO ACC'!B:F,5,FALSE),"NOT PUBLISHED")</f>
        <v>V5</v>
      </c>
      <c r="L64" s="748" t="str">
        <f>IFERROR(VLOOKUP(B61:B203,'RELATÓRIO ACC'!B:P,15,FALSE),"NOT PUBLISHED")</f>
        <v>06/07/2026</v>
      </c>
      <c r="M64" s="141" t="s">
        <v>510</v>
      </c>
      <c r="N64" s="1149" t="s">
        <v>503</v>
      </c>
      <c r="O64" s="1111" t="s">
        <v>482</v>
      </c>
      <c r="P64" s="1043" t="s">
        <v>129</v>
      </c>
      <c r="Q64" s="746" t="s">
        <v>477</v>
      </c>
      <c r="R64" s="759" t="s">
        <v>476</v>
      </c>
      <c r="S64" s="1057">
        <v>0.73</v>
      </c>
      <c r="T64" s="755" t="s">
        <v>478</v>
      </c>
      <c r="U64" s="759" t="s">
        <v>476</v>
      </c>
      <c r="V64" s="1157" t="s">
        <v>478</v>
      </c>
      <c r="W64" s="755" t="s">
        <v>477</v>
      </c>
      <c r="X64" s="759" t="s">
        <v>476</v>
      </c>
      <c r="Y64" s="1057">
        <v>0.92</v>
      </c>
      <c r="Z64" s="755" t="s">
        <v>477</v>
      </c>
      <c r="AA64" s="759" t="s">
        <v>476</v>
      </c>
      <c r="AB64" s="1057">
        <v>0.99</v>
      </c>
      <c r="AC64" s="153" t="s">
        <v>474</v>
      </c>
      <c r="AD64" s="1177" t="s">
        <v>476</v>
      </c>
      <c r="AE64" s="153" t="s">
        <v>474</v>
      </c>
      <c r="AF64" s="153" t="s">
        <v>484</v>
      </c>
      <c r="AG64" s="1185">
        <v>45966.0</v>
      </c>
      <c r="AH64" s="119">
        <v>1.0</v>
      </c>
      <c r="AI64" s="126" t="s">
        <v>485</v>
      </c>
      <c r="AJ64" s="1185">
        <v>45966.0</v>
      </c>
      <c r="AK64" s="119">
        <v>1.0</v>
      </c>
      <c r="AL64" s="126" t="s">
        <v>485</v>
      </c>
      <c r="AM64" s="1185">
        <v>45966.0</v>
      </c>
      <c r="AN64" s="119">
        <v>1.0</v>
      </c>
      <c r="AO64" s="126" t="s">
        <v>485</v>
      </c>
      <c r="AP64" s="1185">
        <v>45966.0</v>
      </c>
      <c r="AQ64" s="119">
        <v>1.0</v>
      </c>
      <c r="AR64" s="126" t="s">
        <v>485</v>
      </c>
      <c r="AS64" s="1185">
        <v>45966.0</v>
      </c>
      <c r="AT64" s="119">
        <v>1.0</v>
      </c>
      <c r="AU64" s="126" t="s">
        <v>485</v>
      </c>
      <c r="AV64" s="1185">
        <v>45966.0</v>
      </c>
      <c r="AW64" s="119">
        <v>1.0</v>
      </c>
      <c r="AX64" s="126" t="s">
        <v>485</v>
      </c>
      <c r="AY64" s="1185">
        <v>45966.0</v>
      </c>
      <c r="AZ64" s="119">
        <v>1.0</v>
      </c>
      <c r="BA64" s="126" t="s">
        <v>485</v>
      </c>
      <c r="BB64" s="1185">
        <v>45966.0</v>
      </c>
      <c r="BC64" s="119">
        <v>1.0</v>
      </c>
      <c r="BD64" s="126" t="s">
        <v>485</v>
      </c>
      <c r="BE64" s="1185">
        <v>45966.0</v>
      </c>
      <c r="BF64" s="119">
        <v>1.0</v>
      </c>
      <c r="BG64" s="126" t="s">
        <v>485</v>
      </c>
      <c r="BH64" s="1185">
        <v>45966.0</v>
      </c>
      <c r="BI64" s="119">
        <v>1.0</v>
      </c>
      <c r="BJ64" s="126" t="s">
        <v>485</v>
      </c>
      <c r="BK64" s="1185">
        <v>45966.0</v>
      </c>
      <c r="BL64" s="119">
        <v>1.0</v>
      </c>
      <c r="BM64" s="126" t="s">
        <v>485</v>
      </c>
      <c r="BN64" s="1177" t="s">
        <v>476</v>
      </c>
      <c r="BO64" s="119">
        <v>1.0</v>
      </c>
      <c r="BP64" s="126" t="s">
        <v>485</v>
      </c>
      <c r="BQ64" s="1177" t="s">
        <v>476</v>
      </c>
      <c r="BR64" s="119">
        <v>1.0</v>
      </c>
      <c r="BS64" s="126" t="s">
        <v>485</v>
      </c>
      <c r="BT64" s="1177" t="s">
        <v>476</v>
      </c>
      <c r="BU64" s="119">
        <v>1.0</v>
      </c>
      <c r="BV64" s="126" t="s">
        <v>485</v>
      </c>
      <c r="BW64" s="1177" t="s">
        <v>476</v>
      </c>
      <c r="BX64" s="119">
        <v>1.0</v>
      </c>
      <c r="BY64" s="126" t="s">
        <v>485</v>
      </c>
      <c r="BZ64" s="1177" t="s">
        <v>476</v>
      </c>
      <c r="CA64" s="119">
        <v>1.0</v>
      </c>
      <c r="CB64" s="126" t="s">
        <v>485</v>
      </c>
      <c r="CC64" s="1177" t="s">
        <v>476</v>
      </c>
      <c r="CD64" s="119">
        <v>1.0</v>
      </c>
      <c r="CE64" s="126" t="s">
        <v>485</v>
      </c>
      <c r="CF64" s="1177" t="s">
        <v>476</v>
      </c>
      <c r="CG64" s="119">
        <v>1.0</v>
      </c>
      <c r="CH64" s="126" t="s">
        <v>485</v>
      </c>
      <c r="CI64" s="1177" t="s">
        <v>476</v>
      </c>
      <c r="CJ64" s="119">
        <v>1.0</v>
      </c>
      <c r="CK64" s="126" t="s">
        <v>485</v>
      </c>
      <c r="CL64" s="1177" t="s">
        <v>476</v>
      </c>
      <c r="CM64" s="119">
        <v>1.0</v>
      </c>
      <c r="CN64" s="126" t="s">
        <v>485</v>
      </c>
      <c r="CO64" s="1177" t="s">
        <v>476</v>
      </c>
      <c r="CP64" s="119">
        <v>1.0</v>
      </c>
      <c r="CQ64" s="126" t="s">
        <v>485</v>
      </c>
      <c r="CR64" s="1177" t="s">
        <v>476</v>
      </c>
      <c r="CS64" s="119">
        <v>1.0</v>
      </c>
      <c r="CT64" s="126" t="s">
        <v>485</v>
      </c>
      <c r="CU64" s="1177" t="s">
        <v>476</v>
      </c>
      <c r="CV64" s="119">
        <v>1.0</v>
      </c>
      <c r="CW64" s="126" t="s">
        <v>485</v>
      </c>
      <c r="CX64" s="1177" t="s">
        <v>476</v>
      </c>
      <c r="CY64" s="119">
        <v>1.0</v>
      </c>
      <c r="CZ64" s="126" t="s">
        <v>485</v>
      </c>
      <c r="DA64" s="1177" t="s">
        <v>476</v>
      </c>
      <c r="DB64" s="119">
        <v>1.0</v>
      </c>
      <c r="DC64" s="126" t="s">
        <v>485</v>
      </c>
      <c r="DD64" s="1177" t="s">
        <v>476</v>
      </c>
      <c r="DE64" s="119">
        <v>1.0</v>
      </c>
      <c r="DF64" s="126" t="s">
        <v>485</v>
      </c>
      <c r="DG64" s="1177" t="s">
        <v>476</v>
      </c>
      <c r="DH64" s="119">
        <v>1.0</v>
      </c>
      <c r="DI64" s="126" t="s">
        <v>485</v>
      </c>
      <c r="DJ64" s="1177" t="s">
        <v>476</v>
      </c>
      <c r="DK64" s="119">
        <v>1.0</v>
      </c>
      <c r="DL64" s="126" t="s">
        <v>485</v>
      </c>
      <c r="DM64" s="1177" t="s">
        <v>476</v>
      </c>
      <c r="DN64" s="119">
        <v>1.0</v>
      </c>
      <c r="DO64" s="126" t="s">
        <v>485</v>
      </c>
      <c r="DP64" s="1177" t="s">
        <v>476</v>
      </c>
      <c r="DQ64" s="119">
        <v>1.0</v>
      </c>
      <c r="DR64" s="126" t="s">
        <v>129</v>
      </c>
      <c r="DS64" s="111"/>
      <c r="DT64" s="111"/>
      <c r="DU64" s="111"/>
    </row>
    <row r="65" ht="15.0" customHeight="1" outlineLevel="1">
      <c r="A65" s="60">
        <v>93.0</v>
      </c>
      <c r="B65" s="747" t="s">
        <v>285</v>
      </c>
      <c r="C65" s="747" t="s">
        <v>286</v>
      </c>
      <c r="D65" s="71" t="s">
        <v>85</v>
      </c>
      <c r="E65" s="1153" t="s">
        <v>287</v>
      </c>
      <c r="F65" s="72"/>
      <c r="G65" s="125" t="s">
        <v>288</v>
      </c>
      <c r="H65" s="1186"/>
      <c r="I65" s="126" t="str">
        <f>IFERROR(VLOOKUP(C62:C204,'R22 RELATÓRIO ACC'!B:F,5,FALSE),"NOT PUBLISHED")</f>
        <v>V10</v>
      </c>
      <c r="J65" s="126" t="str">
        <f>IFERROR(VLOOKUP(C62:C204,'R22 RELATÓRIO ACC'!B:P,15,FALSE),"NOT PUBLISHED")</f>
        <v>22/04/2026</v>
      </c>
      <c r="K65" s="746" t="str">
        <f>IFERROR(VLOOKUP(B62:B204,'RELATÓRIO ACC'!B:F,5,FALSE),"NOT PUBLISHED")</f>
        <v>V1</v>
      </c>
      <c r="L65" s="748" t="str">
        <f>IFERROR(VLOOKUP(B62:B204,'RELATÓRIO ACC'!B:P,15,FALSE),"NOT PUBLISHED")</f>
        <v>15/05/2026</v>
      </c>
      <c r="M65" s="746" t="s">
        <v>507</v>
      </c>
      <c r="N65" s="756" t="s">
        <v>511</v>
      </c>
      <c r="O65" s="740" t="s">
        <v>482</v>
      </c>
      <c r="P65" s="113" t="s">
        <v>102</v>
      </c>
      <c r="Q65" s="755" t="s">
        <v>477</v>
      </c>
      <c r="R65" s="766" t="s">
        <v>476</v>
      </c>
      <c r="S65" s="1156">
        <v>0.63</v>
      </c>
      <c r="T65" s="755" t="s">
        <v>478</v>
      </c>
      <c r="U65" s="759" t="s">
        <v>476</v>
      </c>
      <c r="V65" s="1157" t="s">
        <v>478</v>
      </c>
      <c r="W65" s="755" t="s">
        <v>478</v>
      </c>
      <c r="X65" s="759" t="s">
        <v>476</v>
      </c>
      <c r="Y65" s="1157" t="s">
        <v>478</v>
      </c>
      <c r="Z65" s="755" t="s">
        <v>477</v>
      </c>
      <c r="AA65" s="759" t="s">
        <v>476</v>
      </c>
      <c r="AB65" s="1057">
        <v>0.98</v>
      </c>
      <c r="AC65" s="153" t="s">
        <v>474</v>
      </c>
      <c r="AD65" s="1177" t="s">
        <v>476</v>
      </c>
      <c r="AE65" s="153" t="s">
        <v>474</v>
      </c>
      <c r="AF65" s="153" t="s">
        <v>484</v>
      </c>
      <c r="AG65" s="853" t="s">
        <v>476</v>
      </c>
      <c r="AH65" s="119">
        <v>1.0</v>
      </c>
      <c r="AI65" s="126" t="s">
        <v>485</v>
      </c>
      <c r="AJ65" s="853" t="s">
        <v>476</v>
      </c>
      <c r="AK65" s="119">
        <v>1.0</v>
      </c>
      <c r="AL65" s="126" t="s">
        <v>485</v>
      </c>
      <c r="AM65" s="853" t="s">
        <v>476</v>
      </c>
      <c r="AN65" s="119">
        <v>1.0</v>
      </c>
      <c r="AO65" s="126" t="s">
        <v>485</v>
      </c>
      <c r="AP65" s="853" t="s">
        <v>476</v>
      </c>
      <c r="AQ65" s="119">
        <v>1.0</v>
      </c>
      <c r="AR65" s="126" t="s">
        <v>485</v>
      </c>
      <c r="AS65" s="853" t="s">
        <v>476</v>
      </c>
      <c r="AT65" s="119">
        <v>1.0</v>
      </c>
      <c r="AU65" s="126" t="s">
        <v>485</v>
      </c>
      <c r="AV65" s="853" t="s">
        <v>476</v>
      </c>
      <c r="AW65" s="119">
        <v>1.0</v>
      </c>
      <c r="AX65" s="126" t="s">
        <v>485</v>
      </c>
      <c r="AY65" s="853" t="s">
        <v>476</v>
      </c>
      <c r="AZ65" s="119">
        <v>1.0</v>
      </c>
      <c r="BA65" s="126" t="s">
        <v>485</v>
      </c>
      <c r="BB65" s="853" t="s">
        <v>476</v>
      </c>
      <c r="BC65" s="119">
        <v>1.0</v>
      </c>
      <c r="BD65" s="126" t="s">
        <v>485</v>
      </c>
      <c r="BE65" s="853" t="s">
        <v>476</v>
      </c>
      <c r="BF65" s="119">
        <v>1.0</v>
      </c>
      <c r="BG65" s="126" t="s">
        <v>485</v>
      </c>
      <c r="BH65" s="853" t="s">
        <v>476</v>
      </c>
      <c r="BI65" s="119">
        <v>1.0</v>
      </c>
      <c r="BJ65" s="126" t="s">
        <v>485</v>
      </c>
      <c r="BK65" s="853" t="s">
        <v>476</v>
      </c>
      <c r="BL65" s="119">
        <v>1.0</v>
      </c>
      <c r="BM65" s="126" t="s">
        <v>485</v>
      </c>
      <c r="BN65" s="853" t="s">
        <v>476</v>
      </c>
      <c r="BO65" s="119">
        <v>1.0</v>
      </c>
      <c r="BP65" s="126" t="s">
        <v>485</v>
      </c>
      <c r="BQ65" s="853" t="s">
        <v>476</v>
      </c>
      <c r="BR65" s="119">
        <v>1.0</v>
      </c>
      <c r="BS65" s="126" t="s">
        <v>485</v>
      </c>
      <c r="BT65" s="853" t="s">
        <v>476</v>
      </c>
      <c r="BU65" s="119">
        <v>1.0</v>
      </c>
      <c r="BV65" s="126" t="s">
        <v>485</v>
      </c>
      <c r="BW65" s="853" t="s">
        <v>476</v>
      </c>
      <c r="BX65" s="119">
        <v>1.0</v>
      </c>
      <c r="BY65" s="126" t="s">
        <v>485</v>
      </c>
      <c r="BZ65" s="853" t="s">
        <v>476</v>
      </c>
      <c r="CA65" s="119">
        <v>1.0</v>
      </c>
      <c r="CB65" s="126" t="s">
        <v>485</v>
      </c>
      <c r="CC65" s="853" t="s">
        <v>476</v>
      </c>
      <c r="CD65" s="119">
        <v>1.0</v>
      </c>
      <c r="CE65" s="126" t="s">
        <v>485</v>
      </c>
      <c r="CF65" s="853" t="s">
        <v>476</v>
      </c>
      <c r="CG65" s="119">
        <v>1.0</v>
      </c>
      <c r="CH65" s="126" t="s">
        <v>485</v>
      </c>
      <c r="CI65" s="853" t="s">
        <v>476</v>
      </c>
      <c r="CJ65" s="119">
        <v>1.0</v>
      </c>
      <c r="CK65" s="126" t="s">
        <v>485</v>
      </c>
      <c r="CL65" s="853" t="s">
        <v>476</v>
      </c>
      <c r="CM65" s="119">
        <v>1.0</v>
      </c>
      <c r="CN65" s="126" t="s">
        <v>485</v>
      </c>
      <c r="CO65" s="853" t="s">
        <v>476</v>
      </c>
      <c r="CP65" s="119">
        <v>1.0</v>
      </c>
      <c r="CQ65" s="126" t="s">
        <v>485</v>
      </c>
      <c r="CR65" s="853" t="s">
        <v>476</v>
      </c>
      <c r="CS65" s="119">
        <v>1.0</v>
      </c>
      <c r="CT65" s="126" t="s">
        <v>485</v>
      </c>
      <c r="CU65" s="853" t="s">
        <v>476</v>
      </c>
      <c r="CV65" s="119">
        <v>1.0</v>
      </c>
      <c r="CW65" s="126" t="s">
        <v>485</v>
      </c>
      <c r="CX65" s="853" t="s">
        <v>476</v>
      </c>
      <c r="CY65" s="119">
        <v>1.0</v>
      </c>
      <c r="CZ65" s="126" t="s">
        <v>485</v>
      </c>
      <c r="DA65" s="853" t="s">
        <v>476</v>
      </c>
      <c r="DB65" s="119">
        <v>1.0</v>
      </c>
      <c r="DC65" s="126" t="s">
        <v>485</v>
      </c>
      <c r="DD65" s="853" t="s">
        <v>476</v>
      </c>
      <c r="DE65" s="119">
        <v>1.0</v>
      </c>
      <c r="DF65" s="126" t="s">
        <v>485</v>
      </c>
      <c r="DG65" s="853" t="s">
        <v>476</v>
      </c>
      <c r="DH65" s="119">
        <v>1.0</v>
      </c>
      <c r="DI65" s="126" t="s">
        <v>485</v>
      </c>
      <c r="DJ65" s="853" t="s">
        <v>476</v>
      </c>
      <c r="DK65" s="119">
        <v>1.0</v>
      </c>
      <c r="DL65" s="126" t="s">
        <v>485</v>
      </c>
      <c r="DM65" s="853" t="s">
        <v>476</v>
      </c>
      <c r="DN65" s="119">
        <v>1.0</v>
      </c>
      <c r="DO65" s="126" t="s">
        <v>485</v>
      </c>
      <c r="DP65" s="853" t="s">
        <v>476</v>
      </c>
      <c r="DQ65" s="119">
        <v>1.0</v>
      </c>
      <c r="DR65" s="153" t="s">
        <v>129</v>
      </c>
      <c r="DS65" s="111"/>
      <c r="DT65" s="111"/>
      <c r="DU65" s="111"/>
    </row>
    <row r="66" ht="15.0" customHeight="1" outlineLevel="1">
      <c r="A66" s="60">
        <v>95.0</v>
      </c>
      <c r="B66" s="747" t="s">
        <v>291</v>
      </c>
      <c r="C66" s="747" t="s">
        <v>292</v>
      </c>
      <c r="D66" s="71" t="s">
        <v>85</v>
      </c>
      <c r="E66" s="1158" t="s">
        <v>293</v>
      </c>
      <c r="F66" s="72"/>
      <c r="G66" s="125" t="s">
        <v>288</v>
      </c>
      <c r="H66" s="150"/>
      <c r="I66" s="126" t="str">
        <f>IFERROR(VLOOKUP(C63:C205,'R22 RELATÓRIO ACC'!B:F,5,FALSE),"NOT PUBLISHED")</f>
        <v>V11</v>
      </c>
      <c r="J66" s="126" t="str">
        <f>IFERROR(VLOOKUP(C63:C205,'R22 RELATÓRIO ACC'!B:P,15,FALSE),"NOT PUBLISHED")</f>
        <v>28/04/2026</v>
      </c>
      <c r="K66" s="746" t="str">
        <f>IFERROR(VLOOKUP(B63:B205,'RELATÓRIO ACC'!B:F,5,FALSE),"NOT PUBLISHED")</f>
        <v>V1</v>
      </c>
      <c r="L66" s="748" t="str">
        <f>IFERROR(VLOOKUP(B63:B205,'RELATÓRIO ACC'!B:P,15,FALSE),"NOT PUBLISHED")</f>
        <v>15/05/2026</v>
      </c>
      <c r="M66" s="746" t="s">
        <v>479</v>
      </c>
      <c r="N66" s="756" t="s">
        <v>512</v>
      </c>
      <c r="O66" s="740" t="s">
        <v>482</v>
      </c>
      <c r="P66" s="126" t="s">
        <v>146</v>
      </c>
      <c r="Q66" s="755" t="s">
        <v>477</v>
      </c>
      <c r="R66" s="766" t="s">
        <v>476</v>
      </c>
      <c r="S66" s="1057">
        <v>0.67</v>
      </c>
      <c r="T66" s="755" t="s">
        <v>478</v>
      </c>
      <c r="U66" s="759" t="s">
        <v>476</v>
      </c>
      <c r="V66" s="1157" t="s">
        <v>478</v>
      </c>
      <c r="W66" s="755" t="s">
        <v>478</v>
      </c>
      <c r="X66" s="759" t="s">
        <v>476</v>
      </c>
      <c r="Y66" s="1157" t="s">
        <v>478</v>
      </c>
      <c r="Z66" s="755" t="s">
        <v>484</v>
      </c>
      <c r="AA66" s="759" t="s">
        <v>476</v>
      </c>
      <c r="AB66" s="1057">
        <v>1.0</v>
      </c>
      <c r="AC66" s="126" t="s">
        <v>485</v>
      </c>
      <c r="AD66" s="1177" t="s">
        <v>476</v>
      </c>
      <c r="AE66" s="119">
        <v>1.0</v>
      </c>
      <c r="AF66" s="126" t="s">
        <v>485</v>
      </c>
      <c r="AG66" s="1177" t="s">
        <v>476</v>
      </c>
      <c r="AH66" s="119">
        <v>1.0</v>
      </c>
      <c r="AI66" s="126" t="s">
        <v>485</v>
      </c>
      <c r="AJ66" s="1177" t="s">
        <v>476</v>
      </c>
      <c r="AK66" s="119">
        <v>1.0</v>
      </c>
      <c r="AL66" s="126" t="s">
        <v>485</v>
      </c>
      <c r="AM66" s="1177" t="s">
        <v>476</v>
      </c>
      <c r="AN66" s="119">
        <v>1.0</v>
      </c>
      <c r="AO66" s="126" t="s">
        <v>485</v>
      </c>
      <c r="AP66" s="1177" t="s">
        <v>476</v>
      </c>
      <c r="AQ66" s="119">
        <v>1.0</v>
      </c>
      <c r="AR66" s="126" t="s">
        <v>485</v>
      </c>
      <c r="AS66" s="1177" t="s">
        <v>476</v>
      </c>
      <c r="AT66" s="119">
        <v>1.0</v>
      </c>
      <c r="AU66" s="126" t="s">
        <v>485</v>
      </c>
      <c r="AV66" s="1177" t="s">
        <v>476</v>
      </c>
      <c r="AW66" s="119">
        <v>1.0</v>
      </c>
      <c r="AX66" s="126" t="s">
        <v>485</v>
      </c>
      <c r="AY66" s="1177" t="s">
        <v>476</v>
      </c>
      <c r="AZ66" s="119">
        <v>1.0</v>
      </c>
      <c r="BA66" s="126" t="s">
        <v>485</v>
      </c>
      <c r="BB66" s="1177" t="s">
        <v>476</v>
      </c>
      <c r="BC66" s="119">
        <v>1.0</v>
      </c>
      <c r="BD66" s="126" t="s">
        <v>485</v>
      </c>
      <c r="BE66" s="1177" t="s">
        <v>476</v>
      </c>
      <c r="BF66" s="119">
        <v>1.0</v>
      </c>
      <c r="BG66" s="126" t="s">
        <v>485</v>
      </c>
      <c r="BH66" s="1177" t="s">
        <v>476</v>
      </c>
      <c r="BI66" s="119">
        <v>1.0</v>
      </c>
      <c r="BJ66" s="126" t="s">
        <v>485</v>
      </c>
      <c r="BK66" s="1177" t="s">
        <v>476</v>
      </c>
      <c r="BL66" s="119">
        <v>1.0</v>
      </c>
      <c r="BM66" s="126" t="s">
        <v>485</v>
      </c>
      <c r="BN66" s="1177" t="s">
        <v>476</v>
      </c>
      <c r="BO66" s="119">
        <v>1.0</v>
      </c>
      <c r="BP66" s="126" t="s">
        <v>485</v>
      </c>
      <c r="BQ66" s="1177" t="s">
        <v>476</v>
      </c>
      <c r="BR66" s="119">
        <v>1.0</v>
      </c>
      <c r="BS66" s="126" t="s">
        <v>485</v>
      </c>
      <c r="BT66" s="1177" t="s">
        <v>476</v>
      </c>
      <c r="BU66" s="119">
        <v>1.0</v>
      </c>
      <c r="BV66" s="126" t="s">
        <v>485</v>
      </c>
      <c r="BW66" s="1177" t="s">
        <v>476</v>
      </c>
      <c r="BX66" s="119">
        <v>1.0</v>
      </c>
      <c r="BY66" s="126" t="s">
        <v>485</v>
      </c>
      <c r="BZ66" s="1177" t="s">
        <v>476</v>
      </c>
      <c r="CA66" s="119">
        <v>1.0</v>
      </c>
      <c r="CB66" s="126" t="s">
        <v>485</v>
      </c>
      <c r="CC66" s="1177" t="s">
        <v>476</v>
      </c>
      <c r="CD66" s="119">
        <v>1.0</v>
      </c>
      <c r="CE66" s="126" t="s">
        <v>485</v>
      </c>
      <c r="CF66" s="1177" t="s">
        <v>476</v>
      </c>
      <c r="CG66" s="119">
        <v>1.0</v>
      </c>
      <c r="CH66" s="126" t="s">
        <v>485</v>
      </c>
      <c r="CI66" s="1177" t="s">
        <v>476</v>
      </c>
      <c r="CJ66" s="119">
        <v>1.0</v>
      </c>
      <c r="CK66" s="126" t="s">
        <v>485</v>
      </c>
      <c r="CL66" s="1177" t="s">
        <v>476</v>
      </c>
      <c r="CM66" s="119">
        <v>1.0</v>
      </c>
      <c r="CN66" s="126" t="s">
        <v>485</v>
      </c>
      <c r="CO66" s="1177" t="s">
        <v>476</v>
      </c>
      <c r="CP66" s="119">
        <v>1.0</v>
      </c>
      <c r="CQ66" s="126" t="s">
        <v>485</v>
      </c>
      <c r="CR66" s="1177" t="s">
        <v>476</v>
      </c>
      <c r="CS66" s="119">
        <v>1.0</v>
      </c>
      <c r="CT66" s="126" t="s">
        <v>485</v>
      </c>
      <c r="CU66" s="1177" t="s">
        <v>476</v>
      </c>
      <c r="CV66" s="119">
        <v>1.0</v>
      </c>
      <c r="CW66" s="126" t="s">
        <v>485</v>
      </c>
      <c r="CX66" s="1177" t="s">
        <v>476</v>
      </c>
      <c r="CY66" s="119">
        <v>1.0</v>
      </c>
      <c r="CZ66" s="126" t="s">
        <v>485</v>
      </c>
      <c r="DA66" s="1177" t="s">
        <v>476</v>
      </c>
      <c r="DB66" s="119">
        <v>1.0</v>
      </c>
      <c r="DC66" s="126" t="s">
        <v>485</v>
      </c>
      <c r="DD66" s="1177" t="s">
        <v>476</v>
      </c>
      <c r="DE66" s="119">
        <v>1.0</v>
      </c>
      <c r="DF66" s="126" t="s">
        <v>485</v>
      </c>
      <c r="DG66" s="1177" t="s">
        <v>476</v>
      </c>
      <c r="DH66" s="119">
        <v>1.0</v>
      </c>
      <c r="DI66" s="126" t="s">
        <v>485</v>
      </c>
      <c r="DJ66" s="1177" t="s">
        <v>476</v>
      </c>
      <c r="DK66" s="119">
        <v>1.0</v>
      </c>
      <c r="DL66" s="126" t="s">
        <v>485</v>
      </c>
      <c r="DM66" s="1177" t="s">
        <v>476</v>
      </c>
      <c r="DN66" s="119">
        <v>1.0</v>
      </c>
      <c r="DO66" s="126" t="s">
        <v>485</v>
      </c>
      <c r="DP66" s="1177" t="s">
        <v>476</v>
      </c>
      <c r="DQ66" s="119">
        <v>1.0</v>
      </c>
      <c r="DR66" s="153" t="s">
        <v>708</v>
      </c>
      <c r="DS66" s="111"/>
      <c r="DT66" s="111"/>
      <c r="DU66" s="111"/>
    </row>
    <row r="67" ht="15.0" customHeight="1" outlineLevel="1">
      <c r="A67" s="60">
        <v>107.0</v>
      </c>
      <c r="B67" s="747" t="s">
        <v>320</v>
      </c>
      <c r="C67" s="747" t="s">
        <v>320</v>
      </c>
      <c r="D67" s="71" t="s">
        <v>321</v>
      </c>
      <c r="E67" s="1153" t="s">
        <v>317</v>
      </c>
      <c r="F67" s="72">
        <v>1125.0</v>
      </c>
      <c r="G67" s="72" t="s">
        <v>317</v>
      </c>
      <c r="H67" s="139">
        <v>1125.0</v>
      </c>
      <c r="I67" s="126" t="str">
        <f>IFERROR(VLOOKUP(C64:C206,'R22 RELATÓRIO ACC'!B:F,5,FALSE),"NOT PUBLISHED")</f>
        <v>V6</v>
      </c>
      <c r="J67" s="126" t="str">
        <f>IFERROR(VLOOKUP(C64:C206,'R22 RELATÓRIO ACC'!B:P,15,FALSE),"NOT PUBLISHED")</f>
        <v>07/11/2025</v>
      </c>
      <c r="K67" s="746" t="str">
        <f>IFERROR(VLOOKUP(B64:B206,'RELATÓRIO ACC'!B:F,5,FALSE),"NOT PUBLISHED")</f>
        <v>V1</v>
      </c>
      <c r="L67" s="748" t="str">
        <f>IFERROR(VLOOKUP(B64:B206,'RELATÓRIO ACC'!B:P,15,FALSE),"NOT PUBLISHED")</f>
        <v>21/05/2026</v>
      </c>
      <c r="M67" s="746" t="s">
        <v>507</v>
      </c>
      <c r="N67" s="756" t="s">
        <v>594</v>
      </c>
      <c r="O67" s="740" t="s">
        <v>482</v>
      </c>
      <c r="P67" s="126"/>
      <c r="Q67" s="755" t="s">
        <v>484</v>
      </c>
      <c r="R67" s="766" t="s">
        <v>476</v>
      </c>
      <c r="S67" s="1156">
        <v>1.0</v>
      </c>
      <c r="T67" s="746" t="s">
        <v>485</v>
      </c>
      <c r="U67" s="766" t="s">
        <v>476</v>
      </c>
      <c r="V67" s="1156">
        <v>1.0</v>
      </c>
      <c r="W67" s="746" t="s">
        <v>485</v>
      </c>
      <c r="X67" s="766" t="s">
        <v>476</v>
      </c>
      <c r="Y67" s="1156">
        <v>1.0</v>
      </c>
      <c r="Z67" s="746" t="s">
        <v>485</v>
      </c>
      <c r="AA67" s="766" t="s">
        <v>476</v>
      </c>
      <c r="AB67" s="1156">
        <v>1.0</v>
      </c>
      <c r="AC67" s="126" t="s">
        <v>485</v>
      </c>
      <c r="AD67" s="853" t="s">
        <v>476</v>
      </c>
      <c r="AE67" s="1187">
        <v>1.0</v>
      </c>
      <c r="AF67" s="126" t="s">
        <v>485</v>
      </c>
      <c r="AG67" s="853" t="s">
        <v>476</v>
      </c>
      <c r="AH67" s="1187">
        <v>1.0</v>
      </c>
      <c r="AI67" s="126" t="s">
        <v>485</v>
      </c>
      <c r="AJ67" s="853" t="s">
        <v>476</v>
      </c>
      <c r="AK67" s="1187">
        <v>1.0</v>
      </c>
      <c r="AL67" s="126" t="s">
        <v>485</v>
      </c>
      <c r="AM67" s="853" t="s">
        <v>476</v>
      </c>
      <c r="AN67" s="1187">
        <v>1.0</v>
      </c>
      <c r="AO67" s="126" t="s">
        <v>485</v>
      </c>
      <c r="AP67" s="853" t="s">
        <v>476</v>
      </c>
      <c r="AQ67" s="1187">
        <v>1.0</v>
      </c>
      <c r="AR67" s="126" t="s">
        <v>485</v>
      </c>
      <c r="AS67" s="853" t="s">
        <v>476</v>
      </c>
      <c r="AT67" s="1187">
        <v>1.0</v>
      </c>
      <c r="AU67" s="126" t="s">
        <v>485</v>
      </c>
      <c r="AV67" s="853" t="s">
        <v>476</v>
      </c>
      <c r="AW67" s="1187">
        <v>1.0</v>
      </c>
      <c r="AX67" s="126" t="s">
        <v>485</v>
      </c>
      <c r="AY67" s="853" t="s">
        <v>476</v>
      </c>
      <c r="AZ67" s="1187">
        <v>1.0</v>
      </c>
      <c r="BA67" s="126" t="s">
        <v>485</v>
      </c>
      <c r="BB67" s="853" t="s">
        <v>476</v>
      </c>
      <c r="BC67" s="1187">
        <v>1.0</v>
      </c>
      <c r="BD67" s="126" t="s">
        <v>485</v>
      </c>
      <c r="BE67" s="853" t="s">
        <v>476</v>
      </c>
      <c r="BF67" s="1187">
        <v>1.0</v>
      </c>
      <c r="BG67" s="126" t="s">
        <v>485</v>
      </c>
      <c r="BH67" s="853" t="s">
        <v>476</v>
      </c>
      <c r="BI67" s="1187">
        <v>1.0</v>
      </c>
      <c r="BJ67" s="126" t="s">
        <v>485</v>
      </c>
      <c r="BK67" s="853" t="s">
        <v>476</v>
      </c>
      <c r="BL67" s="1187">
        <v>1.0</v>
      </c>
      <c r="BM67" s="126" t="s">
        <v>485</v>
      </c>
      <c r="BN67" s="853" t="s">
        <v>476</v>
      </c>
      <c r="BO67" s="1187">
        <v>1.0</v>
      </c>
      <c r="BP67" s="126" t="s">
        <v>485</v>
      </c>
      <c r="BQ67" s="853" t="s">
        <v>476</v>
      </c>
      <c r="BR67" s="1187">
        <v>1.0</v>
      </c>
      <c r="BS67" s="126" t="s">
        <v>485</v>
      </c>
      <c r="BT67" s="853" t="s">
        <v>476</v>
      </c>
      <c r="BU67" s="1187">
        <v>1.0</v>
      </c>
      <c r="BV67" s="126" t="s">
        <v>485</v>
      </c>
      <c r="BW67" s="853" t="s">
        <v>476</v>
      </c>
      <c r="BX67" s="1187">
        <v>1.0</v>
      </c>
      <c r="BY67" s="126" t="s">
        <v>485</v>
      </c>
      <c r="BZ67" s="853" t="s">
        <v>476</v>
      </c>
      <c r="CA67" s="1187">
        <v>1.0</v>
      </c>
      <c r="CB67" s="126" t="s">
        <v>485</v>
      </c>
      <c r="CC67" s="853" t="s">
        <v>476</v>
      </c>
      <c r="CD67" s="1187">
        <v>1.0</v>
      </c>
      <c r="CE67" s="126" t="s">
        <v>485</v>
      </c>
      <c r="CF67" s="853" t="s">
        <v>476</v>
      </c>
      <c r="CG67" s="1187">
        <v>1.0</v>
      </c>
      <c r="CH67" s="126" t="s">
        <v>485</v>
      </c>
      <c r="CI67" s="853" t="s">
        <v>476</v>
      </c>
      <c r="CJ67" s="1187">
        <v>1.0</v>
      </c>
      <c r="CK67" s="126" t="s">
        <v>485</v>
      </c>
      <c r="CL67" s="853" t="s">
        <v>476</v>
      </c>
      <c r="CM67" s="1187">
        <v>1.0</v>
      </c>
      <c r="CN67" s="126" t="s">
        <v>485</v>
      </c>
      <c r="CO67" s="853" t="s">
        <v>476</v>
      </c>
      <c r="CP67" s="1187">
        <v>1.0</v>
      </c>
      <c r="CQ67" s="126" t="s">
        <v>485</v>
      </c>
      <c r="CR67" s="853" t="s">
        <v>476</v>
      </c>
      <c r="CS67" s="1187">
        <v>1.0</v>
      </c>
      <c r="CT67" s="126" t="s">
        <v>485</v>
      </c>
      <c r="CU67" s="853" t="s">
        <v>476</v>
      </c>
      <c r="CV67" s="1187">
        <v>1.0</v>
      </c>
      <c r="CW67" s="126" t="s">
        <v>485</v>
      </c>
      <c r="CX67" s="853" t="s">
        <v>476</v>
      </c>
      <c r="CY67" s="1187">
        <v>1.0</v>
      </c>
      <c r="CZ67" s="126" t="s">
        <v>485</v>
      </c>
      <c r="DA67" s="853" t="s">
        <v>476</v>
      </c>
      <c r="DB67" s="1187">
        <v>1.0</v>
      </c>
      <c r="DC67" s="126" t="s">
        <v>485</v>
      </c>
      <c r="DD67" s="853" t="s">
        <v>476</v>
      </c>
      <c r="DE67" s="1187">
        <v>1.0</v>
      </c>
      <c r="DF67" s="126" t="s">
        <v>485</v>
      </c>
      <c r="DG67" s="853" t="s">
        <v>476</v>
      </c>
      <c r="DH67" s="1187">
        <v>1.0</v>
      </c>
      <c r="DI67" s="126" t="s">
        <v>485</v>
      </c>
      <c r="DJ67" s="853" t="s">
        <v>476</v>
      </c>
      <c r="DK67" s="1187">
        <v>1.0</v>
      </c>
      <c r="DL67" s="126" t="s">
        <v>485</v>
      </c>
      <c r="DM67" s="853" t="s">
        <v>476</v>
      </c>
      <c r="DN67" s="1187">
        <v>1.0</v>
      </c>
      <c r="DO67" s="126" t="s">
        <v>485</v>
      </c>
      <c r="DP67" s="853" t="s">
        <v>476</v>
      </c>
      <c r="DQ67" s="1187">
        <v>1.0</v>
      </c>
      <c r="DR67" s="153" t="s">
        <v>129</v>
      </c>
      <c r="DS67" s="111"/>
      <c r="DT67" s="111"/>
      <c r="DU67" s="111"/>
    </row>
    <row r="68" ht="15.0" customHeight="1" outlineLevel="1">
      <c r="A68" s="60">
        <v>72.0</v>
      </c>
      <c r="B68" s="849" t="s">
        <v>241</v>
      </c>
      <c r="C68" s="849" t="s">
        <v>242</v>
      </c>
      <c r="D68" s="71" t="s">
        <v>85</v>
      </c>
      <c r="E68" s="1153" t="s">
        <v>169</v>
      </c>
      <c r="F68" s="72">
        <v>1112.0</v>
      </c>
      <c r="G68" s="72" t="s">
        <v>169</v>
      </c>
      <c r="H68" s="139">
        <v>1112.0</v>
      </c>
      <c r="I68" s="126" t="str">
        <f>IFERROR(VLOOKUP(C65:C207,'R22 RELATÓRIO ACC'!B:F,5,FALSE),"NOT PUBLISHED")</f>
        <v>V17</v>
      </c>
      <c r="J68" s="126" t="str">
        <f>IFERROR(VLOOKUP(C65:C207,'R22 RELATÓRIO ACC'!B:P,15,FALSE),"NOT PUBLISHED")</f>
        <v>14/05/2026</v>
      </c>
      <c r="K68" s="746" t="str">
        <f>IFERROR(VLOOKUP(B65:B207,'RELATÓRIO ACC'!B:F,5,FALSE),"NOT PUBLISHED")</f>
        <v>V4</v>
      </c>
      <c r="L68" s="748" t="str">
        <f>IFERROR(VLOOKUP(B65:B207,'RELATÓRIO ACC'!B:P,15,FALSE),"NOT PUBLISHED")</f>
        <v>25/06/2026</v>
      </c>
      <c r="M68" s="746" t="s">
        <v>470</v>
      </c>
      <c r="N68" s="1188">
        <v>46106.0</v>
      </c>
      <c r="O68" s="740" t="s">
        <v>472</v>
      </c>
      <c r="P68" s="126" t="s">
        <v>473</v>
      </c>
      <c r="Q68" s="746" t="s">
        <v>477</v>
      </c>
      <c r="R68" s="759" t="s">
        <v>476</v>
      </c>
      <c r="S68" s="1183">
        <v>0.67</v>
      </c>
      <c r="T68" s="755" t="s">
        <v>478</v>
      </c>
      <c r="U68" s="759" t="s">
        <v>476</v>
      </c>
      <c r="V68" s="1157" t="s">
        <v>478</v>
      </c>
      <c r="W68" s="755" t="s">
        <v>478</v>
      </c>
      <c r="X68" s="759" t="s">
        <v>476</v>
      </c>
      <c r="Y68" s="1157" t="s">
        <v>478</v>
      </c>
      <c r="Z68" s="755" t="s">
        <v>478</v>
      </c>
      <c r="AA68" s="759" t="s">
        <v>476</v>
      </c>
      <c r="AB68" s="1157" t="s">
        <v>478</v>
      </c>
      <c r="AC68" s="153" t="s">
        <v>478</v>
      </c>
      <c r="AD68" s="1177" t="s">
        <v>476</v>
      </c>
      <c r="AE68" s="153" t="s">
        <v>478</v>
      </c>
      <c r="AF68" s="153" t="s">
        <v>478</v>
      </c>
      <c r="AG68" s="1177" t="s">
        <v>476</v>
      </c>
      <c r="AH68" s="153" t="s">
        <v>478</v>
      </c>
      <c r="AI68" s="153" t="s">
        <v>474</v>
      </c>
      <c r="AJ68" s="1177" t="s">
        <v>476</v>
      </c>
      <c r="AK68" s="153" t="s">
        <v>474</v>
      </c>
      <c r="AL68" s="1184" t="s">
        <v>475</v>
      </c>
      <c r="AM68" s="1177" t="s">
        <v>476</v>
      </c>
      <c r="AN68" s="1184" t="s">
        <v>475</v>
      </c>
      <c r="AO68" s="153" t="s">
        <v>474</v>
      </c>
      <c r="AP68" s="1177" t="s">
        <v>476</v>
      </c>
      <c r="AQ68" s="153" t="s">
        <v>474</v>
      </c>
      <c r="AR68" s="1184" t="s">
        <v>475</v>
      </c>
      <c r="AS68" s="1177" t="s">
        <v>476</v>
      </c>
      <c r="AT68" s="1184" t="s">
        <v>475</v>
      </c>
      <c r="AU68" s="153" t="s">
        <v>477</v>
      </c>
      <c r="AV68" s="1177" t="s">
        <v>476</v>
      </c>
      <c r="AW68" s="119">
        <v>0.83</v>
      </c>
      <c r="AX68" s="153" t="s">
        <v>478</v>
      </c>
      <c r="AY68" s="1177" t="s">
        <v>476</v>
      </c>
      <c r="AZ68" s="153" t="s">
        <v>478</v>
      </c>
      <c r="BA68" s="153" t="s">
        <v>475</v>
      </c>
      <c r="BB68" s="1177" t="s">
        <v>476</v>
      </c>
      <c r="BC68" s="153" t="s">
        <v>475</v>
      </c>
      <c r="BD68" s="153" t="s">
        <v>474</v>
      </c>
      <c r="BE68" s="1177" t="s">
        <v>476</v>
      </c>
      <c r="BF68" s="153" t="s">
        <v>474</v>
      </c>
      <c r="BG68" s="153" t="s">
        <v>474</v>
      </c>
      <c r="BH68" s="1177" t="s">
        <v>476</v>
      </c>
      <c r="BI68" s="153" t="s">
        <v>474</v>
      </c>
      <c r="BJ68" s="153" t="s">
        <v>474</v>
      </c>
      <c r="BK68" s="1177" t="s">
        <v>476</v>
      </c>
      <c r="BL68" s="153" t="s">
        <v>474</v>
      </c>
      <c r="BM68" s="153" t="s">
        <v>474</v>
      </c>
      <c r="BN68" s="1177" t="s">
        <v>476</v>
      </c>
      <c r="BO68" s="153" t="s">
        <v>474</v>
      </c>
      <c r="BP68" s="153" t="s">
        <v>477</v>
      </c>
      <c r="BQ68" s="1177" t="s">
        <v>476</v>
      </c>
      <c r="BR68" s="119">
        <v>0.8</v>
      </c>
      <c r="BS68" s="153" t="s">
        <v>474</v>
      </c>
      <c r="BT68" s="1177" t="s">
        <v>476</v>
      </c>
      <c r="BU68" s="153" t="s">
        <v>474</v>
      </c>
      <c r="BV68" s="153" t="s">
        <v>477</v>
      </c>
      <c r="BW68" s="1177" t="s">
        <v>476</v>
      </c>
      <c r="BX68" s="119">
        <v>0.95</v>
      </c>
      <c r="BY68" s="153" t="s">
        <v>478</v>
      </c>
      <c r="BZ68" s="1177" t="s">
        <v>476</v>
      </c>
      <c r="CA68" s="153" t="s">
        <v>478</v>
      </c>
      <c r="CB68" s="153" t="s">
        <v>474</v>
      </c>
      <c r="CC68" s="1177" t="s">
        <v>476</v>
      </c>
      <c r="CD68" s="153" t="s">
        <v>474</v>
      </c>
      <c r="CE68" s="153" t="s">
        <v>474</v>
      </c>
      <c r="CF68" s="1177" t="s">
        <v>476</v>
      </c>
      <c r="CG68" s="153" t="s">
        <v>474</v>
      </c>
      <c r="CH68" s="153" t="s">
        <v>474</v>
      </c>
      <c r="CI68" s="1177" t="s">
        <v>476</v>
      </c>
      <c r="CJ68" s="153" t="s">
        <v>474</v>
      </c>
      <c r="CK68" s="153" t="s">
        <v>474</v>
      </c>
      <c r="CL68" s="1177"/>
      <c r="CM68" s="153" t="s">
        <v>474</v>
      </c>
      <c r="CN68" s="153" t="s">
        <v>474</v>
      </c>
      <c r="CO68" s="1177"/>
      <c r="CP68" s="153" t="s">
        <v>474</v>
      </c>
      <c r="CQ68" s="153" t="s">
        <v>474</v>
      </c>
      <c r="CR68" s="1177"/>
      <c r="CS68" s="153" t="s">
        <v>474</v>
      </c>
      <c r="CT68" s="153" t="s">
        <v>484</v>
      </c>
      <c r="CU68" s="1177"/>
      <c r="CV68" s="1187">
        <v>1.0</v>
      </c>
      <c r="CW68" s="126" t="s">
        <v>485</v>
      </c>
      <c r="CX68" s="1177"/>
      <c r="CY68" s="1187">
        <v>1.0</v>
      </c>
      <c r="CZ68" s="126" t="s">
        <v>485</v>
      </c>
      <c r="DA68" s="1177"/>
      <c r="DB68" s="1187">
        <v>1.0</v>
      </c>
      <c r="DC68" s="126" t="s">
        <v>485</v>
      </c>
      <c r="DD68" s="1177"/>
      <c r="DE68" s="1187">
        <v>1.0</v>
      </c>
      <c r="DF68" s="126" t="s">
        <v>485</v>
      </c>
      <c r="DG68" s="1177"/>
      <c r="DH68" s="1187">
        <v>1.0</v>
      </c>
      <c r="DI68" s="126" t="s">
        <v>485</v>
      </c>
      <c r="DJ68" s="1177"/>
      <c r="DK68" s="1187">
        <v>1.0</v>
      </c>
      <c r="DL68" s="126" t="s">
        <v>485</v>
      </c>
      <c r="DM68" s="1177"/>
      <c r="DN68" s="1187">
        <v>1.0</v>
      </c>
      <c r="DO68" s="126" t="s">
        <v>485</v>
      </c>
      <c r="DP68" s="1177"/>
      <c r="DQ68" s="1187">
        <v>1.0</v>
      </c>
      <c r="DR68" s="126" t="s">
        <v>709</v>
      </c>
      <c r="DS68" s="111"/>
      <c r="DT68" s="111"/>
      <c r="DU68" s="111"/>
    </row>
    <row r="69" ht="498.0" hidden="1" customHeight="1" outlineLevel="1">
      <c r="A69" s="569"/>
      <c r="B69" s="570"/>
      <c r="C69" s="570"/>
      <c r="D69" s="570"/>
      <c r="E69" s="111" t="s">
        <v>710</v>
      </c>
      <c r="F69" s="571"/>
      <c r="G69" s="571"/>
      <c r="H69" s="571"/>
      <c r="I69" s="68"/>
      <c r="J69" s="68"/>
      <c r="K69" s="68" t="s">
        <v>711</v>
      </c>
      <c r="L69" s="572"/>
      <c r="M69" s="68"/>
      <c r="N69" s="573"/>
      <c r="O69" s="573"/>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row>
    <row r="70" ht="52.5" customHeight="1" outlineLevel="1">
      <c r="A70" s="59"/>
      <c r="B70" s="59"/>
      <c r="C70" s="59"/>
      <c r="D70" s="574"/>
      <c r="E70" s="575"/>
      <c r="F70" s="575"/>
      <c r="G70" s="575"/>
      <c r="H70" s="575"/>
      <c r="I70" s="59"/>
      <c r="J70" s="59"/>
      <c r="K70" s="59"/>
      <c r="L70" s="59"/>
      <c r="M70" s="59"/>
      <c r="N70" s="59"/>
      <c r="O70" s="59"/>
      <c r="P70" s="59"/>
      <c r="Q70" s="576"/>
      <c r="R70" s="576"/>
      <c r="S70" s="576"/>
      <c r="T70" s="576"/>
      <c r="U70" s="576"/>
      <c r="V70" s="576"/>
      <c r="W70" s="576"/>
      <c r="X70" s="576"/>
      <c r="Y70" s="576"/>
      <c r="Z70" s="576"/>
      <c r="AA70" s="576"/>
      <c r="AB70" s="576"/>
      <c r="AC70" s="576"/>
      <c r="AD70" s="576"/>
      <c r="AE70" s="576"/>
      <c r="AF70" s="576"/>
      <c r="AG70" s="576"/>
      <c r="AH70" s="576"/>
      <c r="AI70" s="576"/>
      <c r="AJ70" s="576"/>
      <c r="AK70" s="576"/>
      <c r="AL70" s="576"/>
      <c r="AM70" s="576"/>
      <c r="AN70" s="576"/>
      <c r="AO70" s="576"/>
      <c r="AP70" s="576"/>
      <c r="AQ70" s="576"/>
      <c r="AR70" s="576"/>
      <c r="AS70" s="576"/>
      <c r="AT70" s="576"/>
      <c r="AU70" s="576"/>
      <c r="AV70" s="576"/>
      <c r="AW70" s="576"/>
      <c r="AX70" s="576"/>
      <c r="AY70" s="576"/>
      <c r="AZ70" s="576"/>
      <c r="BA70" s="576"/>
      <c r="BB70" s="576"/>
      <c r="BC70" s="576"/>
      <c r="BD70" s="576"/>
      <c r="BE70" s="576"/>
      <c r="BF70" s="576"/>
      <c r="BG70" s="576"/>
      <c r="BH70" s="576"/>
      <c r="BI70" s="576"/>
      <c r="BJ70" s="576"/>
      <c r="BK70" s="576"/>
      <c r="BL70" s="576"/>
      <c r="BM70" s="576"/>
      <c r="BN70" s="576"/>
      <c r="BO70" s="576"/>
      <c r="BP70" s="576"/>
      <c r="BQ70" s="576"/>
      <c r="BR70" s="576"/>
      <c r="BS70" s="576"/>
      <c r="BT70" s="576"/>
      <c r="BU70" s="576"/>
      <c r="BV70" s="576"/>
      <c r="BW70" s="576"/>
      <c r="BX70" s="576"/>
      <c r="BY70" s="576"/>
      <c r="BZ70" s="576"/>
      <c r="CA70" s="576"/>
      <c r="CB70" s="576"/>
      <c r="CC70" s="576"/>
      <c r="CD70" s="576"/>
      <c r="CE70" s="576"/>
      <c r="CF70" s="576"/>
      <c r="CG70" s="576"/>
      <c r="CH70" s="576"/>
      <c r="CI70" s="576"/>
      <c r="CJ70" s="576"/>
      <c r="CK70" s="576"/>
      <c r="CL70" s="576"/>
      <c r="CM70" s="576"/>
      <c r="CN70" s="576"/>
      <c r="CO70" s="576"/>
      <c r="CP70" s="576"/>
      <c r="CQ70" s="576"/>
      <c r="CR70" s="576"/>
      <c r="CS70" s="576"/>
      <c r="CT70" s="576"/>
      <c r="CU70" s="576"/>
      <c r="CV70" s="576"/>
      <c r="CW70" s="576"/>
      <c r="CX70" s="576"/>
      <c r="CY70" s="576"/>
      <c r="CZ70" s="576"/>
      <c r="DA70" s="576"/>
      <c r="DB70" s="576"/>
      <c r="DC70" s="576"/>
      <c r="DD70" s="576"/>
      <c r="DE70" s="576"/>
      <c r="DF70" s="576"/>
      <c r="DG70" s="576"/>
      <c r="DH70" s="576"/>
      <c r="DI70" s="576"/>
      <c r="DJ70" s="576"/>
      <c r="DK70" s="576"/>
      <c r="DL70" s="576"/>
      <c r="DM70" s="576"/>
      <c r="DN70" s="576"/>
      <c r="DO70" s="576"/>
      <c r="DP70" s="576"/>
      <c r="DQ70" s="576"/>
      <c r="DR70" s="576"/>
      <c r="DS70" s="577"/>
      <c r="DT70" s="577"/>
      <c r="DU70" s="577"/>
    </row>
  </sheetData>
  <autoFilter ref="$A$3:$DU$69">
    <filterColumn colId="3">
      <filters>
        <filter val="C12A"/>
        <filter val="DATA"/>
        <filter val="ADMN"/>
        <filter val="COL5"/>
        <filter val="COL4"/>
        <filter val="COL3"/>
        <filter val="COL2"/>
        <filter val="COL1"/>
        <filter val="C345"/>
      </filters>
    </filterColumn>
    <sortState ref="A3:DU69">
      <sortCondition ref="DC3:DC69"/>
      <sortCondition descending="1" ref="M3:M69"/>
      <sortCondition ref="A3:A69"/>
      <sortCondition ref="B3:B69"/>
    </sortState>
  </autoFilter>
  <mergeCells count="3">
    <mergeCell ref="D1:Z1"/>
    <mergeCell ref="AA1:AB1"/>
    <mergeCell ref="Q2:AB2"/>
  </mergeCells>
  <conditionalFormatting sqref="CY63:DQ63">
    <cfRule type="cellIs" dxfId="2" priority="1" operator="between">
      <formula>"0%"</formula>
      <formula>"50%"</formula>
    </cfRule>
  </conditionalFormatting>
  <conditionalFormatting sqref="Q3:Q8 R3:R9 S3:S28 T3:T70 U3:U17 V3:W70 X3:X17 Y3:Y28 Z3:AA70 AB3:AB28 AC3:CG70 CH3:CH61 CI3:CI70 CJ3:CK61 CL3:CL70 CM3:CN61 CO3:CO70 CP3:CQ61 CR3:CR70 CS3:CT61 CU3:CU70 CV3:CW61 CX3:CX70 CY3:CZ61 DA3:DA70 DB3:DC61 DD3:DD70 DE3:DF61 DG3:DG70 DH3:DI61 DJ3:DJ70 DK3:DL61 DM3:DM70 DN3:DO61 DP3:DP70 DQ3:DQ61 DR3 DS3:DU70 DR5:DR70 Q10:Q24 R12:R14 R17 R19:R22 U19:U24 X19:X70 R24 Q26:Q70 R26 U26:U28 R28 R30 S30:S70 U30:U70 Y30:Y70 AB30:AB70 R32 R34 R36 R38 R40 R42:R44 R46 R48 R50 R53 R55 R57 R60:R70 O61 CH63:CH70 CJ63:CK70 CM63:CN70 CP63:CQ70 CS63:CT70 CV63:CW70 CY63:CZ70 DB63:DC70 DE63:DF70 DH63:DI70 DK63:DL70 DN63:DO70 DQ63:DQ70">
    <cfRule type="cellIs" dxfId="0" priority="2" operator="greaterThanOrEqual">
      <formula>"70%"</formula>
    </cfRule>
  </conditionalFormatting>
  <conditionalFormatting sqref="DR1 Q3:Q8 R3:R9 S3:S28 T3:T70 U3:U17 V3:W70 X3:X17 Y3:Y28 Z3:AA70 AB3:AB28 AC3:CG70 CH3:CH61 CI3:CI70 CJ3:CK61 CL3:CL70 CM3:CN61 CO3:CO70 CP3:CQ61 CR3:CR70 CS3:CT61 CU3:CU70 CV3:CW61 CX3:CX70 CY3:CZ61 DA3:DA70 DB3:DC61 DD3:DD70 DE3:DF61 DG3:DG70 DH3:DI61 DJ3:DJ70 DK3:DL61 DM3:DM70 DN3:DO61 DP3:DP70 DQ3:DQ61 DR3 DR5:DR70 DS8:DU8 Q10:Q24 R12:R14 R17 R19:R22 U19:U24 X19:X70 R24 Q26:Q70 R26 U26:U28 R28 R30 S30:S70 U30:U70 Y30:Y70 AB30:AB70 DS31:DU31 R32 R34 R36 R38 R40 R42:R44 DS43:DU43 R46 R48 R50 R53 R55 R57 R60:R70 O61 CH63:CH70 CJ63:CK70 CM63:CN70 CP63:CQ70 CS63:CT70 CV63:CW70 CY63:CZ70 DB63:DC70 DE63:DF70 DH63:DI70 DK63:DL70 DN63:DO70 DQ63:DQ70">
    <cfRule type="cellIs" dxfId="1" priority="3" operator="between">
      <formula>"49%"</formula>
      <formula>"69%"</formula>
    </cfRule>
  </conditionalFormatting>
  <conditionalFormatting sqref="DR1 Q3:Q8 R3:R9 S3:S28 T3:T70 U3:U17 V3:W70 X3:X17 Y3:Y28 Z3:AA70 AB3:AB28 AC3:CG70 CH3:CH61 CI3:CI70 CJ3:CK61 CL3:CL70 CM3:CN61 CO3:CO70 CP3:CQ61 CR3:CR70 CS3:CT61 CU3:CU70 CV3:CW61 CX3:CX70 CY3:CZ61 DA3:DA70 DB3:DC61 DD3:DD70 DE3:DF61 DG3:DG70 DH3:DI61 DJ3:DJ70 DK3:DL61 DM3:DM70 DN3:DO61 DP3:DP70 DQ3:DQ61 DR3 DR5:DR70 DS8:DU8 Q10:Q24 R12:R14 R17 R19:R22 U19:U24 X19:X70 R24 Q26:Q70 R26 U26:U28 R28 R30 S30:S70 U30:U70 Y30:Y70 AB30:AB70 DS31:DU31 R32 R34 R36 R38 R40 R42:R44 DS43:DU43 R46 R48 R50 R53 R55 R57 R60:R70 O61 CH63:CH70 CJ63:CK70 CM63:CN70 CP63:CQ70 CS63:CT70 CV63:CW70 CY63:CZ70 DB63:DC70 DE63:DF70 DH63:DI70 DK63:DL70 DN63:DO70 DQ63:DQ70">
    <cfRule type="cellIs" dxfId="2" priority="4" operator="between">
      <formula>"1%"</formula>
      <formula>"50%"</formula>
    </cfRule>
  </conditionalFormatting>
  <conditionalFormatting sqref="Q3:Q8 R3:R9 S3:S28 T3:T70 U3:U17 V3:W70 X3:X17 Y3:Y28 Z3:AA70 AB3:AB28 AC3:CG70 CH3:CH61 CI3:CI70 CJ3:CK61 CL3:CL70 CM3:CN61 CO3:CO70 CP3:CQ61 CR3:CR70 CS3:CT61 CU3:CU70 CV3:CW61 CX3:CX70 CY3:CZ61 DA3:DA70 DB3:DC61 DD3:DD70 DE3:DF61 DG3:DG70 DH3:DI61 DJ3:DJ70 DK3:DL61 DM3:DM70 DN3:DO61 DP3:DP70 DQ3:DQ61 DR3 DS3:DU70 DR5:DR70 Q10:Q24 R12:R14 R17 R19:R22 U19:U24 X19:X70 R24 Q26:Q70 R26 U26:U28 R28 R30 S30:S70 U30:U70 Y30:Y70 AB30:AB70 R32 R34 R36 R38 R40 R42:R44 R46 R48 R50 R53 R55 R57 R60:R70 CH63:CH70 CJ63:CK70 CM63:CN70 CP63:CQ70 CS63:CT70 CV63:CW70 CY63:CZ70 DB63:DC70 DE63:DF70 DH63:DI70 DK63:DL70 DN63:DO70 DQ63:DQ70">
    <cfRule type="cellIs" dxfId="2" priority="5" operator="between">
      <formula>"1%"</formula>
      <formula>"50%"</formula>
    </cfRule>
  </conditionalFormatting>
  <conditionalFormatting sqref="Q3:Q8 R3:R9 S3:S28 T3:T70 U3:U17 V3:W70 X3:X17 Y3:Y28 Z3:AA70 AB3:AB28 AC3:CG70 CH3:CH61 CI3:CI70 CJ3:CK61 CL3:CL70 CM3:CN61 CO3:CO70 CP3:CQ61 CR3:CR70 CS3:CT61 CU3:CU70 CV3:CW61 CX3:CX70 CY3:CZ61 DA3:DA70 DB3:DC61 DD3:DD70 DE3:DF61 DG3:DG70 DH3:DI61 DJ3:DJ70 DK3:DL61 DM3:DM70 DN3:DO61 DP3:DP70 DQ3:DQ61 DR3 DS3:DU70 DR5:DR70 Q10:Q24 R12:R14 R17 R19:R22 U19:U24 X19:X70 R24 Q26:Q70 R26 U26:U28 R28 R30 S30:S70 U30:U70 Y30:Y70 AB30:AB70 R32 R34 R36 R38 R40 R42:R44 R46 R48 R50 R53 R55 R57 R60:R70 CH63:CH70 CJ63:CK70 CM63:CN70 CP63:CQ70 CS63:CT70 CV63:CW70 CY63:CZ70 DB63:DC70 DE63:DF70 DH63:DI70 DK63:DL70 DN63:DO70 DQ63:DQ70">
    <cfRule type="cellIs" dxfId="1" priority="6" operator="between">
      <formula>"49%"</formula>
      <formula>"69%"</formula>
    </cfRule>
  </conditionalFormatting>
  <conditionalFormatting sqref="I3:M3">
    <cfRule type="cellIs" dxfId="3" priority="7" operator="equal">
      <formula>"VERSION"</formula>
    </cfRule>
  </conditionalFormatting>
  <conditionalFormatting sqref="M4:M69 N7 N9:N10 N12:N13 N16 N19 N22:N23 N40:N41 N43 O58:O68">
    <cfRule type="expression" dxfId="1" priority="8">
      <formula>IFERROR(ARRAYFORMULA(VALUE(MID(K4,2,10))) &gt; VALUE(MID(M4,2,10)), FALSE)</formula>
    </cfRule>
  </conditionalFormatting>
  <conditionalFormatting sqref="I3:K70 L3 M3:M45 L5:L70 N7 N9:N10 N12:N13 N16 N19 N22:N23 N40:N41 N43 M47:M69 O58:O68">
    <cfRule type="beginsWith" dxfId="4" priority="9" operator="beginsWith" text="V">
      <formula>LEFT((I3),LEN("V"))=("V")</formula>
    </cfRule>
  </conditionalFormatting>
  <conditionalFormatting sqref="U4:U16 X4:X16 AA4 R6:R8 AA6:AA8 AG6 AJ6:AJ7 AM6:AM7 AP6:AP7 AS6:AS7 AD7:AD14 AF7 AI7 AK7:AL7 AN7:AO7 AQ7:AR7 AT7:DQ7 AA10:AA14 R12:R14 R19:R20 U19:U20 X19:X20 AA19:AA20 AD19:AD20 U22:U23 X22:X23 AA22:AA23 AD22:AD23 T25 W25 Z25 AC25 U27 X27 AA27:AA28 AD27:AD30 T29 W29 Z29 AC29 U30 AA30 U37 X39 AA39:AA40 AD39:AD40 R43 U43 X43 AA43 AD43 T45:U45 W45 Z45 AC45 AF45 AI45 X50 AA50 AD50 U52 X52 AA52 U54 X54 AA54 U56 X56 AA56 R60:R62 U60:U62 X60:X62 AA60:AA62">
    <cfRule type="timePeriod" dxfId="12" priority="10" timePeriod="today"/>
  </conditionalFormatting>
  <conditionalFormatting sqref="P3:P70 DR9 DR45">
    <cfRule type="cellIs" dxfId="5" priority="11" operator="equal">
      <formula>"YASMIN"</formula>
    </cfRule>
  </conditionalFormatting>
  <conditionalFormatting sqref="P3:P70 DR9 DR45">
    <cfRule type="cellIs" dxfId="6" priority="12" operator="equal">
      <formula>"LETÍCIA"</formula>
    </cfRule>
  </conditionalFormatting>
  <conditionalFormatting sqref="P2:P70 DR9 DR45">
    <cfRule type="cellIs" dxfId="7" priority="13" operator="equal">
      <formula>"CICI"</formula>
    </cfRule>
  </conditionalFormatting>
  <conditionalFormatting sqref="P2:P70 DR9 DR45">
    <cfRule type="cellIs" dxfId="1" priority="14" operator="equal">
      <formula>"AIRTON"</formula>
    </cfRule>
  </conditionalFormatting>
  <conditionalFormatting sqref="P2:P70 DR9 DR45">
    <cfRule type="cellIs" dxfId="8" priority="15" operator="equal">
      <formula>"GUILHERME"</formula>
    </cfRule>
  </conditionalFormatting>
  <conditionalFormatting sqref="P51:P52">
    <cfRule type="cellIs" dxfId="9" priority="16" operator="equal">
      <formula>"JOÃO"</formula>
    </cfRule>
  </conditionalFormatting>
  <conditionalFormatting sqref="M4">
    <cfRule type="notContainsBlanks" dxfId="10" priority="17">
      <formula>LEN(TRIM(M4))&gt;0</formula>
    </cfRule>
  </conditionalFormatting>
  <dataValidations>
    <dataValidation type="list" allowBlank="1" showDropDown="1" showErrorMessage="1" sqref="D5:D21 D23 D25 D27 D29 D31 D33 D35 D37 D39 D41 D43 D45 D47 D49 D51:D52 D54 D58:D69">
      <formula1>"DATA,SITE,GUAR,C345,C12A,PUMP,UTLS,ADMN,COL1,COL2,COL3,COL4,COL5,STIR"</formula1>
    </dataValidation>
    <dataValidation type="list" allowBlank="1" showDropDown="1" showErrorMessage="1" sqref="Q25 T25 V25:W25 Y25:Z25 AC25 AE25:AF25 AH25 T29 V29:W29 Y29:Z29 AB29:AC29 AE29:AF29 AH29 T31 V31:W31 Y31:Z31 AB31:AC31 AE31:AF31 AH31 T33 V33:W33 Y33:Z33 T35 W35 Z35 AB35:AC35 Q37 T37 V37:W37 Z37 AB37:AC37 AF37 Q39 T39 V39:W39 Y39:Z39 T41 W41 Y41:Z41 Q43 T43 V43:W43 Q45 T45 W45 Y45:Z45 AB45:AC45 Q47 T47 V47:W47 Y47:Z47 Q49 T49 V49:W49 Y49:Z49 AC49 AE49:AF49 AC51 AE51:AF51 AH51:AI51 AK51:AL51 Q51:Q52 T51:T52 V51:W52 Y51:Z52 Q54 T54 V54:W54 Q58 T58 V58:W58 Y58:Z58 AC58 AE58:AF58 W60 AB60:AC61 AH61:AI61 AK61 AC62 AE61:AF62 Y60:Z63 AB63:AC63 AF63 AH63 Z64 AE64:AF64 AC64:AC65 AE65 T60:T66 V61:W66 Y65:Z66 Q60:Q68 T68 V68:W68 Y68:Z68 AB68:AC68 AE68:AF68 AH68:AI68 AK68">
      <formula1>"APPROVED,REPROVED,N/A,ANALYSING,OUTDATED MODEL,IMPROPER,NEXT ROUND"</formula1>
    </dataValidation>
    <dataValidation type="list" allowBlank="1" showDropDown="1" showErrorMessage="1" sqref="AL61 AN61 AR61 AT61 AL68 AN68 AR68 AT68">
      <formula1>"APPROVED,REPROVED,N/A,IN ANALYSIS,NOT FOUND,TO BE AUDITED,OUTDATED MODEL,IMPROPER"</formula1>
    </dataValidation>
    <dataValidation type="list" allowBlank="1" showErrorMessage="1" sqref="O5:O21 O23 O25 O27 O29 O31 O33 O35 O37 O39 O41 O43 O45 O47 O49 O51:O52 O54 O58:O68">
      <formula1>"R22,R24,AWAITING APPROVAL,N/A,NOT PUBLISHED"</formula1>
    </dataValidation>
    <dataValidation type="list" allowBlank="1" showDropDown="1" showErrorMessage="1" sqref="AL21">
      <formula1>"APPROVED,REPROVED,N/A,ANALYSING,NOT PUBLISHED,NEXT ROUND,OUTDATED MODEL"</formula1>
    </dataValidation>
    <dataValidation type="list" allowBlank="1" showDropDown="1" showErrorMessage="1" sqref="AL25 AO25 AR25 AU25 AX25 BA25 BD25 BG25 BJ25 BM25 BP25 BS25 BV25 BY25 CB25 CE25 CH25 CK25 CN25 CQ25 CT25 CW25 CZ25 DC25 DF25 DI25 DL25 DO25 T27 W27 Z27 AC27 AF27 AI27 AL27 AO27 AR27 AU27 AX27 BA27 BD27 BG27 BJ27 BM27 BP27 BS27 BV27 BY27 CB27 CE27 CH27 CK27 CN27 CQ27 CT27 CW27 CZ27 DC27 DF27 DI27 DL27 DO27 AL29 AO29 AR29 AU29 AX29 BA29 BD29 BG29 BJ29 BM29 BP29 BS29 BV29 BY29 CB29 CE29 CH29 CK29 CN29 CQ29 CT29 CW29 CZ29 DC29 DF29 DI29 DL29 DO29 AL31 AO31 AR31 AU31 AX31 BA31 BD31 BG31 BJ31 BM31 BP31 BS31 BV31 BY31 CB31 CE31 CH31 CK31 CN31 CQ31 CT31 CW31 CZ31 DC31 DF31 DI31 DL31 DO31 AC33 AF33 AI33 AL33 AO33 AR33 AU33 AX33 BA33 BD33 BG33 BJ33 BM33 BP33 BS33 BV33 BY33 CB33 CE33 CH33 CK33 CN33 CQ33 CT33 CW33 CZ33 DC33 DF33 DI33 DL33 DO33 AF35 AI35 AL35 AO35 AR35 AU35 AX35 BA35 BD35 BG35 BJ35 BM35 BP35 BS35 BV35 BY35 CB35 CE35 CH35 CK35 CN35 CQ35 CT35 CW35 CZ35 DC35 DF35 DI35 DL35 DO35 AI37 AL37 AO37 AR37 AU37 AX37 BA37 BD37 BG37 BJ37 BM37 BP37 BS37 BV37 BY37 CB37 CE37 CH37 CK37 CN37 CQ37 CT37 CW37 CZ37 DC37 DF37 DI37 DL37 DO37 AC39 AF39 AI39 AL39 AO39 AR39 AU39 AX39 BA39 BD39 BG39 BJ39 BM39 BP39 BS39 BV39 BY39 CB39 CE39 CH39 CK39 CN39 CQ39 CT39 CW39 CZ39 DC39 DF39 DI39 DL39 DO39 AC41 AF41 AI41 AL41 AO41 AR41 AU41 AX41 BA41 BD41 BG41 BJ41 BM41 BP41 BS41 BV41 BY41 CB41 CE41 CH41 CK41 CN41 CQ41 CT41 CW41 CZ41 DC41 DF41 DI41 DL41 DO41 Z43 AC43 AF43 AI43 AL43 AO43 AR43 AU43 AX43 BA43 BD43 BG43 BJ43 BM43 BP43 BS43 BV43 BY43 CB43 CE43 CH43 CK43 CN43 CQ43 CT43 CW43 CZ43 DC43 DF43 DI43 DL43 DO43 AF45 AI45 AL45 AO45 AR45 AU45 AX45 BA45 BD45 BG45 BJ45 BM45 BP45 BS45 BV45 BY45 CB45 CE45 CH45 CK45 CN45 CQ45 CT45 CW45 CZ45 DC45 DF45 DI45 DL45 DO45 AC47 AF47 AI47 AL47 AO47 AR47 AU47 AX47 BA47 BD47 BG47 BJ47 BM47 BP47 BS47 BV47 BY47 CB47 CE47 CH47 CK47 CN47 CQ47 CT47 CW47 CZ47 DC47 DF47 DI47 DL47 DO47 AI49 AL49 AO49 AR49 AU49 AX49 BA49 BD49 BG49 BJ49 BM49 BP49 BS49 BV49 BY49 CB49 CE49 CH49 CK49 CN49 CQ49 CT49 CW49 CZ49 DC49 DF49 DI49 DL49 DO49 AC52 AF52 AI52 AL52 AO51:AO52 AR51:AR52 AU51:AU52 AX51:AX52 BA51:BA52 BD51:BD52 BG51:BG52 BJ51:BJ52 BM51:BM52 BP51:BP52 BS51:BS52 BV51:BV52 BY51:BY52 CB51:CB52 CE51:CE52 CH51:CH52 CK51:CK52 CN51:CN52 CQ51:CQ52 CT51:CT52 CW51:CW52 CZ51:CZ52 DC51:DC52 DF51:DF52 DI51:DI52 DL51:DL52 DO51:DO52 Z54 AC54 AF54 AI54 AL54 AO54 AR54 AU54 AX54 BA54 BD54 BG54 BJ54 BM54 BP54 BS54 BV54 BY54 CB54 CE54 CH54 CK54 CN54 CQ54 CT54 CW54 CZ54 DC54 DF54 DI54 DL54 DO54 AI58 AL58 AO58 AR58 AF60 AI60 AL60 AO60 AR60 AU58:AU60 AX58:AX60 BA58:BA60 BD58:BD60 BG58:BG60 BJ58:BJ60 BM58:BM60 BP58:BP60 BS58:BS60 BV58:BV60 AI62 T67 W67 Z67 AC66:AC67 AF66:AF67 AI64:AI67 AL62:AL67 AO62:AO67 AR62:AR67 AU62:AU67 AX62:AX67 BA62:BA67 BD62:BD67 BG62:BG67 BJ62:BJ67 BM62:BM67 BP62:BP67 BS62:BS67 BV62:BV67 BY58:BY67 CB58:CB67 CE58:CE67 CH58:CH67 CK58:CK67 CN58:CN67 CQ58:CQ67 CT58:CT67 CW58:CW68 CZ58:CZ68 DC58:DC68 DF58:DF68 DI58:DI68 DL58:DL68 DO58:DO68">
      <formula1>"APPROVED,REPROVED,N/A,IN ANALYSIS,NOT FOUND,NOT PUBLISHED,TO BE AUDITED,PREVIOUSLY APPROVED"</formula1>
    </dataValidation>
    <dataValidation type="list" allowBlank="1" showDropDown="1" showErrorMessage="1" sqref="T5:T7 W5:W7 Z5:Z7 AC5:AC7 AF5:AF7 AI5:AI7 AL5:AL7 AO5:AO7 AR5:AR7 AU5:AU7 AX5:AX7 BA5:BA7 BD5:BD7 BG5:BG7 BJ5:BJ7 BM5:BM7 BP5:BP7 BS5:BS7 BV5:BV7 BY5:BY7 CB5:CB7 CE5:CE7 CH5:CH7 CK5:CK7 CN5:CN7 CQ5:CQ7 CT5:CT7 CW5:CW7 CZ5:CZ7 DC5:DQ7 S8:T8 V8:W8 Y8:Z8 AB8:AC8 AE8:AF8 AH8:AI8 AK8:AL8 AN8:AO8 AQ8:AR8 AT8:AU8 AW8:AX8 AZ8:BA8 BC8:BD8 BF8:BG8 BI8:BJ8 BL8:BM8 BO8:BP8 BR8:BS8 BU8:BV8 BX8:BY8 CA8:CB8 CD8:CE8 CG8:CH8 CJ8:CK8 CM8:CN8 CP8:CQ8 CS8:CT8 CV8:CW8 CY8:CZ8 DB8:DQ8 T9:T12 W9:W12 Z9:Z12 AC9:AC12 AF9:AF12 AI9:AI12 AL9:AL12 AO9:AO12 AR9:AR12 AU9:AU12 AX9:AX12 BA9:BA12 BD9:BD12 BG9:BG12 BJ9:BJ12 BM9:BM12 BP9:BP12 BS9:BS12 BV9:BV12 BY9:BY12 CB9:CB12 CE9:CE12 CH9:CH12 CK9:CK12 CN9:CN12 CQ9:CQ12 CT9:CT12 CW9:CW12 CZ9:CZ12 DC9:DQ12 AK13:AL20 AN13:AO20 BU13:BV20 Q5:Q21 S13:T21 V13:W21 Y13:Z21 AB13:AC21 AE13:AF21 AH13:AI21 AK21 AO21 AQ13:AR21 AT13:AU21 AW13:AX21 AZ13:BA21 BC13:BD21 BF13:BG21 BI13:BJ21 BL13:BM21 BO13:BP21 BR13:BS21 BV21 BX13:BY21 CA13:CB21 CD13:CE21 CG13:CH21 CJ13:CK21 CM13:CN21 CP13:CQ21 CS13:CT21 CV13:CW21 CY13:CZ21 DB13:DC21 DE13:DF21 DH13:DI21 DK13:DL21 DN13:DO21 DQ13:DQ21 Q23 S23:T23 V23:W23 Y23:Z23 AB23:AC23 AE23:AF23 AH23:AI23 AK23:AL23 AN23:AO23 AQ23:AR23 AT23:AU23 AW23:AX23 AZ23:BA23 BC23:BD23 BF23:BG23 BI23:BJ23 BL23:BM23 BO23:BP23 BR23:BS23 BU23:BV23 BX23:BY23 CA23:CB23 CD23:CE23 CG23:CH23 CJ23:CK23 CM23:CN23 CQ23 CT23 CW23 CZ23 DC23 DE23:DF23 DI23 DK23:DL23 DN23:DO23 DQ23 AI25 Q27 Q29 AI29 Q31 AI31 Q33 Q35 Q41 Q59 S59:T59 V59:W59 Y59:Z59 AB59:AC59 AE59:AF59 AI59 AK59:AL59 AN59:AO59 AQ59:AR59 AO61 AQ61 AU61 AX61 AZ61:BA61 BC61:BD61 BF61:BG61 BI61:BJ61 BM61 BO61:BP61 BR61:BS61 BV61 AI63 AO68 AQ68 AU68 AX68 AZ68:BA68 BC68:BD68 BF68:BG68 BI68:BJ68 BL68:BM68 BO68:BP68 BS68 BU68:BV68 BY68 CA68:CB68 CD68:CE68 CG68:CH68 CJ68:CK68 CM68:CN68 CP68:CQ68 CS68:CT68">
      <formula1>"APPROVED,REPROVED,N/A,ANALYSING,NOT PUBLISHED,OUTDATED MODEL,NEXT ROUND,IMPROPER"</formula1>
    </dataValidation>
    <dataValidation type="list" allowBlank="1" showDropDown="1" showErrorMessage="1" sqref="AF65">
      <formula1>"APPROVED,REPROVED,N/A,ANALYSING,NOT FOUND,OUTDATED MODEL,NEXT ROUND"</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Row="1"/>
  <cols>
    <col customWidth="1" hidden="1" min="1" max="1" width="5.88"/>
    <col customWidth="1" min="2" max="3" width="33.88"/>
    <col customWidth="1" min="4" max="4" width="10.88"/>
    <col customWidth="1" min="5" max="5" width="19.75"/>
    <col customWidth="1" min="6" max="6" width="10.75"/>
    <col customWidth="1" min="7" max="7" width="18.63"/>
    <col customWidth="1" hidden="1" min="8" max="8" width="9.38"/>
    <col customWidth="1" min="9" max="11" width="20.38"/>
    <col customWidth="1" min="12" max="12" width="18.75"/>
    <col customWidth="1" min="13" max="13" width="15.88"/>
    <col customWidth="1" min="14" max="15" width="15.25"/>
    <col customWidth="1" min="16" max="63" width="16.75"/>
    <col customWidth="1" min="64" max="64" width="21.88"/>
    <col customWidth="1" min="65" max="65" width="153.13"/>
    <col customWidth="1" min="66" max="66" width="16.25"/>
    <col customWidth="1" min="67" max="67" width="51.75"/>
  </cols>
  <sheetData>
    <row r="1" ht="111.0" customHeight="1">
      <c r="A1" s="1"/>
      <c r="B1" s="677"/>
      <c r="C1" s="678"/>
      <c r="D1" s="680" t="s">
        <v>712</v>
      </c>
      <c r="E1" s="681"/>
      <c r="F1" s="681"/>
      <c r="G1" s="681"/>
      <c r="H1" s="681"/>
      <c r="I1" s="681"/>
      <c r="J1" s="681"/>
      <c r="K1" s="681"/>
      <c r="L1" s="681"/>
      <c r="M1" s="681"/>
      <c r="N1" s="681"/>
      <c r="O1" s="681"/>
      <c r="P1" s="681"/>
      <c r="Q1" s="681"/>
      <c r="R1" s="681"/>
      <c r="BL1" s="679"/>
      <c r="BM1" s="8"/>
      <c r="BN1" s="8"/>
      <c r="BO1" s="8"/>
    </row>
    <row r="2">
      <c r="A2" s="9"/>
      <c r="B2" s="683"/>
      <c r="C2" s="684"/>
      <c r="D2" s="684"/>
      <c r="E2" s="684"/>
      <c r="F2" s="685"/>
      <c r="G2" s="684"/>
      <c r="H2" s="685"/>
      <c r="I2" s="686"/>
      <c r="J2" s="686"/>
      <c r="K2" s="686"/>
      <c r="L2" s="684"/>
      <c r="M2" s="687"/>
      <c r="N2" s="684"/>
      <c r="O2" s="684"/>
      <c r="P2" s="996" t="s">
        <v>6</v>
      </c>
      <c r="Q2" s="681"/>
      <c r="R2" s="681"/>
      <c r="S2" s="681"/>
      <c r="T2" s="681"/>
      <c r="U2" s="681"/>
      <c r="V2" s="681"/>
      <c r="W2" s="681"/>
      <c r="X2" s="681"/>
      <c r="Y2" s="1189"/>
      <c r="Z2" s="1189"/>
      <c r="AA2" s="1189"/>
      <c r="AB2" s="1189"/>
      <c r="AC2" s="1189"/>
      <c r="AD2" s="1189"/>
      <c r="AE2" s="1189"/>
      <c r="AF2" s="1189"/>
      <c r="AG2" s="1189"/>
      <c r="AH2" s="1189"/>
      <c r="AI2" s="1189"/>
      <c r="AJ2" s="1189"/>
      <c r="AK2" s="1189"/>
      <c r="AL2" s="1189"/>
      <c r="AM2" s="1189"/>
      <c r="AN2" s="1189"/>
      <c r="AO2" s="1189"/>
      <c r="AP2" s="1189"/>
      <c r="AQ2" s="1189"/>
      <c r="AR2" s="1189"/>
      <c r="AS2" s="1189"/>
      <c r="AT2" s="1189"/>
      <c r="AU2" s="1189"/>
      <c r="AV2" s="1189"/>
      <c r="AW2" s="1189"/>
      <c r="AX2" s="1189"/>
      <c r="AY2" s="1189"/>
      <c r="AZ2" s="1189"/>
      <c r="BA2" s="1189"/>
      <c r="BB2" s="1189"/>
      <c r="BC2" s="1189"/>
      <c r="BD2" s="1189"/>
      <c r="BE2" s="1189"/>
      <c r="BF2" s="1189"/>
      <c r="BG2" s="1189"/>
      <c r="BH2" s="1189"/>
      <c r="BI2" s="1189"/>
      <c r="BJ2" s="1189"/>
      <c r="BK2" s="1189"/>
      <c r="BL2" s="1161"/>
      <c r="BM2" s="8"/>
      <c r="BN2" s="8"/>
      <c r="BO2" s="8"/>
    </row>
    <row r="3" ht="54.0" customHeight="1">
      <c r="A3" s="19"/>
      <c r="B3" s="694" t="s">
        <v>9</v>
      </c>
      <c r="C3" s="695" t="s">
        <v>10</v>
      </c>
      <c r="D3" s="696" t="s">
        <v>11</v>
      </c>
      <c r="E3" s="697" t="s">
        <v>12</v>
      </c>
      <c r="F3" s="698" t="s">
        <v>13</v>
      </c>
      <c r="G3" s="697" t="s">
        <v>14</v>
      </c>
      <c r="H3" s="699" t="s">
        <v>13</v>
      </c>
      <c r="I3" s="700" t="s">
        <v>338</v>
      </c>
      <c r="J3" s="700" t="s">
        <v>16</v>
      </c>
      <c r="K3" s="701" t="s">
        <v>339</v>
      </c>
      <c r="L3" s="701" t="s">
        <v>18</v>
      </c>
      <c r="M3" s="702" t="s">
        <v>340</v>
      </c>
      <c r="N3" s="703" t="s">
        <v>341</v>
      </c>
      <c r="O3" s="997" t="s">
        <v>24</v>
      </c>
      <c r="P3" s="706" t="s">
        <v>602</v>
      </c>
      <c r="Q3" s="707" t="s">
        <v>603</v>
      </c>
      <c r="R3" s="708" t="s">
        <v>604</v>
      </c>
      <c r="S3" s="706" t="s">
        <v>605</v>
      </c>
      <c r="T3" s="707" t="s">
        <v>606</v>
      </c>
      <c r="U3" s="708" t="s">
        <v>607</v>
      </c>
      <c r="V3" s="706" t="s">
        <v>608</v>
      </c>
      <c r="W3" s="707" t="s">
        <v>609</v>
      </c>
      <c r="X3" s="708" t="s">
        <v>610</v>
      </c>
      <c r="Y3" s="998" t="s">
        <v>611</v>
      </c>
      <c r="Z3" s="999" t="s">
        <v>612</v>
      </c>
      <c r="AA3" s="1000" t="s">
        <v>613</v>
      </c>
      <c r="AB3" s="998" t="s">
        <v>614</v>
      </c>
      <c r="AC3" s="999" t="s">
        <v>615</v>
      </c>
      <c r="AD3" s="1000" t="s">
        <v>616</v>
      </c>
      <c r="AE3" s="998" t="s">
        <v>617</v>
      </c>
      <c r="AF3" s="999" t="s">
        <v>618</v>
      </c>
      <c r="AG3" s="1000" t="s">
        <v>619</v>
      </c>
      <c r="AH3" s="998" t="s">
        <v>620</v>
      </c>
      <c r="AI3" s="999" t="s">
        <v>621</v>
      </c>
      <c r="AJ3" s="1000" t="s">
        <v>622</v>
      </c>
      <c r="AK3" s="998" t="s">
        <v>623</v>
      </c>
      <c r="AL3" s="999" t="s">
        <v>624</v>
      </c>
      <c r="AM3" s="1000" t="s">
        <v>625</v>
      </c>
      <c r="AN3" s="998" t="s">
        <v>626</v>
      </c>
      <c r="AO3" s="999" t="s">
        <v>627</v>
      </c>
      <c r="AP3" s="1000" t="s">
        <v>628</v>
      </c>
      <c r="AQ3" s="998" t="s">
        <v>629</v>
      </c>
      <c r="AR3" s="999" t="s">
        <v>630</v>
      </c>
      <c r="AS3" s="1000" t="s">
        <v>631</v>
      </c>
      <c r="AT3" s="998" t="s">
        <v>632</v>
      </c>
      <c r="AU3" s="999" t="s">
        <v>633</v>
      </c>
      <c r="AV3" s="1000" t="s">
        <v>634</v>
      </c>
      <c r="AW3" s="998" t="s">
        <v>635</v>
      </c>
      <c r="AX3" s="999" t="s">
        <v>636</v>
      </c>
      <c r="AY3" s="1000" t="s">
        <v>637</v>
      </c>
      <c r="AZ3" s="998" t="s">
        <v>638</v>
      </c>
      <c r="BA3" s="999" t="s">
        <v>639</v>
      </c>
      <c r="BB3" s="1000" t="s">
        <v>640</v>
      </c>
      <c r="BC3" s="998" t="s">
        <v>641</v>
      </c>
      <c r="BD3" s="999" t="s">
        <v>642</v>
      </c>
      <c r="BE3" s="1000" t="s">
        <v>643</v>
      </c>
      <c r="BF3" s="998" t="s">
        <v>644</v>
      </c>
      <c r="BG3" s="999" t="s">
        <v>645</v>
      </c>
      <c r="BH3" s="1000" t="s">
        <v>646</v>
      </c>
      <c r="BI3" s="998" t="s">
        <v>647</v>
      </c>
      <c r="BJ3" s="999" t="s">
        <v>648</v>
      </c>
      <c r="BK3" s="1000" t="s">
        <v>649</v>
      </c>
      <c r="BL3" s="1164" t="s">
        <v>713</v>
      </c>
      <c r="BM3" s="59"/>
      <c r="BN3" s="59"/>
      <c r="BO3" s="59"/>
    </row>
    <row r="4" hidden="1">
      <c r="A4" s="60">
        <v>1.0</v>
      </c>
      <c r="B4" s="1021" t="s">
        <v>82</v>
      </c>
      <c r="C4" s="1022"/>
      <c r="D4" s="1023"/>
      <c r="E4" s="1024"/>
      <c r="F4" s="1023"/>
      <c r="G4" s="1023"/>
      <c r="H4" s="63"/>
      <c r="I4" s="63"/>
      <c r="J4" s="63"/>
      <c r="K4" s="1025"/>
      <c r="L4" s="1023"/>
      <c r="M4" s="798"/>
      <c r="N4" s="796"/>
      <c r="O4" s="808"/>
      <c r="P4" s="63"/>
      <c r="Q4" s="63"/>
      <c r="R4" s="1028"/>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1023"/>
      <c r="BM4" s="68"/>
      <c r="BN4" s="68"/>
      <c r="BO4" s="68"/>
    </row>
    <row r="5" ht="16.5" hidden="1" customHeight="1" outlineLevel="1">
      <c r="A5" s="60">
        <v>50.0</v>
      </c>
      <c r="B5" s="809" t="s">
        <v>201</v>
      </c>
      <c r="C5" s="810"/>
      <c r="D5" s="191"/>
      <c r="E5" s="811"/>
      <c r="F5" s="191"/>
      <c r="G5" s="190"/>
      <c r="H5" s="190"/>
      <c r="I5" s="189"/>
      <c r="J5" s="189"/>
      <c r="K5" s="813"/>
      <c r="L5" s="812"/>
      <c r="M5" s="811"/>
      <c r="N5" s="190"/>
      <c r="O5" s="189"/>
      <c r="P5" s="813"/>
      <c r="Q5" s="191"/>
      <c r="R5" s="1171"/>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89"/>
      <c r="BD5" s="189"/>
      <c r="BE5" s="189"/>
      <c r="BF5" s="189"/>
      <c r="BG5" s="189"/>
      <c r="BH5" s="189"/>
      <c r="BI5" s="189"/>
      <c r="BJ5" s="189"/>
      <c r="BK5" s="189"/>
      <c r="BL5" s="126"/>
      <c r="BM5" s="215"/>
      <c r="BN5" s="215"/>
      <c r="BO5" s="215"/>
    </row>
    <row r="6" hidden="1" outlineLevel="1">
      <c r="A6" s="60">
        <v>47.0</v>
      </c>
      <c r="B6" s="960" t="s">
        <v>195</v>
      </c>
      <c r="C6" s="961"/>
      <c r="D6" s="218"/>
      <c r="E6" s="817"/>
      <c r="F6" s="218"/>
      <c r="G6" s="217"/>
      <c r="H6" s="217"/>
      <c r="I6" s="216"/>
      <c r="J6" s="216"/>
      <c r="K6" s="820"/>
      <c r="L6" s="818"/>
      <c r="M6" s="817"/>
      <c r="N6" s="217"/>
      <c r="O6" s="216"/>
      <c r="P6" s="1076"/>
      <c r="Q6" s="821"/>
      <c r="R6" s="1190"/>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6"/>
      <c r="AV6" s="236"/>
      <c r="AW6" s="236"/>
      <c r="AX6" s="236"/>
      <c r="AY6" s="236"/>
      <c r="AZ6" s="236"/>
      <c r="BA6" s="236"/>
      <c r="BB6" s="236"/>
      <c r="BC6" s="236"/>
      <c r="BD6" s="236"/>
      <c r="BE6" s="236"/>
      <c r="BF6" s="236"/>
      <c r="BG6" s="236"/>
      <c r="BH6" s="236"/>
      <c r="BI6" s="236"/>
      <c r="BJ6" s="236"/>
      <c r="BK6" s="236"/>
      <c r="BL6" s="1191"/>
      <c r="BM6" s="215"/>
      <c r="BN6" s="215"/>
      <c r="BO6" s="215"/>
    </row>
    <row r="7" ht="15.0" hidden="1" customHeight="1" outlineLevel="1">
      <c r="A7" s="60">
        <v>86.0</v>
      </c>
      <c r="B7" s="830" t="s">
        <v>270</v>
      </c>
      <c r="C7" s="831"/>
      <c r="D7" s="466"/>
      <c r="E7" s="832"/>
      <c r="F7" s="466"/>
      <c r="G7" s="465"/>
      <c r="H7" s="465"/>
      <c r="I7" s="464"/>
      <c r="J7" s="464"/>
      <c r="K7" s="835"/>
      <c r="L7" s="833"/>
      <c r="M7" s="832"/>
      <c r="N7" s="465"/>
      <c r="O7" s="464"/>
      <c r="P7" s="838"/>
      <c r="Q7" s="836"/>
      <c r="R7" s="838"/>
      <c r="S7" s="485"/>
      <c r="T7" s="485"/>
      <c r="U7" s="485"/>
      <c r="V7" s="485"/>
      <c r="W7" s="485"/>
      <c r="X7" s="485"/>
      <c r="Y7" s="485"/>
      <c r="Z7" s="485"/>
      <c r="AA7" s="485"/>
      <c r="AB7" s="485"/>
      <c r="AC7" s="485"/>
      <c r="AD7" s="485"/>
      <c r="AE7" s="485"/>
      <c r="AF7" s="485"/>
      <c r="AG7" s="485"/>
      <c r="AH7" s="485"/>
      <c r="AI7" s="485"/>
      <c r="AJ7" s="485"/>
      <c r="AK7" s="485"/>
      <c r="AL7" s="485"/>
      <c r="AM7" s="485"/>
      <c r="AN7" s="485"/>
      <c r="AO7" s="485"/>
      <c r="AP7" s="485"/>
      <c r="AQ7" s="485"/>
      <c r="AR7" s="485"/>
      <c r="AS7" s="485"/>
      <c r="AT7" s="485"/>
      <c r="AU7" s="485"/>
      <c r="AV7" s="485"/>
      <c r="AW7" s="485"/>
      <c r="AX7" s="485"/>
      <c r="AY7" s="485"/>
      <c r="AZ7" s="485"/>
      <c r="BA7" s="485"/>
      <c r="BB7" s="485"/>
      <c r="BC7" s="485"/>
      <c r="BD7" s="485"/>
      <c r="BE7" s="485"/>
      <c r="BF7" s="485"/>
      <c r="BG7" s="485"/>
      <c r="BH7" s="485"/>
      <c r="BI7" s="485"/>
      <c r="BJ7" s="485"/>
      <c r="BK7" s="485"/>
      <c r="BL7" s="1192"/>
      <c r="BM7" s="215"/>
      <c r="BN7" s="215"/>
      <c r="BO7" s="215"/>
    </row>
    <row r="8" ht="32.25" customHeight="1" outlineLevel="1">
      <c r="A8" s="60">
        <v>69.0</v>
      </c>
      <c r="B8" s="849" t="s">
        <v>236</v>
      </c>
      <c r="C8" s="849" t="s">
        <v>237</v>
      </c>
      <c r="D8" s="71" t="s">
        <v>85</v>
      </c>
      <c r="E8" s="146" t="s">
        <v>169</v>
      </c>
      <c r="F8" s="72">
        <v>1112.0</v>
      </c>
      <c r="G8" s="139" t="s">
        <v>169</v>
      </c>
      <c r="H8" s="139">
        <v>1112.0</v>
      </c>
      <c r="I8" s="126" t="str">
        <f>IFERROR(VLOOKUP(C2:C144,'R22 RELATÓRIO ACC'!B:F,5,FALSE),"NOT PUBLISHED")</f>
        <v>V24</v>
      </c>
      <c r="J8" s="126" t="str">
        <f>IFERROR(VLOOKUP(C2:C144,'R22 RELATÓRIO ACC'!B:P,15,FALSE),"NOT PUBLISHED")</f>
        <v>15/05/2026</v>
      </c>
      <c r="K8" s="746" t="str">
        <f>IFERROR(VLOOKUP(B5:B147,'RELATÓRIO ACC'!B:F,5,FALSE),"NOT PUBLISHED")</f>
        <v>V2</v>
      </c>
      <c r="L8" s="748" t="str">
        <f>IFERROR(VLOOKUP(B5:B147,'RELATÓRIO ACC'!B:P,15,FALSE),"NOT PUBLISHED")</f>
        <v>06/07/2026</v>
      </c>
      <c r="M8" s="141" t="s">
        <v>596</v>
      </c>
      <c r="N8" s="847">
        <v>46209.0</v>
      </c>
      <c r="O8" s="740" t="s">
        <v>472</v>
      </c>
      <c r="P8" s="141" t="s">
        <v>475</v>
      </c>
      <c r="Q8" s="74" t="s">
        <v>462</v>
      </c>
      <c r="R8" s="764">
        <v>0.0</v>
      </c>
      <c r="S8" s="746" t="s">
        <v>475</v>
      </c>
      <c r="T8" s="74" t="s">
        <v>462</v>
      </c>
      <c r="U8" s="746" t="s">
        <v>475</v>
      </c>
      <c r="V8" s="746" t="s">
        <v>475</v>
      </c>
      <c r="W8" s="74" t="s">
        <v>462</v>
      </c>
      <c r="X8" s="746" t="s">
        <v>475</v>
      </c>
      <c r="Y8" s="746" t="s">
        <v>475</v>
      </c>
      <c r="Z8" s="74" t="s">
        <v>462</v>
      </c>
      <c r="AA8" s="746" t="s">
        <v>475</v>
      </c>
      <c r="AB8" s="755" t="s">
        <v>474</v>
      </c>
      <c r="AC8" s="1193"/>
      <c r="AD8" s="755" t="s">
        <v>474</v>
      </c>
      <c r="AE8" s="746" t="s">
        <v>475</v>
      </c>
      <c r="AF8" s="759" t="s">
        <v>494</v>
      </c>
      <c r="AG8" s="746" t="s">
        <v>475</v>
      </c>
      <c r="AH8" s="746" t="s">
        <v>474</v>
      </c>
      <c r="AI8" s="759" t="s">
        <v>494</v>
      </c>
      <c r="AJ8" s="746" t="s">
        <v>474</v>
      </c>
      <c r="AK8" s="746" t="s">
        <v>474</v>
      </c>
      <c r="AL8" s="759" t="s">
        <v>494</v>
      </c>
      <c r="AM8" s="746" t="s">
        <v>474</v>
      </c>
      <c r="AN8" s="755" t="s">
        <v>474</v>
      </c>
      <c r="AO8" s="759" t="s">
        <v>494</v>
      </c>
      <c r="AP8" s="755" t="s">
        <v>474</v>
      </c>
      <c r="AQ8" s="755" t="s">
        <v>474</v>
      </c>
      <c r="AR8" s="759" t="s">
        <v>494</v>
      </c>
      <c r="AS8" s="755" t="s">
        <v>474</v>
      </c>
      <c r="AT8" s="755" t="s">
        <v>474</v>
      </c>
      <c r="AU8" s="759" t="s">
        <v>494</v>
      </c>
      <c r="AV8" s="755" t="s">
        <v>474</v>
      </c>
      <c r="AW8" s="755" t="s">
        <v>474</v>
      </c>
      <c r="AX8" s="759" t="s">
        <v>494</v>
      </c>
      <c r="AY8" s="755" t="s">
        <v>474</v>
      </c>
      <c r="AZ8" s="755" t="s">
        <v>474</v>
      </c>
      <c r="BA8" s="759" t="s">
        <v>494</v>
      </c>
      <c r="BB8" s="755" t="s">
        <v>474</v>
      </c>
      <c r="BC8" s="755" t="s">
        <v>474</v>
      </c>
      <c r="BD8" s="759" t="s">
        <v>494</v>
      </c>
      <c r="BE8" s="755" t="s">
        <v>474</v>
      </c>
      <c r="BF8" s="755" t="s">
        <v>474</v>
      </c>
      <c r="BG8" s="759" t="s">
        <v>494</v>
      </c>
      <c r="BH8" s="755" t="s">
        <v>474</v>
      </c>
      <c r="BI8" s="755" t="s">
        <v>484</v>
      </c>
      <c r="BJ8" s="759" t="s">
        <v>596</v>
      </c>
      <c r="BK8" s="764">
        <v>1.0</v>
      </c>
      <c r="BL8" s="751"/>
      <c r="BM8" s="111"/>
      <c r="BN8" s="111"/>
      <c r="BO8" s="111"/>
    </row>
    <row r="9" ht="15.0" customHeight="1" outlineLevel="1">
      <c r="A9" s="60">
        <v>61.0</v>
      </c>
      <c r="B9" s="747" t="s">
        <v>222</v>
      </c>
      <c r="C9" s="747" t="s">
        <v>223</v>
      </c>
      <c r="D9" s="71" t="s">
        <v>85</v>
      </c>
      <c r="E9" s="146" t="s">
        <v>169</v>
      </c>
      <c r="F9" s="72">
        <v>1112.0</v>
      </c>
      <c r="G9" s="139" t="s">
        <v>170</v>
      </c>
      <c r="H9" s="139">
        <v>1129.0</v>
      </c>
      <c r="I9" s="126" t="str">
        <f>IFERROR(VLOOKUP(C3:C145,'R22 RELATÓRIO ACC'!B:F,5,FALSE),"NOT PUBLISHED")</f>
        <v>V52</v>
      </c>
      <c r="J9" s="126" t="str">
        <f>IFERROR(VLOOKUP(C3:C145,'R22 RELATÓRIO ACC'!B:P,15,FALSE),"NOT PUBLISHED")</f>
        <v>30/04/2026</v>
      </c>
      <c r="K9" s="746" t="str">
        <f>IFERROR(VLOOKUP(B6:B148,'RELATÓRIO ACC'!B:F,5,FALSE),"NOT PUBLISHED")</f>
        <v>V4</v>
      </c>
      <c r="L9" s="748" t="str">
        <f>IFERROR(VLOOKUP(B6:B148,'RELATÓRIO ACC'!B:P,15,FALSE),"NOT PUBLISHED")</f>
        <v>06/07/2026</v>
      </c>
      <c r="M9" s="141" t="s">
        <v>479</v>
      </c>
      <c r="N9" s="847">
        <v>46209.0</v>
      </c>
      <c r="O9" s="740" t="s">
        <v>472</v>
      </c>
      <c r="P9" s="141" t="s">
        <v>474</v>
      </c>
      <c r="Q9" s="759"/>
      <c r="R9" s="764">
        <v>0.0</v>
      </c>
      <c r="S9" s="746" t="s">
        <v>474</v>
      </c>
      <c r="T9" s="759"/>
      <c r="U9" s="746" t="s">
        <v>474</v>
      </c>
      <c r="V9" s="746" t="s">
        <v>477</v>
      </c>
      <c r="W9" s="759" t="s">
        <v>476</v>
      </c>
      <c r="X9" s="764">
        <v>0.99</v>
      </c>
      <c r="Y9" s="746" t="s">
        <v>478</v>
      </c>
      <c r="Z9" s="759" t="s">
        <v>476</v>
      </c>
      <c r="AA9" s="746" t="s">
        <v>478</v>
      </c>
      <c r="AB9" s="746" t="s">
        <v>474</v>
      </c>
      <c r="AC9" s="759"/>
      <c r="AD9" s="746" t="s">
        <v>474</v>
      </c>
      <c r="AE9" s="746" t="s">
        <v>474</v>
      </c>
      <c r="AF9" s="759"/>
      <c r="AG9" s="746" t="s">
        <v>474</v>
      </c>
      <c r="AH9" s="746" t="s">
        <v>474</v>
      </c>
      <c r="AI9" s="759"/>
      <c r="AJ9" s="746" t="s">
        <v>474</v>
      </c>
      <c r="AK9" s="746" t="s">
        <v>474</v>
      </c>
      <c r="AL9" s="759"/>
      <c r="AM9" s="746" t="s">
        <v>474</v>
      </c>
      <c r="AN9" s="763" t="s">
        <v>474</v>
      </c>
      <c r="AO9" s="759"/>
      <c r="AP9" s="763" t="s">
        <v>474</v>
      </c>
      <c r="AQ9" s="763" t="s">
        <v>474</v>
      </c>
      <c r="AR9" s="759"/>
      <c r="AS9" s="763" t="s">
        <v>474</v>
      </c>
      <c r="AT9" s="763" t="s">
        <v>475</v>
      </c>
      <c r="AU9" s="759" t="s">
        <v>596</v>
      </c>
      <c r="AV9" s="755" t="s">
        <v>475</v>
      </c>
      <c r="AW9" s="68" t="s">
        <v>478</v>
      </c>
      <c r="AX9" s="759" t="s">
        <v>596</v>
      </c>
      <c r="AY9" s="68" t="s">
        <v>478</v>
      </c>
      <c r="AZ9" s="68" t="s">
        <v>478</v>
      </c>
      <c r="BA9" s="759" t="s">
        <v>596</v>
      </c>
      <c r="BB9" s="746" t="s">
        <v>478</v>
      </c>
      <c r="BC9" s="746" t="s">
        <v>478</v>
      </c>
      <c r="BD9" s="759" t="s">
        <v>596</v>
      </c>
      <c r="BE9" s="746" t="s">
        <v>478</v>
      </c>
      <c r="BF9" s="746" t="s">
        <v>484</v>
      </c>
      <c r="BG9" s="759" t="s">
        <v>479</v>
      </c>
      <c r="BH9" s="764">
        <v>1.0</v>
      </c>
      <c r="BI9" s="1030" t="s">
        <v>485</v>
      </c>
      <c r="BJ9" s="759" t="s">
        <v>479</v>
      </c>
      <c r="BK9" s="764">
        <v>1.0</v>
      </c>
      <c r="BL9" s="153"/>
      <c r="BM9" s="111"/>
      <c r="BN9" s="111"/>
      <c r="BO9" s="111"/>
    </row>
    <row r="10" ht="15.0" customHeight="1" outlineLevel="1">
      <c r="A10" s="60">
        <v>76.0</v>
      </c>
      <c r="B10" s="747" t="s">
        <v>250</v>
      </c>
      <c r="C10" s="747" t="s">
        <v>251</v>
      </c>
      <c r="D10" s="71" t="s">
        <v>85</v>
      </c>
      <c r="E10" s="146" t="s">
        <v>169</v>
      </c>
      <c r="F10" s="72">
        <v>1112.0</v>
      </c>
      <c r="G10" s="139" t="s">
        <v>170</v>
      </c>
      <c r="H10" s="139">
        <v>1129.0</v>
      </c>
      <c r="I10" s="126" t="str">
        <f>IFERROR(VLOOKUP(C4:C146,'R22 RELATÓRIO ACC'!B:F,5,FALSE),"NOT PUBLISHED")</f>
        <v>V30</v>
      </c>
      <c r="J10" s="126" t="str">
        <f>IFERROR(VLOOKUP(C4:C146,'R22 RELATÓRIO ACC'!B:P,15,FALSE),"NOT PUBLISHED")</f>
        <v>24/03/2026</v>
      </c>
      <c r="K10" s="746" t="str">
        <f>IFERROR(VLOOKUP(B7:B149,'RELATÓRIO ACC'!B:F,5,FALSE),"NOT PUBLISHED")</f>
        <v>V2</v>
      </c>
      <c r="L10" s="748" t="str">
        <f>IFERROR(VLOOKUP(B7:B149,'RELATÓRIO ACC'!B:P,15,FALSE),"NOT PUBLISHED")</f>
        <v>13/07/2026</v>
      </c>
      <c r="M10" s="141" t="s">
        <v>470</v>
      </c>
      <c r="N10" s="782">
        <v>46161.0</v>
      </c>
      <c r="O10" s="740" t="s">
        <v>472</v>
      </c>
      <c r="P10" s="141" t="s">
        <v>474</v>
      </c>
      <c r="Q10" s="759"/>
      <c r="R10" s="1057">
        <v>0.0</v>
      </c>
      <c r="S10" s="746" t="s">
        <v>474</v>
      </c>
      <c r="T10" s="759"/>
      <c r="U10" s="746" t="s">
        <v>474</v>
      </c>
      <c r="V10" s="746" t="s">
        <v>477</v>
      </c>
      <c r="W10" s="759" t="s">
        <v>476</v>
      </c>
      <c r="X10" s="764">
        <v>0.92</v>
      </c>
      <c r="Y10" s="746" t="s">
        <v>478</v>
      </c>
      <c r="Z10" s="759" t="s">
        <v>476</v>
      </c>
      <c r="AA10" s="746" t="s">
        <v>478</v>
      </c>
      <c r="AB10" s="746" t="s">
        <v>478</v>
      </c>
      <c r="AC10" s="759" t="s">
        <v>476</v>
      </c>
      <c r="AD10" s="746" t="s">
        <v>478</v>
      </c>
      <c r="AE10" s="746" t="s">
        <v>478</v>
      </c>
      <c r="AF10" s="759" t="s">
        <v>476</v>
      </c>
      <c r="AG10" s="746" t="s">
        <v>478</v>
      </c>
      <c r="AH10" s="746" t="s">
        <v>478</v>
      </c>
      <c r="AI10" s="759" t="s">
        <v>476</v>
      </c>
      <c r="AJ10" s="746" t="s">
        <v>478</v>
      </c>
      <c r="AK10" s="746" t="s">
        <v>475</v>
      </c>
      <c r="AL10" s="759" t="s">
        <v>476</v>
      </c>
      <c r="AM10" s="746" t="s">
        <v>475</v>
      </c>
      <c r="AN10" s="68" t="s">
        <v>478</v>
      </c>
      <c r="AO10" s="759" t="s">
        <v>476</v>
      </c>
      <c r="AP10" s="68" t="s">
        <v>478</v>
      </c>
      <c r="AQ10" s="68" t="s">
        <v>478</v>
      </c>
      <c r="AR10" s="759" t="s">
        <v>476</v>
      </c>
      <c r="AS10" s="68" t="s">
        <v>478</v>
      </c>
      <c r="AT10" s="746" t="s">
        <v>475</v>
      </c>
      <c r="AU10" s="759" t="s">
        <v>470</v>
      </c>
      <c r="AV10" s="746" t="s">
        <v>475</v>
      </c>
      <c r="AW10" s="68" t="s">
        <v>478</v>
      </c>
      <c r="AX10" s="759" t="s">
        <v>470</v>
      </c>
      <c r="AY10" s="68" t="s">
        <v>478</v>
      </c>
      <c r="AZ10" s="68" t="s">
        <v>478</v>
      </c>
      <c r="BA10" s="759" t="s">
        <v>470</v>
      </c>
      <c r="BB10" s="746" t="s">
        <v>478</v>
      </c>
      <c r="BC10" s="68" t="s">
        <v>478</v>
      </c>
      <c r="BD10" s="759" t="s">
        <v>470</v>
      </c>
      <c r="BE10" s="68" t="s">
        <v>478</v>
      </c>
      <c r="BF10" s="1036" t="s">
        <v>484</v>
      </c>
      <c r="BG10" s="759" t="s">
        <v>470</v>
      </c>
      <c r="BH10" s="135">
        <v>1.0</v>
      </c>
      <c r="BI10" s="1030" t="s">
        <v>485</v>
      </c>
      <c r="BJ10" s="759" t="s">
        <v>470</v>
      </c>
      <c r="BK10" s="135">
        <v>1.0</v>
      </c>
      <c r="BL10" s="126"/>
      <c r="BM10" s="111"/>
      <c r="BN10" s="111"/>
      <c r="BO10" s="111"/>
    </row>
    <row r="11" ht="15.0" customHeight="1" outlineLevel="1">
      <c r="A11" s="60">
        <v>48.0</v>
      </c>
      <c r="B11" s="747" t="s">
        <v>196</v>
      </c>
      <c r="C11" s="747" t="s">
        <v>197</v>
      </c>
      <c r="D11" s="71" t="s">
        <v>85</v>
      </c>
      <c r="E11" s="146" t="s">
        <v>169</v>
      </c>
      <c r="F11" s="72">
        <v>1112.0</v>
      </c>
      <c r="G11" s="139" t="s">
        <v>170</v>
      </c>
      <c r="H11" s="139">
        <v>1129.0</v>
      </c>
      <c r="I11" s="126" t="str">
        <f>IFERROR(VLOOKUP(C5:C147,'R22 RELATÓRIO ACC'!B:F,5,FALSE),"NOT PUBLISHED")</f>
        <v>V33</v>
      </c>
      <c r="J11" s="126" t="str">
        <f>IFERROR(VLOOKUP(C5:C147,'R22 RELATÓRIO ACC'!B:P,15,FALSE),"NOT PUBLISHED")</f>
        <v>04/03/2026</v>
      </c>
      <c r="K11" s="746" t="str">
        <f>IFERROR(VLOOKUP(B8:B150,'RELATÓRIO ACC'!B:F,5,FALSE),"NOT PUBLISHED")</f>
        <v>V2</v>
      </c>
      <c r="L11" s="748" t="str">
        <f>IFERROR(VLOOKUP(B8:B150,'RELATÓRIO ACC'!B:P,15,FALSE),"NOT PUBLISHED")</f>
        <v>13/07/2026</v>
      </c>
      <c r="M11" s="141" t="s">
        <v>470</v>
      </c>
      <c r="N11" s="847">
        <v>46161.0</v>
      </c>
      <c r="O11" s="1194" t="s">
        <v>472</v>
      </c>
      <c r="P11" s="141" t="s">
        <v>474</v>
      </c>
      <c r="Q11" s="759"/>
      <c r="R11" s="764">
        <v>0.0</v>
      </c>
      <c r="S11" s="746" t="s">
        <v>474</v>
      </c>
      <c r="T11" s="759"/>
      <c r="U11" s="746" t="s">
        <v>474</v>
      </c>
      <c r="V11" s="746" t="s">
        <v>474</v>
      </c>
      <c r="W11" s="759"/>
      <c r="X11" s="746" t="s">
        <v>474</v>
      </c>
      <c r="Y11" s="746" t="s">
        <v>477</v>
      </c>
      <c r="Z11" s="759" t="s">
        <v>714</v>
      </c>
      <c r="AA11" s="764">
        <v>0.95</v>
      </c>
      <c r="AB11" s="68" t="s">
        <v>478</v>
      </c>
      <c r="AC11" s="759"/>
      <c r="AD11" s="68" t="s">
        <v>478</v>
      </c>
      <c r="AE11" s="746" t="s">
        <v>478</v>
      </c>
      <c r="AF11" s="759"/>
      <c r="AG11" s="746" t="s">
        <v>478</v>
      </c>
      <c r="AH11" s="746" t="s">
        <v>478</v>
      </c>
      <c r="AI11" s="759"/>
      <c r="AJ11" s="746" t="s">
        <v>478</v>
      </c>
      <c r="AK11" s="746" t="s">
        <v>475</v>
      </c>
      <c r="AL11" s="759"/>
      <c r="AM11" s="746" t="s">
        <v>475</v>
      </c>
      <c r="AN11" s="68" t="s">
        <v>478</v>
      </c>
      <c r="AO11" s="759"/>
      <c r="AP11" s="68" t="s">
        <v>478</v>
      </c>
      <c r="AQ11" s="68" t="s">
        <v>478</v>
      </c>
      <c r="AR11" s="759"/>
      <c r="AS11" s="68" t="s">
        <v>478</v>
      </c>
      <c r="AT11" s="68" t="s">
        <v>478</v>
      </c>
      <c r="AU11" s="759"/>
      <c r="AV11" s="68" t="s">
        <v>478</v>
      </c>
      <c r="AW11" s="68" t="s">
        <v>478</v>
      </c>
      <c r="AX11" s="759"/>
      <c r="AY11" s="68" t="s">
        <v>478</v>
      </c>
      <c r="AZ11" s="68" t="s">
        <v>478</v>
      </c>
      <c r="BA11" s="759"/>
      <c r="BB11" s="68" t="s">
        <v>478</v>
      </c>
      <c r="BC11" s="68" t="s">
        <v>478</v>
      </c>
      <c r="BD11" s="759"/>
      <c r="BE11" s="68" t="s">
        <v>478</v>
      </c>
      <c r="BF11" s="68" t="s">
        <v>484</v>
      </c>
      <c r="BG11" s="759" t="s">
        <v>470</v>
      </c>
      <c r="BH11" s="135">
        <v>1.0</v>
      </c>
      <c r="BI11" s="1030" t="s">
        <v>485</v>
      </c>
      <c r="BJ11" s="759" t="s">
        <v>470</v>
      </c>
      <c r="BK11" s="135">
        <v>1.0</v>
      </c>
      <c r="BL11" s="126"/>
      <c r="BM11" s="111"/>
      <c r="BN11" s="111"/>
      <c r="BO11" s="111"/>
    </row>
    <row r="12" ht="15.0" customHeight="1" outlineLevel="1">
      <c r="A12" s="60">
        <v>20.0</v>
      </c>
      <c r="B12" s="747" t="s">
        <v>122</v>
      </c>
      <c r="C12" s="747" t="s">
        <v>123</v>
      </c>
      <c r="D12" s="71" t="s">
        <v>85</v>
      </c>
      <c r="E12" s="146" t="s">
        <v>124</v>
      </c>
      <c r="F12" s="72">
        <v>1108.0</v>
      </c>
      <c r="G12" s="147" t="s">
        <v>101</v>
      </c>
      <c r="H12" s="139">
        <v>1108.0</v>
      </c>
      <c r="I12" s="126" t="str">
        <f>IFERROR(VLOOKUP(C6:C148,'R22 RELATÓRIO ACC'!B:F,5,FALSE),"NOT PUBLISHED")</f>
        <v>V4</v>
      </c>
      <c r="J12" s="126" t="str">
        <f>IFERROR(VLOOKUP(C6:C148,'R22 RELATÓRIO ACC'!B:P,15,FALSE),"NOT PUBLISHED")</f>
        <v>10/04/2026</v>
      </c>
      <c r="K12" s="746" t="str">
        <f>IFERROR(VLOOKUP(B9:B151,'RELATÓRIO ACC'!B:F,5,FALSE),"NOT PUBLISHED")</f>
        <v>V2</v>
      </c>
      <c r="L12" s="748" t="str">
        <f>IFERROR(VLOOKUP(B9:B151,'RELATÓRIO ACC'!B:P,15,FALSE),"NOT PUBLISHED")</f>
        <v>04/06/2026</v>
      </c>
      <c r="M12" s="141" t="s">
        <v>462</v>
      </c>
      <c r="N12" s="141" t="s">
        <v>462</v>
      </c>
      <c r="O12" s="1194" t="s">
        <v>462</v>
      </c>
      <c r="P12" s="141" t="s">
        <v>462</v>
      </c>
      <c r="Q12" s="74" t="s">
        <v>462</v>
      </c>
      <c r="R12" s="746" t="s">
        <v>462</v>
      </c>
      <c r="S12" s="746" t="s">
        <v>462</v>
      </c>
      <c r="T12" s="74" t="s">
        <v>462</v>
      </c>
      <c r="U12" s="746" t="s">
        <v>462</v>
      </c>
      <c r="V12" s="746" t="s">
        <v>462</v>
      </c>
      <c r="W12" s="74" t="s">
        <v>462</v>
      </c>
      <c r="X12" s="746" t="s">
        <v>462</v>
      </c>
      <c r="Y12" s="746" t="s">
        <v>462</v>
      </c>
      <c r="Z12" s="74" t="s">
        <v>462</v>
      </c>
      <c r="AA12" s="746" t="s">
        <v>462</v>
      </c>
      <c r="AB12" s="68" t="s">
        <v>462</v>
      </c>
      <c r="AC12" s="74" t="s">
        <v>462</v>
      </c>
      <c r="AD12" s="68" t="s">
        <v>462</v>
      </c>
      <c r="AE12" s="746" t="s">
        <v>462</v>
      </c>
      <c r="AF12" s="74" t="s">
        <v>462</v>
      </c>
      <c r="AG12" s="746" t="s">
        <v>462</v>
      </c>
      <c r="AH12" s="746" t="s">
        <v>462</v>
      </c>
      <c r="AI12" s="74" t="s">
        <v>462</v>
      </c>
      <c r="AJ12" s="746" t="s">
        <v>462</v>
      </c>
      <c r="AK12" s="746" t="s">
        <v>462</v>
      </c>
      <c r="AL12" s="74" t="s">
        <v>462</v>
      </c>
      <c r="AM12" s="746" t="s">
        <v>462</v>
      </c>
      <c r="AN12" s="746" t="s">
        <v>462</v>
      </c>
      <c r="AO12" s="74" t="s">
        <v>462</v>
      </c>
      <c r="AP12" s="746" t="s">
        <v>462</v>
      </c>
      <c r="AQ12" s="746" t="s">
        <v>462</v>
      </c>
      <c r="AR12" s="74" t="s">
        <v>462</v>
      </c>
      <c r="AS12" s="746" t="s">
        <v>462</v>
      </c>
      <c r="AT12" s="746" t="s">
        <v>462</v>
      </c>
      <c r="AU12" s="74" t="s">
        <v>462</v>
      </c>
      <c r="AV12" s="746" t="s">
        <v>462</v>
      </c>
      <c r="AW12" s="68" t="s">
        <v>462</v>
      </c>
      <c r="AX12" s="74" t="s">
        <v>462</v>
      </c>
      <c r="AY12" s="68" t="s">
        <v>462</v>
      </c>
      <c r="AZ12" s="68" t="s">
        <v>462</v>
      </c>
      <c r="BA12" s="74" t="s">
        <v>462</v>
      </c>
      <c r="BB12" s="68" t="s">
        <v>462</v>
      </c>
      <c r="BC12" s="68" t="s">
        <v>462</v>
      </c>
      <c r="BD12" s="74" t="s">
        <v>462</v>
      </c>
      <c r="BE12" s="68" t="s">
        <v>462</v>
      </c>
      <c r="BF12" s="68" t="s">
        <v>462</v>
      </c>
      <c r="BG12" s="74" t="s">
        <v>462</v>
      </c>
      <c r="BH12" s="68" t="s">
        <v>462</v>
      </c>
      <c r="BI12" s="68" t="s">
        <v>462</v>
      </c>
      <c r="BJ12" s="74" t="s">
        <v>462</v>
      </c>
      <c r="BK12" s="68" t="s">
        <v>462</v>
      </c>
      <c r="BL12" s="126"/>
      <c r="BM12" s="68"/>
      <c r="BN12" s="68"/>
      <c r="BO12" s="68"/>
    </row>
    <row r="13" ht="15.0" customHeight="1" outlineLevel="1">
      <c r="A13" s="60">
        <v>26.0</v>
      </c>
      <c r="B13" s="747" t="s">
        <v>143</v>
      </c>
      <c r="C13" s="747" t="s">
        <v>144</v>
      </c>
      <c r="D13" s="71" t="s">
        <v>145</v>
      </c>
      <c r="E13" s="146" t="s">
        <v>138</v>
      </c>
      <c r="F13" s="125">
        <v>1101.0</v>
      </c>
      <c r="G13" s="139" t="s">
        <v>139</v>
      </c>
      <c r="H13" s="139">
        <v>1126.0</v>
      </c>
      <c r="I13" s="126" t="str">
        <f>IFERROR(VLOOKUP(C7:C149,'R22 RELATÓRIO ACC'!B:F,5,FALSE),"NOT PUBLISHED")</f>
        <v>V24</v>
      </c>
      <c r="J13" s="126" t="str">
        <f>IFERROR(VLOOKUP(C7:C149,'R22 RELATÓRIO ACC'!B:P,15,FALSE),"NOT PUBLISHED")</f>
        <v>07/04/2026</v>
      </c>
      <c r="K13" s="746" t="str">
        <f>IFERROR(VLOOKUP(B10:B152,'RELATÓRIO ACC'!B:F,5,FALSE),"NOT PUBLISHED")</f>
        <v>V2</v>
      </c>
      <c r="L13" s="748" t="str">
        <f>IFERROR(VLOOKUP(B10:B152,'RELATÓRIO ACC'!B:P,15,FALSE),"NOT PUBLISHED")</f>
        <v>27/05/2026</v>
      </c>
      <c r="M13" s="141" t="s">
        <v>462</v>
      </c>
      <c r="N13" s="749" t="s">
        <v>462</v>
      </c>
      <c r="O13" s="1194" t="s">
        <v>462</v>
      </c>
      <c r="P13" s="141" t="s">
        <v>462</v>
      </c>
      <c r="Q13" s="74" t="s">
        <v>462</v>
      </c>
      <c r="R13" s="1037" t="s">
        <v>462</v>
      </c>
      <c r="S13" s="746" t="s">
        <v>462</v>
      </c>
      <c r="T13" s="74" t="s">
        <v>462</v>
      </c>
      <c r="U13" s="746" t="s">
        <v>462</v>
      </c>
      <c r="V13" s="746" t="s">
        <v>462</v>
      </c>
      <c r="W13" s="74" t="s">
        <v>462</v>
      </c>
      <c r="X13" s="746" t="s">
        <v>462</v>
      </c>
      <c r="Y13" s="746" t="s">
        <v>462</v>
      </c>
      <c r="Z13" s="74" t="s">
        <v>462</v>
      </c>
      <c r="AA13" s="746" t="s">
        <v>462</v>
      </c>
      <c r="AB13" s="68" t="s">
        <v>462</v>
      </c>
      <c r="AC13" s="68" t="s">
        <v>462</v>
      </c>
      <c r="AD13" s="68" t="s">
        <v>462</v>
      </c>
      <c r="AE13" s="746" t="s">
        <v>462</v>
      </c>
      <c r="AF13" s="68" t="s">
        <v>462</v>
      </c>
      <c r="AG13" s="746" t="s">
        <v>462</v>
      </c>
      <c r="AH13" s="746" t="s">
        <v>462</v>
      </c>
      <c r="AI13" s="68" t="s">
        <v>462</v>
      </c>
      <c r="AJ13" s="746" t="s">
        <v>462</v>
      </c>
      <c r="AK13" s="746" t="s">
        <v>462</v>
      </c>
      <c r="AL13" s="68" t="s">
        <v>462</v>
      </c>
      <c r="AM13" s="746" t="s">
        <v>462</v>
      </c>
      <c r="AN13" s="746" t="s">
        <v>462</v>
      </c>
      <c r="AO13" s="68" t="s">
        <v>462</v>
      </c>
      <c r="AP13" s="746" t="s">
        <v>462</v>
      </c>
      <c r="AQ13" s="68" t="s">
        <v>462</v>
      </c>
      <c r="AR13" s="68" t="s">
        <v>462</v>
      </c>
      <c r="AS13" s="68" t="s">
        <v>462</v>
      </c>
      <c r="AT13" s="68" t="s">
        <v>462</v>
      </c>
      <c r="AU13" s="68" t="s">
        <v>462</v>
      </c>
      <c r="AV13" s="746" t="s">
        <v>462</v>
      </c>
      <c r="AW13" s="68" t="s">
        <v>462</v>
      </c>
      <c r="AX13" s="68" t="s">
        <v>462</v>
      </c>
      <c r="AY13" s="68" t="s">
        <v>462</v>
      </c>
      <c r="AZ13" s="68" t="s">
        <v>462</v>
      </c>
      <c r="BA13" s="68" t="s">
        <v>462</v>
      </c>
      <c r="BB13" s="68" t="s">
        <v>462</v>
      </c>
      <c r="BC13" s="68" t="s">
        <v>462</v>
      </c>
      <c r="BD13" s="68" t="s">
        <v>462</v>
      </c>
      <c r="BE13" s="68" t="s">
        <v>462</v>
      </c>
      <c r="BF13" s="68" t="s">
        <v>462</v>
      </c>
      <c r="BG13" s="68" t="s">
        <v>462</v>
      </c>
      <c r="BH13" s="68" t="s">
        <v>462</v>
      </c>
      <c r="BI13" s="68" t="s">
        <v>462</v>
      </c>
      <c r="BJ13" s="68" t="s">
        <v>462</v>
      </c>
      <c r="BK13" s="68" t="s">
        <v>462</v>
      </c>
      <c r="BL13" s="126"/>
      <c r="BM13" s="111"/>
      <c r="BN13" s="111"/>
      <c r="BO13" s="111"/>
    </row>
    <row r="14" ht="14.25" customHeight="1" outlineLevel="1">
      <c r="A14" s="60">
        <v>32.0</v>
      </c>
      <c r="B14" s="747" t="s">
        <v>160</v>
      </c>
      <c r="C14" s="747" t="s">
        <v>161</v>
      </c>
      <c r="D14" s="71" t="s">
        <v>85</v>
      </c>
      <c r="E14" s="138" t="s">
        <v>162</v>
      </c>
      <c r="F14" s="125" t="s">
        <v>162</v>
      </c>
      <c r="G14" s="147" t="s">
        <v>162</v>
      </c>
      <c r="H14" s="150"/>
      <c r="I14" s="126" t="str">
        <f>IFERROR(VLOOKUP(C8:C150,'R22 RELATÓRIO ACC'!B:F,5,FALSE),"NOT PUBLISHED")</f>
        <v>V9</v>
      </c>
      <c r="J14" s="126" t="str">
        <f>IFERROR(VLOOKUP(C8:C150,'R22 RELATÓRIO ACC'!B:P,15,FALSE),"NOT PUBLISHED")</f>
        <v>28/02/2026</v>
      </c>
      <c r="K14" s="746" t="str">
        <f>IFERROR(VLOOKUP(B11:B153,'RELATÓRIO ACC'!B:F,5,FALSE),"NOT PUBLISHED")</f>
        <v>V1</v>
      </c>
      <c r="L14" s="748" t="str">
        <f>IFERROR(VLOOKUP(B11:B153,'RELATÓRIO ACC'!B:P,15,FALSE),"NOT PUBLISHED")</f>
        <v>20/05/2026</v>
      </c>
      <c r="M14" s="141" t="s">
        <v>462</v>
      </c>
      <c r="N14" s="141" t="s">
        <v>462</v>
      </c>
      <c r="O14" s="1194" t="s">
        <v>462</v>
      </c>
      <c r="P14" s="74" t="s">
        <v>462</v>
      </c>
      <c r="Q14" s="74" t="s">
        <v>462</v>
      </c>
      <c r="R14" s="74" t="s">
        <v>462</v>
      </c>
      <c r="S14" s="74" t="s">
        <v>462</v>
      </c>
      <c r="T14" s="74" t="s">
        <v>462</v>
      </c>
      <c r="U14" s="74" t="s">
        <v>462</v>
      </c>
      <c r="V14" s="746" t="s">
        <v>462</v>
      </c>
      <c r="W14" s="74" t="s">
        <v>462</v>
      </c>
      <c r="X14" s="746" t="s">
        <v>462</v>
      </c>
      <c r="Y14" s="746" t="s">
        <v>462</v>
      </c>
      <c r="Z14" s="74" t="s">
        <v>462</v>
      </c>
      <c r="AA14" s="746" t="s">
        <v>462</v>
      </c>
      <c r="AB14" s="68" t="s">
        <v>462</v>
      </c>
      <c r="AC14" s="68" t="s">
        <v>462</v>
      </c>
      <c r="AD14" s="68" t="s">
        <v>462</v>
      </c>
      <c r="AE14" s="746" t="s">
        <v>462</v>
      </c>
      <c r="AF14" s="68" t="s">
        <v>462</v>
      </c>
      <c r="AG14" s="746" t="s">
        <v>462</v>
      </c>
      <c r="AH14" s="746" t="s">
        <v>462</v>
      </c>
      <c r="AI14" s="68" t="s">
        <v>462</v>
      </c>
      <c r="AJ14" s="746" t="s">
        <v>462</v>
      </c>
      <c r="AK14" s="746" t="s">
        <v>462</v>
      </c>
      <c r="AL14" s="68" t="s">
        <v>462</v>
      </c>
      <c r="AM14" s="746" t="s">
        <v>462</v>
      </c>
      <c r="AN14" s="746" t="s">
        <v>462</v>
      </c>
      <c r="AO14" s="68" t="s">
        <v>462</v>
      </c>
      <c r="AP14" s="746" t="s">
        <v>462</v>
      </c>
      <c r="AQ14" s="746" t="s">
        <v>462</v>
      </c>
      <c r="AR14" s="68" t="s">
        <v>462</v>
      </c>
      <c r="AS14" s="746" t="s">
        <v>462</v>
      </c>
      <c r="AT14" s="746" t="s">
        <v>462</v>
      </c>
      <c r="AU14" s="68" t="s">
        <v>462</v>
      </c>
      <c r="AV14" s="746" t="s">
        <v>462</v>
      </c>
      <c r="AW14" s="746" t="s">
        <v>462</v>
      </c>
      <c r="AX14" s="68" t="s">
        <v>462</v>
      </c>
      <c r="AY14" s="746" t="s">
        <v>462</v>
      </c>
      <c r="AZ14" s="746" t="s">
        <v>462</v>
      </c>
      <c r="BA14" s="68" t="s">
        <v>462</v>
      </c>
      <c r="BB14" s="746" t="s">
        <v>462</v>
      </c>
      <c r="BC14" s="746" t="s">
        <v>462</v>
      </c>
      <c r="BD14" s="68" t="s">
        <v>462</v>
      </c>
      <c r="BE14" s="746" t="s">
        <v>462</v>
      </c>
      <c r="BF14" s="746" t="s">
        <v>462</v>
      </c>
      <c r="BG14" s="68" t="s">
        <v>462</v>
      </c>
      <c r="BH14" s="746" t="s">
        <v>462</v>
      </c>
      <c r="BI14" s="746" t="s">
        <v>462</v>
      </c>
      <c r="BJ14" s="68" t="s">
        <v>462</v>
      </c>
      <c r="BK14" s="746" t="s">
        <v>462</v>
      </c>
      <c r="BL14" s="126"/>
      <c r="BM14" s="111"/>
      <c r="BN14" s="111"/>
      <c r="BO14" s="111"/>
    </row>
    <row r="15" ht="15.0" customHeight="1" outlineLevel="1">
      <c r="A15" s="60">
        <v>105.0</v>
      </c>
      <c r="B15" s="747" t="s">
        <v>316</v>
      </c>
      <c r="C15" s="747" t="s">
        <v>316</v>
      </c>
      <c r="D15" s="71" t="s">
        <v>3</v>
      </c>
      <c r="E15" s="146" t="s">
        <v>317</v>
      </c>
      <c r="F15" s="72">
        <v>1125.0</v>
      </c>
      <c r="G15" s="139" t="s">
        <v>317</v>
      </c>
      <c r="H15" s="139">
        <v>1125.0</v>
      </c>
      <c r="I15" s="126" t="str">
        <f>IFERROR(VLOOKUP(C9:C151,'R22 RELATÓRIO ACC'!B:F,5,FALSE),"NOT PUBLISHED")</f>
        <v>V8</v>
      </c>
      <c r="J15" s="126" t="str">
        <f>IFERROR(VLOOKUP(C9:C151,'R22 RELATÓRIO ACC'!B:P,15,FALSE),"NOT PUBLISHED")</f>
        <v>07/11/2025</v>
      </c>
      <c r="K15" s="746" t="str">
        <f>IFERROR(VLOOKUP(B12:B154,'RELATÓRIO ACC'!B:F,5,FALSE),"NOT PUBLISHED")</f>
        <v>V1</v>
      </c>
      <c r="L15" s="748" t="str">
        <f>IFERROR(VLOOKUP(B12:B154,'RELATÓRIO ACC'!B:P,15,FALSE),"NOT PUBLISHED")</f>
        <v>21/05/2026</v>
      </c>
      <c r="M15" s="141" t="s">
        <v>462</v>
      </c>
      <c r="N15" s="141" t="s">
        <v>462</v>
      </c>
      <c r="O15" s="1194" t="s">
        <v>462</v>
      </c>
      <c r="P15" s="141" t="s">
        <v>462</v>
      </c>
      <c r="Q15" s="74" t="s">
        <v>462</v>
      </c>
      <c r="R15" s="746" t="s">
        <v>462</v>
      </c>
      <c r="S15" s="746" t="s">
        <v>462</v>
      </c>
      <c r="T15" s="74" t="s">
        <v>462</v>
      </c>
      <c r="U15" s="746" t="s">
        <v>462</v>
      </c>
      <c r="V15" s="746" t="s">
        <v>462</v>
      </c>
      <c r="W15" s="74" t="s">
        <v>462</v>
      </c>
      <c r="X15" s="746" t="s">
        <v>462</v>
      </c>
      <c r="Y15" s="746" t="s">
        <v>462</v>
      </c>
      <c r="Z15" s="74" t="s">
        <v>462</v>
      </c>
      <c r="AA15" s="746" t="s">
        <v>462</v>
      </c>
      <c r="AB15" s="746" t="s">
        <v>462</v>
      </c>
      <c r="AC15" s="68" t="s">
        <v>462</v>
      </c>
      <c r="AD15" s="746" t="s">
        <v>462</v>
      </c>
      <c r="AE15" s="746" t="s">
        <v>462</v>
      </c>
      <c r="AF15" s="68" t="s">
        <v>462</v>
      </c>
      <c r="AG15" s="746" t="s">
        <v>462</v>
      </c>
      <c r="AH15" s="746" t="s">
        <v>462</v>
      </c>
      <c r="AI15" s="68" t="s">
        <v>462</v>
      </c>
      <c r="AJ15" s="746" t="s">
        <v>462</v>
      </c>
      <c r="AK15" s="746" t="s">
        <v>462</v>
      </c>
      <c r="AL15" s="68" t="s">
        <v>462</v>
      </c>
      <c r="AM15" s="746" t="s">
        <v>462</v>
      </c>
      <c r="AN15" s="746" t="s">
        <v>462</v>
      </c>
      <c r="AO15" s="68" t="s">
        <v>462</v>
      </c>
      <c r="AP15" s="746" t="s">
        <v>462</v>
      </c>
      <c r="AQ15" s="746" t="s">
        <v>462</v>
      </c>
      <c r="AR15" s="68" t="s">
        <v>462</v>
      </c>
      <c r="AS15" s="746" t="s">
        <v>462</v>
      </c>
      <c r="AT15" s="746" t="s">
        <v>462</v>
      </c>
      <c r="AU15" s="68" t="s">
        <v>462</v>
      </c>
      <c r="AV15" s="746" t="s">
        <v>462</v>
      </c>
      <c r="AW15" s="746" t="s">
        <v>462</v>
      </c>
      <c r="AX15" s="68" t="s">
        <v>462</v>
      </c>
      <c r="AY15" s="746" t="s">
        <v>462</v>
      </c>
      <c r="AZ15" s="746" t="s">
        <v>462</v>
      </c>
      <c r="BA15" s="68" t="s">
        <v>462</v>
      </c>
      <c r="BB15" s="746" t="s">
        <v>462</v>
      </c>
      <c r="BC15" s="746" t="s">
        <v>462</v>
      </c>
      <c r="BD15" s="68" t="s">
        <v>462</v>
      </c>
      <c r="BE15" s="746" t="s">
        <v>462</v>
      </c>
      <c r="BF15" s="746" t="s">
        <v>462</v>
      </c>
      <c r="BG15" s="68" t="s">
        <v>462</v>
      </c>
      <c r="BH15" s="746" t="s">
        <v>462</v>
      </c>
      <c r="BI15" s="746" t="s">
        <v>462</v>
      </c>
      <c r="BJ15" s="68" t="s">
        <v>462</v>
      </c>
      <c r="BK15" s="746" t="s">
        <v>462</v>
      </c>
      <c r="BL15" s="126"/>
      <c r="BM15" s="111"/>
      <c r="BN15" s="111"/>
      <c r="BO15" s="111"/>
    </row>
    <row r="16" ht="15.0" customHeight="1" outlineLevel="1">
      <c r="A16" s="60">
        <v>106.0</v>
      </c>
      <c r="B16" s="747" t="s">
        <v>318</v>
      </c>
      <c r="C16" s="747" t="s">
        <v>318</v>
      </c>
      <c r="D16" s="71" t="s">
        <v>319</v>
      </c>
      <c r="E16" s="146" t="s">
        <v>317</v>
      </c>
      <c r="F16" s="72">
        <v>1125.0</v>
      </c>
      <c r="G16" s="139" t="s">
        <v>317</v>
      </c>
      <c r="H16" s="139">
        <v>1125.0</v>
      </c>
      <c r="I16" s="126" t="str">
        <f>IFERROR(VLOOKUP(C10:C152,'R22 RELATÓRIO ACC'!B:F,5,FALSE),"NOT PUBLISHED")</f>
        <v>V7</v>
      </c>
      <c r="J16" s="126" t="str">
        <f>IFERROR(VLOOKUP(C10:C152,'R22 RELATÓRIO ACC'!B:P,15,FALSE),"NOT PUBLISHED")</f>
        <v>07/11/2025</v>
      </c>
      <c r="K16" s="746" t="str">
        <f>IFERROR(VLOOKUP(B13:B155,'RELATÓRIO ACC'!B:F,5,FALSE),"NOT PUBLISHED")</f>
        <v>V1</v>
      </c>
      <c r="L16" s="748" t="str">
        <f>IFERROR(VLOOKUP(B13:B155,'RELATÓRIO ACC'!B:P,15,FALSE),"NOT PUBLISHED")</f>
        <v>21/05/2026</v>
      </c>
      <c r="M16" s="141" t="s">
        <v>462</v>
      </c>
      <c r="N16" s="141" t="s">
        <v>462</v>
      </c>
      <c r="O16" s="1194" t="s">
        <v>462</v>
      </c>
      <c r="P16" s="141" t="s">
        <v>462</v>
      </c>
      <c r="Q16" s="74" t="s">
        <v>462</v>
      </c>
      <c r="R16" s="746" t="s">
        <v>462</v>
      </c>
      <c r="S16" s="746" t="s">
        <v>462</v>
      </c>
      <c r="T16" s="74" t="s">
        <v>462</v>
      </c>
      <c r="U16" s="746" t="s">
        <v>462</v>
      </c>
      <c r="V16" s="746" t="s">
        <v>462</v>
      </c>
      <c r="W16" s="68" t="s">
        <v>462</v>
      </c>
      <c r="X16" s="746" t="s">
        <v>462</v>
      </c>
      <c r="Y16" s="746" t="s">
        <v>462</v>
      </c>
      <c r="Z16" s="68" t="s">
        <v>462</v>
      </c>
      <c r="AA16" s="746" t="s">
        <v>462</v>
      </c>
      <c r="AB16" s="746" t="s">
        <v>462</v>
      </c>
      <c r="AC16" s="68" t="s">
        <v>462</v>
      </c>
      <c r="AD16" s="746" t="s">
        <v>462</v>
      </c>
      <c r="AE16" s="746" t="s">
        <v>462</v>
      </c>
      <c r="AF16" s="68" t="s">
        <v>462</v>
      </c>
      <c r="AG16" s="746" t="s">
        <v>462</v>
      </c>
      <c r="AH16" s="746" t="s">
        <v>462</v>
      </c>
      <c r="AI16" s="68" t="s">
        <v>462</v>
      </c>
      <c r="AJ16" s="746" t="s">
        <v>462</v>
      </c>
      <c r="AK16" s="746" t="s">
        <v>462</v>
      </c>
      <c r="AL16" s="68" t="s">
        <v>462</v>
      </c>
      <c r="AM16" s="746" t="s">
        <v>462</v>
      </c>
      <c r="AN16" s="746" t="s">
        <v>462</v>
      </c>
      <c r="AO16" s="68" t="s">
        <v>462</v>
      </c>
      <c r="AP16" s="746" t="s">
        <v>462</v>
      </c>
      <c r="AQ16" s="746" t="s">
        <v>462</v>
      </c>
      <c r="AR16" s="68" t="s">
        <v>462</v>
      </c>
      <c r="AS16" s="746" t="s">
        <v>462</v>
      </c>
      <c r="AT16" s="746" t="s">
        <v>462</v>
      </c>
      <c r="AU16" s="68" t="s">
        <v>462</v>
      </c>
      <c r="AV16" s="746" t="s">
        <v>462</v>
      </c>
      <c r="AW16" s="746" t="s">
        <v>462</v>
      </c>
      <c r="AX16" s="68" t="s">
        <v>462</v>
      </c>
      <c r="AY16" s="746" t="s">
        <v>462</v>
      </c>
      <c r="AZ16" s="746" t="s">
        <v>462</v>
      </c>
      <c r="BA16" s="68" t="s">
        <v>462</v>
      </c>
      <c r="BB16" s="746" t="s">
        <v>462</v>
      </c>
      <c r="BC16" s="746" t="s">
        <v>462</v>
      </c>
      <c r="BD16" s="68" t="s">
        <v>462</v>
      </c>
      <c r="BE16" s="746" t="s">
        <v>462</v>
      </c>
      <c r="BF16" s="746" t="s">
        <v>462</v>
      </c>
      <c r="BG16" s="68" t="s">
        <v>462</v>
      </c>
      <c r="BH16" s="746" t="s">
        <v>462</v>
      </c>
      <c r="BI16" s="746" t="s">
        <v>462</v>
      </c>
      <c r="BJ16" s="68" t="s">
        <v>462</v>
      </c>
      <c r="BK16" s="746" t="s">
        <v>462</v>
      </c>
      <c r="BL16" s="126"/>
      <c r="BM16" s="111"/>
      <c r="BN16" s="111"/>
      <c r="BO16" s="111"/>
    </row>
    <row r="17" ht="15.0" customHeight="1" outlineLevel="1">
      <c r="A17" s="60">
        <v>107.0</v>
      </c>
      <c r="B17" s="747" t="s">
        <v>320</v>
      </c>
      <c r="C17" s="747" t="s">
        <v>320</v>
      </c>
      <c r="D17" s="71" t="s">
        <v>321</v>
      </c>
      <c r="E17" s="146" t="s">
        <v>317</v>
      </c>
      <c r="F17" s="72">
        <v>1125.0</v>
      </c>
      <c r="G17" s="146" t="s">
        <v>317</v>
      </c>
      <c r="H17" s="139">
        <v>1125.0</v>
      </c>
      <c r="I17" s="126" t="str">
        <f>IFERROR(VLOOKUP(C11:C153,'R22 RELATÓRIO ACC'!B:F,5,FALSE),"NOT PUBLISHED")</f>
        <v>V6</v>
      </c>
      <c r="J17" s="126" t="str">
        <f>IFERROR(VLOOKUP(C11:C153,'R22 RELATÓRIO ACC'!B:P,15,FALSE),"NOT PUBLISHED")</f>
        <v>07/11/2025</v>
      </c>
      <c r="K17" s="746" t="str">
        <f>IFERROR(VLOOKUP(B14:B156,'RELATÓRIO ACC'!B:F,5,FALSE),"NOT PUBLISHED")</f>
        <v>V1</v>
      </c>
      <c r="L17" s="748" t="str">
        <f>IFERROR(VLOOKUP(B14:B156,'RELATÓRIO ACC'!B:P,15,FALSE),"NOT PUBLISHED")</f>
        <v>21/05/2026</v>
      </c>
      <c r="M17" s="141" t="s">
        <v>462</v>
      </c>
      <c r="N17" s="141" t="s">
        <v>462</v>
      </c>
      <c r="O17" s="1194" t="s">
        <v>462</v>
      </c>
      <c r="P17" s="1195" t="s">
        <v>462</v>
      </c>
      <c r="Q17" s="74" t="s">
        <v>462</v>
      </c>
      <c r="R17" s="1037" t="s">
        <v>462</v>
      </c>
      <c r="S17" s="755" t="s">
        <v>462</v>
      </c>
      <c r="T17" s="74" t="s">
        <v>462</v>
      </c>
      <c r="U17" s="746" t="s">
        <v>462</v>
      </c>
      <c r="V17" s="755" t="s">
        <v>462</v>
      </c>
      <c r="W17" s="74" t="s">
        <v>462</v>
      </c>
      <c r="X17" s="746" t="s">
        <v>462</v>
      </c>
      <c r="Y17" s="755" t="s">
        <v>462</v>
      </c>
      <c r="Z17" s="74" t="s">
        <v>462</v>
      </c>
      <c r="AA17" s="746" t="s">
        <v>462</v>
      </c>
      <c r="AB17" s="755" t="s">
        <v>462</v>
      </c>
      <c r="AC17" s="74" t="s">
        <v>462</v>
      </c>
      <c r="AD17" s="746" t="s">
        <v>462</v>
      </c>
      <c r="AE17" s="755" t="s">
        <v>462</v>
      </c>
      <c r="AF17" s="74" t="s">
        <v>462</v>
      </c>
      <c r="AG17" s="746" t="s">
        <v>462</v>
      </c>
      <c r="AH17" s="755" t="s">
        <v>462</v>
      </c>
      <c r="AI17" s="74" t="s">
        <v>462</v>
      </c>
      <c r="AJ17" s="746" t="s">
        <v>462</v>
      </c>
      <c r="AK17" s="755" t="s">
        <v>462</v>
      </c>
      <c r="AL17" s="74" t="s">
        <v>462</v>
      </c>
      <c r="AM17" s="746" t="s">
        <v>462</v>
      </c>
      <c r="AN17" s="755" t="s">
        <v>462</v>
      </c>
      <c r="AO17" s="74" t="s">
        <v>462</v>
      </c>
      <c r="AP17" s="746" t="s">
        <v>462</v>
      </c>
      <c r="AQ17" s="755" t="s">
        <v>462</v>
      </c>
      <c r="AR17" s="74" t="s">
        <v>462</v>
      </c>
      <c r="AS17" s="746" t="s">
        <v>462</v>
      </c>
      <c r="AT17" s="755" t="s">
        <v>462</v>
      </c>
      <c r="AU17" s="74" t="s">
        <v>462</v>
      </c>
      <c r="AV17" s="746" t="s">
        <v>462</v>
      </c>
      <c r="AW17" s="755" t="s">
        <v>462</v>
      </c>
      <c r="AX17" s="74" t="s">
        <v>462</v>
      </c>
      <c r="AY17" s="746" t="s">
        <v>462</v>
      </c>
      <c r="AZ17" s="755" t="s">
        <v>462</v>
      </c>
      <c r="BA17" s="74" t="s">
        <v>462</v>
      </c>
      <c r="BB17" s="746" t="s">
        <v>462</v>
      </c>
      <c r="BC17" s="755" t="s">
        <v>462</v>
      </c>
      <c r="BD17" s="74" t="s">
        <v>462</v>
      </c>
      <c r="BE17" s="746" t="s">
        <v>462</v>
      </c>
      <c r="BF17" s="755" t="s">
        <v>462</v>
      </c>
      <c r="BG17" s="74" t="s">
        <v>462</v>
      </c>
      <c r="BH17" s="746" t="s">
        <v>462</v>
      </c>
      <c r="BI17" s="755" t="s">
        <v>462</v>
      </c>
      <c r="BJ17" s="74" t="s">
        <v>462</v>
      </c>
      <c r="BK17" s="746" t="s">
        <v>462</v>
      </c>
      <c r="BL17" s="153"/>
      <c r="BM17" s="111"/>
      <c r="BN17" s="111"/>
      <c r="BO17" s="111"/>
    </row>
    <row r="18" ht="15.0" customHeight="1" outlineLevel="1">
      <c r="A18" s="60">
        <v>109.0</v>
      </c>
      <c r="B18" s="747" t="s">
        <v>324</v>
      </c>
      <c r="C18" s="747" t="s">
        <v>324</v>
      </c>
      <c r="D18" s="71" t="s">
        <v>7</v>
      </c>
      <c r="E18" s="146" t="s">
        <v>317</v>
      </c>
      <c r="F18" s="72">
        <v>1125.0</v>
      </c>
      <c r="G18" s="139" t="s">
        <v>317</v>
      </c>
      <c r="H18" s="139">
        <v>1125.0</v>
      </c>
      <c r="I18" s="126" t="str">
        <f>IFERROR(VLOOKUP(C12:C154,'R22 RELATÓRIO ACC'!B:F,5,FALSE),"NOT PUBLISHED")</f>
        <v>V7</v>
      </c>
      <c r="J18" s="126" t="str">
        <f>IFERROR(VLOOKUP(C12:C154,'R22 RELATÓRIO ACC'!B:P,15,FALSE),"NOT PUBLISHED")</f>
        <v>05/12/2025</v>
      </c>
      <c r="K18" s="746" t="str">
        <f>IFERROR(VLOOKUP(B15:B157,'RELATÓRIO ACC'!B:F,5,FALSE),"NOT PUBLISHED")</f>
        <v>V1</v>
      </c>
      <c r="L18" s="748" t="str">
        <f>IFERROR(VLOOKUP(B15:B157,'RELATÓRIO ACC'!B:P,15,FALSE),"NOT PUBLISHED")</f>
        <v>21/05/2026</v>
      </c>
      <c r="M18" s="141" t="s">
        <v>462</v>
      </c>
      <c r="N18" s="141" t="s">
        <v>462</v>
      </c>
      <c r="O18" s="1194" t="s">
        <v>462</v>
      </c>
      <c r="P18" s="141" t="s">
        <v>462</v>
      </c>
      <c r="Q18" s="74" t="s">
        <v>462</v>
      </c>
      <c r="R18" s="746" t="s">
        <v>462</v>
      </c>
      <c r="S18" s="746" t="s">
        <v>462</v>
      </c>
      <c r="T18" s="74" t="s">
        <v>462</v>
      </c>
      <c r="U18" s="746" t="s">
        <v>462</v>
      </c>
      <c r="V18" s="746" t="s">
        <v>462</v>
      </c>
      <c r="W18" s="74" t="s">
        <v>462</v>
      </c>
      <c r="X18" s="746" t="s">
        <v>462</v>
      </c>
      <c r="Y18" s="746" t="s">
        <v>462</v>
      </c>
      <c r="Z18" s="74" t="s">
        <v>462</v>
      </c>
      <c r="AA18" s="746" t="s">
        <v>462</v>
      </c>
      <c r="AB18" s="746" t="s">
        <v>462</v>
      </c>
      <c r="AC18" s="68" t="s">
        <v>462</v>
      </c>
      <c r="AD18" s="746" t="s">
        <v>462</v>
      </c>
      <c r="AE18" s="746" t="s">
        <v>462</v>
      </c>
      <c r="AF18" s="68" t="s">
        <v>462</v>
      </c>
      <c r="AG18" s="746" t="s">
        <v>462</v>
      </c>
      <c r="AH18" s="746" t="s">
        <v>462</v>
      </c>
      <c r="AI18" s="68" t="s">
        <v>462</v>
      </c>
      <c r="AJ18" s="746" t="s">
        <v>462</v>
      </c>
      <c r="AK18" s="746" t="s">
        <v>462</v>
      </c>
      <c r="AL18" s="68" t="s">
        <v>462</v>
      </c>
      <c r="AM18" s="746" t="s">
        <v>462</v>
      </c>
      <c r="AN18" s="68" t="s">
        <v>462</v>
      </c>
      <c r="AO18" s="68" t="s">
        <v>462</v>
      </c>
      <c r="AP18" s="68" t="s">
        <v>462</v>
      </c>
      <c r="AQ18" s="68" t="s">
        <v>462</v>
      </c>
      <c r="AR18" s="68" t="s">
        <v>462</v>
      </c>
      <c r="AS18" s="68" t="s">
        <v>462</v>
      </c>
      <c r="AT18" s="68" t="s">
        <v>462</v>
      </c>
      <c r="AU18" s="68" t="s">
        <v>462</v>
      </c>
      <c r="AV18" s="68" t="s">
        <v>462</v>
      </c>
      <c r="AW18" s="68" t="s">
        <v>462</v>
      </c>
      <c r="AX18" s="68" t="s">
        <v>462</v>
      </c>
      <c r="AY18" s="68" t="s">
        <v>462</v>
      </c>
      <c r="AZ18" s="68" t="s">
        <v>462</v>
      </c>
      <c r="BA18" s="68" t="s">
        <v>462</v>
      </c>
      <c r="BB18" s="68" t="s">
        <v>462</v>
      </c>
      <c r="BC18" s="68" t="s">
        <v>462</v>
      </c>
      <c r="BD18" s="68" t="s">
        <v>462</v>
      </c>
      <c r="BE18" s="68" t="s">
        <v>462</v>
      </c>
      <c r="BF18" s="68" t="s">
        <v>462</v>
      </c>
      <c r="BG18" s="68" t="s">
        <v>462</v>
      </c>
      <c r="BH18" s="68" t="s">
        <v>462</v>
      </c>
      <c r="BI18" s="68" t="s">
        <v>462</v>
      </c>
      <c r="BJ18" s="68" t="s">
        <v>462</v>
      </c>
      <c r="BK18" s="68" t="s">
        <v>462</v>
      </c>
      <c r="BL18" s="126"/>
      <c r="BM18" s="111"/>
      <c r="BN18" s="111"/>
      <c r="BO18" s="111"/>
    </row>
    <row r="19" ht="15.0" customHeight="1" outlineLevel="1">
      <c r="A19" s="60">
        <v>110.0</v>
      </c>
      <c r="B19" s="747" t="s">
        <v>325</v>
      </c>
      <c r="C19" s="747" t="s">
        <v>325</v>
      </c>
      <c r="D19" s="71" t="s">
        <v>326</v>
      </c>
      <c r="E19" s="146" t="s">
        <v>317</v>
      </c>
      <c r="F19" s="72">
        <v>1125.0</v>
      </c>
      <c r="G19" s="139" t="s">
        <v>317</v>
      </c>
      <c r="H19" s="139">
        <v>1125.0</v>
      </c>
      <c r="I19" s="126" t="str">
        <f>IFERROR(VLOOKUP(C13:C155,'R22 RELATÓRIO ACC'!B:F,5,FALSE),"NOT PUBLISHED")</f>
        <v>V6</v>
      </c>
      <c r="J19" s="126" t="str">
        <f>IFERROR(VLOOKUP(C13:C155,'R22 RELATÓRIO ACC'!B:P,15,FALSE),"NOT PUBLISHED")</f>
        <v>07/11/2025</v>
      </c>
      <c r="K19" s="746" t="str">
        <f>IFERROR(VLOOKUP(B16:B158,'RELATÓRIO ACC'!B:F,5,FALSE),"NOT PUBLISHED")</f>
        <v>V1</v>
      </c>
      <c r="L19" s="748" t="str">
        <f>IFERROR(VLOOKUP(B16:B158,'RELATÓRIO ACC'!B:P,15,FALSE),"NOT PUBLISHED")</f>
        <v>21/05/2026</v>
      </c>
      <c r="M19" s="141" t="s">
        <v>462</v>
      </c>
      <c r="N19" s="141" t="s">
        <v>462</v>
      </c>
      <c r="O19" s="1196" t="s">
        <v>462</v>
      </c>
      <c r="P19" s="141" t="s">
        <v>462</v>
      </c>
      <c r="Q19" s="74" t="s">
        <v>462</v>
      </c>
      <c r="R19" s="746" t="s">
        <v>462</v>
      </c>
      <c r="S19" s="746" t="s">
        <v>462</v>
      </c>
      <c r="T19" s="74" t="s">
        <v>462</v>
      </c>
      <c r="U19" s="746" t="s">
        <v>462</v>
      </c>
      <c r="V19" s="746" t="s">
        <v>462</v>
      </c>
      <c r="W19" s="74" t="s">
        <v>462</v>
      </c>
      <c r="X19" s="746" t="s">
        <v>462</v>
      </c>
      <c r="Y19" s="746" t="s">
        <v>462</v>
      </c>
      <c r="Z19" s="74" t="s">
        <v>462</v>
      </c>
      <c r="AA19" s="746" t="s">
        <v>462</v>
      </c>
      <c r="AB19" s="746" t="s">
        <v>462</v>
      </c>
      <c r="AC19" s="68" t="s">
        <v>462</v>
      </c>
      <c r="AD19" s="746" t="s">
        <v>462</v>
      </c>
      <c r="AE19" s="746" t="s">
        <v>462</v>
      </c>
      <c r="AF19" s="68" t="s">
        <v>462</v>
      </c>
      <c r="AG19" s="746" t="s">
        <v>462</v>
      </c>
      <c r="AH19" s="746" t="s">
        <v>462</v>
      </c>
      <c r="AI19" s="68" t="s">
        <v>462</v>
      </c>
      <c r="AJ19" s="746" t="s">
        <v>462</v>
      </c>
      <c r="AK19" s="746" t="s">
        <v>462</v>
      </c>
      <c r="AL19" s="68" t="s">
        <v>462</v>
      </c>
      <c r="AM19" s="746" t="s">
        <v>462</v>
      </c>
      <c r="AN19" s="68" t="s">
        <v>462</v>
      </c>
      <c r="AO19" s="68" t="s">
        <v>462</v>
      </c>
      <c r="AP19" s="68" t="s">
        <v>462</v>
      </c>
      <c r="AQ19" s="68" t="s">
        <v>462</v>
      </c>
      <c r="AR19" s="68" t="s">
        <v>462</v>
      </c>
      <c r="AS19" s="68" t="s">
        <v>462</v>
      </c>
      <c r="AT19" s="68" t="s">
        <v>462</v>
      </c>
      <c r="AU19" s="68" t="s">
        <v>462</v>
      </c>
      <c r="AV19" s="68" t="s">
        <v>462</v>
      </c>
      <c r="AW19" s="68" t="s">
        <v>462</v>
      </c>
      <c r="AX19" s="68" t="s">
        <v>462</v>
      </c>
      <c r="AY19" s="68" t="s">
        <v>462</v>
      </c>
      <c r="AZ19" s="68" t="s">
        <v>462</v>
      </c>
      <c r="BA19" s="68" t="s">
        <v>462</v>
      </c>
      <c r="BB19" s="68" t="s">
        <v>462</v>
      </c>
      <c r="BC19" s="68" t="s">
        <v>462</v>
      </c>
      <c r="BD19" s="68" t="s">
        <v>462</v>
      </c>
      <c r="BE19" s="68" t="s">
        <v>462</v>
      </c>
      <c r="BF19" s="68" t="s">
        <v>462</v>
      </c>
      <c r="BG19" s="68" t="s">
        <v>462</v>
      </c>
      <c r="BH19" s="68" t="s">
        <v>462</v>
      </c>
      <c r="BI19" s="68" t="s">
        <v>462</v>
      </c>
      <c r="BJ19" s="68" t="s">
        <v>462</v>
      </c>
      <c r="BK19" s="68" t="s">
        <v>462</v>
      </c>
      <c r="BL19" s="126"/>
      <c r="BM19" s="111"/>
      <c r="BN19" s="111"/>
      <c r="BO19" s="111"/>
    </row>
    <row r="20" ht="15.0" customHeight="1" outlineLevel="1">
      <c r="A20" s="60">
        <v>27.0</v>
      </c>
      <c r="B20" s="747" t="s">
        <v>147</v>
      </c>
      <c r="C20" s="747" t="s">
        <v>148</v>
      </c>
      <c r="D20" s="71" t="s">
        <v>85</v>
      </c>
      <c r="E20" s="146" t="s">
        <v>115</v>
      </c>
      <c r="F20" s="1044">
        <v>0.0</v>
      </c>
      <c r="G20" s="1044" t="s">
        <v>115</v>
      </c>
      <c r="H20" s="150">
        <v>0.0</v>
      </c>
      <c r="I20" s="126" t="str">
        <f>IFERROR(VLOOKUP(C14:C156,'R22 RELATÓRIO ACC'!B:F,5,FALSE),"NOT PUBLISHED")</f>
        <v>NOT PUBLISHED</v>
      </c>
      <c r="J20" s="126" t="str">
        <f>IFERROR(VLOOKUP(C14:C156,'R22 RELATÓRIO ACC'!B:P,15,FALSE),"NOT PUBLISHED")</f>
        <v>NOT PUBLISHED</v>
      </c>
      <c r="K20" s="746" t="str">
        <f>IFERROR(VLOOKUP(B18:B159,'RELATÓRIO ACC'!B:F,5,FALSE),"NOT PUBLISHED")</f>
        <v>NOT PUBLISHED</v>
      </c>
      <c r="L20" s="748" t="str">
        <f>IFERROR(VLOOKUP(B18:B159,'RELATÓRIO ACC'!B:P,15,FALSE),"NOT PUBLISHED")</f>
        <v>NOT PUBLISHED</v>
      </c>
      <c r="M20" s="141" t="s">
        <v>466</v>
      </c>
      <c r="N20" s="141" t="s">
        <v>466</v>
      </c>
      <c r="O20" s="1042" t="s">
        <v>466</v>
      </c>
      <c r="P20" s="141" t="s">
        <v>466</v>
      </c>
      <c r="Q20" s="74" t="s">
        <v>462</v>
      </c>
      <c r="R20" s="1037" t="s">
        <v>466</v>
      </c>
      <c r="S20" s="746" t="s">
        <v>466</v>
      </c>
      <c r="T20" s="74" t="s">
        <v>462</v>
      </c>
      <c r="U20" s="746" t="s">
        <v>466</v>
      </c>
      <c r="V20" s="746" t="s">
        <v>466</v>
      </c>
      <c r="W20" s="68" t="s">
        <v>462</v>
      </c>
      <c r="X20" s="746" t="s">
        <v>466</v>
      </c>
      <c r="Y20" s="746" t="s">
        <v>466</v>
      </c>
      <c r="Z20" s="68" t="s">
        <v>462</v>
      </c>
      <c r="AA20" s="746" t="s">
        <v>466</v>
      </c>
      <c r="AB20" s="746" t="s">
        <v>466</v>
      </c>
      <c r="AC20" s="68" t="s">
        <v>462</v>
      </c>
      <c r="AD20" s="746" t="s">
        <v>466</v>
      </c>
      <c r="AE20" s="746" t="s">
        <v>466</v>
      </c>
      <c r="AF20" s="68" t="s">
        <v>462</v>
      </c>
      <c r="AG20" s="746" t="s">
        <v>466</v>
      </c>
      <c r="AH20" s="746" t="s">
        <v>466</v>
      </c>
      <c r="AI20" s="68" t="s">
        <v>462</v>
      </c>
      <c r="AJ20" s="746" t="s">
        <v>466</v>
      </c>
      <c r="AK20" s="746" t="s">
        <v>466</v>
      </c>
      <c r="AL20" s="68" t="s">
        <v>462</v>
      </c>
      <c r="AM20" s="746" t="s">
        <v>466</v>
      </c>
      <c r="AN20" s="68" t="s">
        <v>466</v>
      </c>
      <c r="AO20" s="68" t="s">
        <v>462</v>
      </c>
      <c r="AP20" s="68" t="s">
        <v>466</v>
      </c>
      <c r="AQ20" s="68" t="s">
        <v>466</v>
      </c>
      <c r="AR20" s="68" t="s">
        <v>462</v>
      </c>
      <c r="AS20" s="68" t="s">
        <v>466</v>
      </c>
      <c r="AT20" s="68" t="s">
        <v>466</v>
      </c>
      <c r="AU20" s="68" t="s">
        <v>462</v>
      </c>
      <c r="AV20" s="68" t="s">
        <v>466</v>
      </c>
      <c r="AW20" s="68" t="s">
        <v>466</v>
      </c>
      <c r="AX20" s="68" t="s">
        <v>462</v>
      </c>
      <c r="AY20" s="68" t="s">
        <v>466</v>
      </c>
      <c r="AZ20" s="68" t="s">
        <v>466</v>
      </c>
      <c r="BA20" s="68" t="s">
        <v>462</v>
      </c>
      <c r="BB20" s="68" t="s">
        <v>466</v>
      </c>
      <c r="BC20" s="68" t="s">
        <v>466</v>
      </c>
      <c r="BD20" s="68" t="s">
        <v>462</v>
      </c>
      <c r="BE20" s="68" t="s">
        <v>466</v>
      </c>
      <c r="BF20" s="68" t="s">
        <v>466</v>
      </c>
      <c r="BG20" s="68" t="s">
        <v>462</v>
      </c>
      <c r="BH20" s="68" t="s">
        <v>466</v>
      </c>
      <c r="BI20" s="68" t="s">
        <v>466</v>
      </c>
      <c r="BJ20" s="68" t="s">
        <v>462</v>
      </c>
      <c r="BK20" s="68" t="s">
        <v>466</v>
      </c>
      <c r="BL20" s="126"/>
      <c r="BM20" s="68"/>
      <c r="BN20" s="68"/>
      <c r="BO20" s="68"/>
    </row>
    <row r="21" ht="15.0" customHeight="1">
      <c r="A21" s="60">
        <v>4.0</v>
      </c>
      <c r="B21" s="769" t="s">
        <v>463</v>
      </c>
      <c r="C21" s="769" t="s">
        <v>464</v>
      </c>
      <c r="D21" s="770" t="s">
        <v>85</v>
      </c>
      <c r="E21" s="126" t="s">
        <v>465</v>
      </c>
      <c r="F21" s="157">
        <v>1111.0</v>
      </c>
      <c r="G21" s="771" t="s">
        <v>86</v>
      </c>
      <c r="H21" s="139">
        <v>1130.0</v>
      </c>
      <c r="I21" s="126" t="str">
        <f>IFERROR(VLOOKUP(C15:C157,'R22 RELATÓRIO ACC'!B:F,5,FALSE),"NOT PUBLISHED")</f>
        <v>NOT PUBLISHED</v>
      </c>
      <c r="J21" s="126" t="str">
        <f>IFERROR(VLOOKUP(C15:C157,'R22 RELATÓRIO ACC'!B:P,15,FALSE),"NOT PUBLISHED")</f>
        <v>NOT PUBLISHED</v>
      </c>
      <c r="K21" s="746" t="str">
        <f>IFERROR(VLOOKUP(B18:B160,'RELATÓRIO ACC'!B:F,5,FALSE),"NOT PUBLISHED")</f>
        <v>NOT PUBLISHED</v>
      </c>
      <c r="L21" s="748" t="str">
        <f>IFERROR(VLOOKUP(B18:B160,'RELATÓRIO ACC'!B:P,15,FALSE),"NOT PUBLISHED")</f>
        <v>NOT PUBLISHED</v>
      </c>
      <c r="M21" s="141" t="s">
        <v>466</v>
      </c>
      <c r="N21" s="141" t="s">
        <v>466</v>
      </c>
      <c r="O21" s="1042" t="s">
        <v>466</v>
      </c>
      <c r="P21" s="141" t="s">
        <v>466</v>
      </c>
      <c r="Q21" s="68" t="s">
        <v>462</v>
      </c>
      <c r="R21" s="746" t="s">
        <v>466</v>
      </c>
      <c r="S21" s="746" t="s">
        <v>466</v>
      </c>
      <c r="T21" s="74" t="s">
        <v>462</v>
      </c>
      <c r="U21" s="746" t="s">
        <v>466</v>
      </c>
      <c r="V21" s="746" t="s">
        <v>466</v>
      </c>
      <c r="W21" s="74" t="s">
        <v>462</v>
      </c>
      <c r="X21" s="746" t="s">
        <v>466</v>
      </c>
      <c r="Y21" s="746" t="s">
        <v>466</v>
      </c>
      <c r="Z21" s="74" t="s">
        <v>462</v>
      </c>
      <c r="AA21" s="746" t="s">
        <v>466</v>
      </c>
      <c r="AB21" s="746" t="s">
        <v>466</v>
      </c>
      <c r="AC21" s="68" t="s">
        <v>462</v>
      </c>
      <c r="AD21" s="746" t="s">
        <v>466</v>
      </c>
      <c r="AE21" s="746" t="s">
        <v>466</v>
      </c>
      <c r="AF21" s="68" t="s">
        <v>462</v>
      </c>
      <c r="AG21" s="746" t="s">
        <v>466</v>
      </c>
      <c r="AH21" s="746" t="s">
        <v>466</v>
      </c>
      <c r="AI21" s="68" t="s">
        <v>462</v>
      </c>
      <c r="AJ21" s="746" t="s">
        <v>466</v>
      </c>
      <c r="AK21" s="746" t="s">
        <v>466</v>
      </c>
      <c r="AL21" s="68" t="s">
        <v>462</v>
      </c>
      <c r="AM21" s="746" t="s">
        <v>466</v>
      </c>
      <c r="AN21" s="68" t="s">
        <v>466</v>
      </c>
      <c r="AO21" s="68" t="s">
        <v>462</v>
      </c>
      <c r="AP21" s="746" t="s">
        <v>466</v>
      </c>
      <c r="AQ21" s="68" t="s">
        <v>466</v>
      </c>
      <c r="AR21" s="68" t="s">
        <v>462</v>
      </c>
      <c r="AS21" s="746" t="s">
        <v>466</v>
      </c>
      <c r="AT21" s="68" t="s">
        <v>466</v>
      </c>
      <c r="AU21" s="68" t="s">
        <v>462</v>
      </c>
      <c r="AV21" s="746" t="s">
        <v>466</v>
      </c>
      <c r="AW21" s="68" t="s">
        <v>466</v>
      </c>
      <c r="AX21" s="68" t="s">
        <v>462</v>
      </c>
      <c r="AY21" s="746" t="s">
        <v>466</v>
      </c>
      <c r="AZ21" s="68" t="s">
        <v>466</v>
      </c>
      <c r="BA21" s="68" t="s">
        <v>462</v>
      </c>
      <c r="BB21" s="746" t="s">
        <v>466</v>
      </c>
      <c r="BC21" s="68" t="s">
        <v>466</v>
      </c>
      <c r="BD21" s="68" t="s">
        <v>462</v>
      </c>
      <c r="BE21" s="746" t="s">
        <v>466</v>
      </c>
      <c r="BF21" s="68" t="s">
        <v>466</v>
      </c>
      <c r="BG21" s="68" t="s">
        <v>462</v>
      </c>
      <c r="BH21" s="746" t="s">
        <v>466</v>
      </c>
      <c r="BI21" s="68" t="s">
        <v>466</v>
      </c>
      <c r="BJ21" s="68" t="s">
        <v>462</v>
      </c>
      <c r="BK21" s="746" t="s">
        <v>466</v>
      </c>
      <c r="BL21" s="68"/>
      <c r="BM21" s="68"/>
      <c r="BN21" s="68"/>
      <c r="BO21" s="68"/>
    </row>
    <row r="22" ht="15.0" customHeight="1" outlineLevel="1">
      <c r="A22" s="60">
        <v>16.0</v>
      </c>
      <c r="B22" s="747" t="s">
        <v>112</v>
      </c>
      <c r="C22" s="747" t="s">
        <v>113</v>
      </c>
      <c r="D22" s="71" t="s">
        <v>85</v>
      </c>
      <c r="E22" s="138" t="s">
        <v>114</v>
      </c>
      <c r="F22" s="754">
        <v>1106.0</v>
      </c>
      <c r="G22" s="139" t="s">
        <v>115</v>
      </c>
      <c r="H22" s="150">
        <v>0.0</v>
      </c>
      <c r="I22" s="126" t="str">
        <f>IFERROR(VLOOKUP(C16:C158,'R22 RELATÓRIO ACC'!B:F,5,FALSE),"NOT PUBLISHED")</f>
        <v>NOT PUBLISHED</v>
      </c>
      <c r="J22" s="126" t="str">
        <f>IFERROR(VLOOKUP(C16:C158,'R22 RELATÓRIO ACC'!B:P,15,FALSE),"NOT PUBLISHED")</f>
        <v>NOT PUBLISHED</v>
      </c>
      <c r="K22" s="746" t="str">
        <f>IFERROR(VLOOKUP(B19:B161,'RELATÓRIO ACC'!B:F,5,FALSE),"NOT PUBLISHED")</f>
        <v>NOT PUBLISHED</v>
      </c>
      <c r="L22" s="748" t="str">
        <f>IFERROR(VLOOKUP(B19:B161,'RELATÓRIO ACC'!B:P,15,FALSE),"NOT PUBLISHED")</f>
        <v>NOT PUBLISHED</v>
      </c>
      <c r="M22" s="141" t="s">
        <v>466</v>
      </c>
      <c r="N22" s="141" t="s">
        <v>466</v>
      </c>
      <c r="O22" s="1042" t="s">
        <v>466</v>
      </c>
      <c r="P22" s="141" t="s">
        <v>466</v>
      </c>
      <c r="Q22" s="74" t="s">
        <v>462</v>
      </c>
      <c r="R22" s="746" t="s">
        <v>466</v>
      </c>
      <c r="S22" s="746" t="s">
        <v>466</v>
      </c>
      <c r="T22" s="74" t="s">
        <v>462</v>
      </c>
      <c r="U22" s="746" t="s">
        <v>466</v>
      </c>
      <c r="V22" s="746" t="s">
        <v>466</v>
      </c>
      <c r="W22" s="74" t="s">
        <v>462</v>
      </c>
      <c r="X22" s="746" t="s">
        <v>466</v>
      </c>
      <c r="Y22" s="746" t="s">
        <v>466</v>
      </c>
      <c r="Z22" s="74" t="s">
        <v>462</v>
      </c>
      <c r="AA22" s="746" t="s">
        <v>466</v>
      </c>
      <c r="AB22" s="746" t="s">
        <v>466</v>
      </c>
      <c r="AC22" s="74" t="s">
        <v>462</v>
      </c>
      <c r="AD22" s="746" t="s">
        <v>466</v>
      </c>
      <c r="AE22" s="746" t="s">
        <v>466</v>
      </c>
      <c r="AF22" s="74" t="s">
        <v>462</v>
      </c>
      <c r="AG22" s="746" t="s">
        <v>466</v>
      </c>
      <c r="AH22" s="746" t="s">
        <v>466</v>
      </c>
      <c r="AI22" s="74" t="s">
        <v>462</v>
      </c>
      <c r="AJ22" s="746" t="s">
        <v>466</v>
      </c>
      <c r="AK22" s="746" t="s">
        <v>466</v>
      </c>
      <c r="AL22" s="74" t="s">
        <v>462</v>
      </c>
      <c r="AM22" s="746" t="s">
        <v>466</v>
      </c>
      <c r="AN22" s="68" t="s">
        <v>466</v>
      </c>
      <c r="AO22" s="74" t="s">
        <v>462</v>
      </c>
      <c r="AP22" s="68" t="s">
        <v>466</v>
      </c>
      <c r="AQ22" s="68" t="s">
        <v>466</v>
      </c>
      <c r="AR22" s="74" t="s">
        <v>462</v>
      </c>
      <c r="AS22" s="746" t="s">
        <v>466</v>
      </c>
      <c r="AT22" s="68" t="s">
        <v>466</v>
      </c>
      <c r="AU22" s="74" t="s">
        <v>462</v>
      </c>
      <c r="AV22" s="68" t="s">
        <v>466</v>
      </c>
      <c r="AW22" s="68" t="s">
        <v>466</v>
      </c>
      <c r="AX22" s="74" t="s">
        <v>462</v>
      </c>
      <c r="AY22" s="68" t="s">
        <v>466</v>
      </c>
      <c r="AZ22" s="68" t="s">
        <v>466</v>
      </c>
      <c r="BA22" s="74" t="s">
        <v>462</v>
      </c>
      <c r="BB22" s="68" t="s">
        <v>466</v>
      </c>
      <c r="BC22" s="68" t="s">
        <v>466</v>
      </c>
      <c r="BD22" s="74" t="s">
        <v>462</v>
      </c>
      <c r="BE22" s="68" t="s">
        <v>466</v>
      </c>
      <c r="BF22" s="68" t="s">
        <v>466</v>
      </c>
      <c r="BG22" s="74" t="s">
        <v>462</v>
      </c>
      <c r="BH22" s="68" t="s">
        <v>466</v>
      </c>
      <c r="BI22" s="68" t="s">
        <v>466</v>
      </c>
      <c r="BJ22" s="74" t="s">
        <v>462</v>
      </c>
      <c r="BK22" s="68" t="s">
        <v>466</v>
      </c>
      <c r="BL22" s="126"/>
      <c r="BM22" s="68"/>
      <c r="BN22" s="68"/>
      <c r="BO22" s="68"/>
    </row>
    <row r="23" ht="15.0" customHeight="1">
      <c r="A23" s="60">
        <v>10.0</v>
      </c>
      <c r="B23" s="769" t="s">
        <v>95</v>
      </c>
      <c r="C23" s="769" t="s">
        <v>96</v>
      </c>
      <c r="D23" s="770" t="s">
        <v>85</v>
      </c>
      <c r="E23" s="157" t="s">
        <v>97</v>
      </c>
      <c r="F23" s="157"/>
      <c r="G23" s="157" t="s">
        <v>97</v>
      </c>
      <c r="H23" s="139"/>
      <c r="I23" s="126" t="str">
        <f>IFERROR(VLOOKUP(C17:C159,'R22 RELATÓRIO ACC'!B:F,5,FALSE),"NOT PUBLISHED")</f>
        <v>NOT PUBLISHED</v>
      </c>
      <c r="J23" s="126" t="str">
        <f>IFERROR(VLOOKUP(C17:C159,'R22 RELATÓRIO ACC'!B:P,15,FALSE),"NOT PUBLISHED")</f>
        <v>NOT PUBLISHED</v>
      </c>
      <c r="K23" s="852" t="str">
        <f>IFERROR(VLOOKUP(B20:B162,'RELATÓRIO ACC'!B:F,5,FALSE),"NOT PUBLISHED")</f>
        <v>NOT PUBLISHED</v>
      </c>
      <c r="L23" s="1197" t="str">
        <f>IFERROR(VLOOKUP(B20:B162,'RELATÓRIO ACC'!B:P,15,FALSE),"NOT PUBLISHED")</f>
        <v>NOT PUBLISHED</v>
      </c>
      <c r="M23" s="126" t="s">
        <v>466</v>
      </c>
      <c r="N23" s="126" t="s">
        <v>466</v>
      </c>
      <c r="O23" s="1042" t="s">
        <v>466</v>
      </c>
      <c r="P23" s="141" t="s">
        <v>466</v>
      </c>
      <c r="Q23" s="68" t="s">
        <v>462</v>
      </c>
      <c r="R23" s="1198" t="s">
        <v>466</v>
      </c>
      <c r="S23" s="746" t="s">
        <v>466</v>
      </c>
      <c r="T23" s="74" t="s">
        <v>462</v>
      </c>
      <c r="U23" s="746" t="s">
        <v>466</v>
      </c>
      <c r="V23" s="746" t="s">
        <v>466</v>
      </c>
      <c r="W23" s="74" t="s">
        <v>462</v>
      </c>
      <c r="X23" s="746" t="s">
        <v>466</v>
      </c>
      <c r="Y23" s="746" t="s">
        <v>466</v>
      </c>
      <c r="Z23" s="74" t="s">
        <v>462</v>
      </c>
      <c r="AA23" s="746" t="s">
        <v>466</v>
      </c>
      <c r="AB23" s="746" t="s">
        <v>466</v>
      </c>
      <c r="AC23" s="74" t="s">
        <v>462</v>
      </c>
      <c r="AD23" s="746" t="s">
        <v>466</v>
      </c>
      <c r="AE23" s="746" t="s">
        <v>466</v>
      </c>
      <c r="AF23" s="74" t="s">
        <v>462</v>
      </c>
      <c r="AG23" s="746" t="s">
        <v>466</v>
      </c>
      <c r="AH23" s="746" t="s">
        <v>466</v>
      </c>
      <c r="AI23" s="74" t="s">
        <v>462</v>
      </c>
      <c r="AJ23" s="746" t="s">
        <v>466</v>
      </c>
      <c r="AK23" s="746" t="s">
        <v>466</v>
      </c>
      <c r="AL23" s="74" t="s">
        <v>462</v>
      </c>
      <c r="AM23" s="746" t="s">
        <v>466</v>
      </c>
      <c r="AN23" s="746" t="s">
        <v>466</v>
      </c>
      <c r="AO23" s="74" t="s">
        <v>462</v>
      </c>
      <c r="AP23" s="746" t="s">
        <v>466</v>
      </c>
      <c r="AQ23" s="746" t="s">
        <v>466</v>
      </c>
      <c r="AR23" s="74" t="s">
        <v>462</v>
      </c>
      <c r="AS23" s="746" t="s">
        <v>466</v>
      </c>
      <c r="AT23" s="746" t="s">
        <v>466</v>
      </c>
      <c r="AU23" s="74" t="s">
        <v>462</v>
      </c>
      <c r="AV23" s="746" t="s">
        <v>466</v>
      </c>
      <c r="AW23" s="746" t="s">
        <v>466</v>
      </c>
      <c r="AX23" s="74" t="s">
        <v>462</v>
      </c>
      <c r="AY23" s="746" t="s">
        <v>466</v>
      </c>
      <c r="AZ23" s="746" t="s">
        <v>466</v>
      </c>
      <c r="BA23" s="74" t="s">
        <v>462</v>
      </c>
      <c r="BB23" s="746" t="s">
        <v>466</v>
      </c>
      <c r="BC23" s="746" t="s">
        <v>466</v>
      </c>
      <c r="BD23" s="74" t="s">
        <v>462</v>
      </c>
      <c r="BE23" s="746" t="s">
        <v>466</v>
      </c>
      <c r="BF23" s="746" t="s">
        <v>466</v>
      </c>
      <c r="BG23" s="74" t="s">
        <v>462</v>
      </c>
      <c r="BH23" s="746" t="s">
        <v>466</v>
      </c>
      <c r="BI23" s="746" t="s">
        <v>466</v>
      </c>
      <c r="BJ23" s="74" t="s">
        <v>462</v>
      </c>
      <c r="BK23" s="746" t="s">
        <v>466</v>
      </c>
      <c r="BL23" s="68"/>
      <c r="BM23" s="68"/>
      <c r="BN23" s="68"/>
      <c r="BO23" s="68"/>
    </row>
    <row r="24" ht="15.0" customHeight="1" outlineLevel="1">
      <c r="A24" s="60">
        <v>18.0</v>
      </c>
      <c r="B24" s="747" t="s">
        <v>116</v>
      </c>
      <c r="C24" s="747" t="s">
        <v>117</v>
      </c>
      <c r="D24" s="71" t="s">
        <v>85</v>
      </c>
      <c r="E24" s="146" t="s">
        <v>118</v>
      </c>
      <c r="F24" s="754">
        <v>1107.0</v>
      </c>
      <c r="G24" s="147" t="s">
        <v>119</v>
      </c>
      <c r="H24" s="150">
        <v>0.0</v>
      </c>
      <c r="I24" s="126" t="str">
        <f>IFERROR(VLOOKUP(C18:C160,'R22 RELATÓRIO ACC'!B:F,5,FALSE),"NOT PUBLISHED")</f>
        <v>NOT PUBLISHED</v>
      </c>
      <c r="J24" s="126" t="str">
        <f>IFERROR(VLOOKUP(C18:C160,'R22 RELATÓRIO ACC'!B:P,15,FALSE),"NOT PUBLISHED")</f>
        <v>NOT PUBLISHED</v>
      </c>
      <c r="K24" s="746" t="str">
        <f>IFERROR(VLOOKUP(B21:B163,'RELATÓRIO ACC'!B:F,5,FALSE),"NOT PUBLISHED")</f>
        <v>NOT PUBLISHED</v>
      </c>
      <c r="L24" s="748" t="str">
        <f>IFERROR(VLOOKUP(B21:B163,'RELATÓRIO ACC'!B:P,15,FALSE),"NOT PUBLISHED")</f>
        <v>NOT PUBLISHED</v>
      </c>
      <c r="M24" s="141" t="s">
        <v>466</v>
      </c>
      <c r="N24" s="141" t="s">
        <v>466</v>
      </c>
      <c r="O24" s="1042" t="s">
        <v>466</v>
      </c>
      <c r="P24" s="141" t="s">
        <v>466</v>
      </c>
      <c r="Q24" s="74" t="s">
        <v>462</v>
      </c>
      <c r="R24" s="746" t="s">
        <v>466</v>
      </c>
      <c r="S24" s="746" t="s">
        <v>466</v>
      </c>
      <c r="T24" s="74" t="s">
        <v>462</v>
      </c>
      <c r="U24" s="746" t="s">
        <v>466</v>
      </c>
      <c r="V24" s="746" t="s">
        <v>466</v>
      </c>
      <c r="W24" s="74" t="s">
        <v>462</v>
      </c>
      <c r="X24" s="746" t="s">
        <v>466</v>
      </c>
      <c r="Y24" s="746" t="s">
        <v>466</v>
      </c>
      <c r="Z24" s="74" t="s">
        <v>462</v>
      </c>
      <c r="AA24" s="746" t="s">
        <v>466</v>
      </c>
      <c r="AB24" s="746" t="s">
        <v>466</v>
      </c>
      <c r="AC24" s="74" t="s">
        <v>462</v>
      </c>
      <c r="AD24" s="746" t="s">
        <v>466</v>
      </c>
      <c r="AE24" s="746" t="s">
        <v>466</v>
      </c>
      <c r="AF24" s="74" t="s">
        <v>462</v>
      </c>
      <c r="AG24" s="746" t="s">
        <v>466</v>
      </c>
      <c r="AH24" s="746" t="s">
        <v>466</v>
      </c>
      <c r="AI24" s="74" t="s">
        <v>462</v>
      </c>
      <c r="AJ24" s="746" t="s">
        <v>466</v>
      </c>
      <c r="AK24" s="746" t="s">
        <v>466</v>
      </c>
      <c r="AL24" s="74" t="s">
        <v>462</v>
      </c>
      <c r="AM24" s="746" t="s">
        <v>466</v>
      </c>
      <c r="AN24" s="746" t="s">
        <v>466</v>
      </c>
      <c r="AO24" s="74" t="s">
        <v>462</v>
      </c>
      <c r="AP24" s="746" t="s">
        <v>466</v>
      </c>
      <c r="AQ24" s="746" t="s">
        <v>466</v>
      </c>
      <c r="AR24" s="74" t="s">
        <v>462</v>
      </c>
      <c r="AS24" s="746" t="s">
        <v>466</v>
      </c>
      <c r="AT24" s="746" t="s">
        <v>466</v>
      </c>
      <c r="AU24" s="74" t="s">
        <v>462</v>
      </c>
      <c r="AV24" s="746" t="s">
        <v>466</v>
      </c>
      <c r="AW24" s="746" t="s">
        <v>466</v>
      </c>
      <c r="AX24" s="74" t="s">
        <v>462</v>
      </c>
      <c r="AY24" s="746" t="s">
        <v>466</v>
      </c>
      <c r="AZ24" s="746" t="s">
        <v>466</v>
      </c>
      <c r="BA24" s="74" t="s">
        <v>462</v>
      </c>
      <c r="BB24" s="746" t="s">
        <v>466</v>
      </c>
      <c r="BC24" s="746" t="s">
        <v>466</v>
      </c>
      <c r="BD24" s="74" t="s">
        <v>462</v>
      </c>
      <c r="BE24" s="746" t="s">
        <v>466</v>
      </c>
      <c r="BF24" s="746" t="s">
        <v>466</v>
      </c>
      <c r="BG24" s="74" t="s">
        <v>462</v>
      </c>
      <c r="BH24" s="746" t="s">
        <v>466</v>
      </c>
      <c r="BI24" s="746" t="s">
        <v>466</v>
      </c>
      <c r="BJ24" s="74" t="s">
        <v>462</v>
      </c>
      <c r="BK24" s="746" t="s">
        <v>466</v>
      </c>
      <c r="BL24" s="126"/>
      <c r="BM24" s="68"/>
      <c r="BN24" s="68"/>
      <c r="BO24" s="68"/>
    </row>
    <row r="25" ht="13.5" customHeight="1">
      <c r="A25" s="60">
        <v>100.0</v>
      </c>
      <c r="B25" s="769" t="s">
        <v>304</v>
      </c>
      <c r="C25" s="769" t="s">
        <v>305</v>
      </c>
      <c r="D25" s="770" t="s">
        <v>85</v>
      </c>
      <c r="E25" s="771" t="s">
        <v>303</v>
      </c>
      <c r="F25" s="771">
        <v>1122.0</v>
      </c>
      <c r="G25" s="157" t="s">
        <v>288</v>
      </c>
      <c r="H25" s="150">
        <v>0.0</v>
      </c>
      <c r="I25" s="126" t="str">
        <f>IFERROR(VLOOKUP(C19:C161,'R22 RELATÓRIO ACC'!B:F,5,FALSE),"NOT PUBLISHED")</f>
        <v>NOT PUBLISHED</v>
      </c>
      <c r="J25" s="126" t="str">
        <f>IFERROR(VLOOKUP(C19:C161,'R22 RELATÓRIO ACC'!B:P,15,FALSE),"NOT PUBLISHED")</f>
        <v>NOT PUBLISHED</v>
      </c>
      <c r="K25" s="852" t="str">
        <f>IFERROR(VLOOKUP(B22:B164,'RELATÓRIO ACC'!B:F,5,FALSE),"NOT PUBLISHED")</f>
        <v>NOT PUBLISHED</v>
      </c>
      <c r="L25" s="1197" t="str">
        <f>IFERROR(VLOOKUP(B22:B164,'RELATÓRIO ACC'!B:P,15,FALSE),"NOT PUBLISHED")</f>
        <v>NOT PUBLISHED</v>
      </c>
      <c r="M25" s="141" t="s">
        <v>466</v>
      </c>
      <c r="N25" s="141" t="s">
        <v>466</v>
      </c>
      <c r="O25" s="1042" t="s">
        <v>466</v>
      </c>
      <c r="P25" s="141" t="s">
        <v>466</v>
      </c>
      <c r="Q25" s="68" t="s">
        <v>462</v>
      </c>
      <c r="R25" s="746" t="s">
        <v>466</v>
      </c>
      <c r="S25" s="746" t="s">
        <v>466</v>
      </c>
      <c r="T25" s="74" t="s">
        <v>462</v>
      </c>
      <c r="U25" s="746" t="s">
        <v>466</v>
      </c>
      <c r="V25" s="746" t="s">
        <v>466</v>
      </c>
      <c r="W25" s="74" t="s">
        <v>462</v>
      </c>
      <c r="X25" s="746" t="s">
        <v>466</v>
      </c>
      <c r="Y25" s="746" t="s">
        <v>466</v>
      </c>
      <c r="Z25" s="74" t="s">
        <v>462</v>
      </c>
      <c r="AA25" s="746" t="s">
        <v>466</v>
      </c>
      <c r="AB25" s="746" t="s">
        <v>466</v>
      </c>
      <c r="AC25" s="74" t="s">
        <v>462</v>
      </c>
      <c r="AD25" s="746" t="s">
        <v>466</v>
      </c>
      <c r="AE25" s="746" t="s">
        <v>466</v>
      </c>
      <c r="AF25" s="74" t="s">
        <v>462</v>
      </c>
      <c r="AG25" s="746" t="s">
        <v>466</v>
      </c>
      <c r="AH25" s="746" t="s">
        <v>466</v>
      </c>
      <c r="AI25" s="74" t="s">
        <v>462</v>
      </c>
      <c r="AJ25" s="746" t="s">
        <v>466</v>
      </c>
      <c r="AK25" s="746" t="s">
        <v>466</v>
      </c>
      <c r="AL25" s="74" t="s">
        <v>462</v>
      </c>
      <c r="AM25" s="746" t="s">
        <v>466</v>
      </c>
      <c r="AN25" s="746" t="s">
        <v>466</v>
      </c>
      <c r="AO25" s="74" t="s">
        <v>462</v>
      </c>
      <c r="AP25" s="746" t="s">
        <v>466</v>
      </c>
      <c r="AQ25" s="746" t="s">
        <v>466</v>
      </c>
      <c r="AR25" s="74" t="s">
        <v>462</v>
      </c>
      <c r="AS25" s="746" t="s">
        <v>466</v>
      </c>
      <c r="AT25" s="746" t="s">
        <v>466</v>
      </c>
      <c r="AU25" s="74" t="s">
        <v>462</v>
      </c>
      <c r="AV25" s="746" t="s">
        <v>466</v>
      </c>
      <c r="AW25" s="746" t="s">
        <v>466</v>
      </c>
      <c r="AX25" s="74" t="s">
        <v>462</v>
      </c>
      <c r="AY25" s="746" t="s">
        <v>466</v>
      </c>
      <c r="AZ25" s="746" t="s">
        <v>466</v>
      </c>
      <c r="BA25" s="74" t="s">
        <v>462</v>
      </c>
      <c r="BB25" s="746" t="s">
        <v>466</v>
      </c>
      <c r="BC25" s="746" t="s">
        <v>466</v>
      </c>
      <c r="BD25" s="74" t="s">
        <v>462</v>
      </c>
      <c r="BE25" s="746" t="s">
        <v>466</v>
      </c>
      <c r="BF25" s="746" t="s">
        <v>466</v>
      </c>
      <c r="BG25" s="74" t="s">
        <v>462</v>
      </c>
      <c r="BH25" s="68" t="s">
        <v>466</v>
      </c>
      <c r="BI25" s="746" t="s">
        <v>466</v>
      </c>
      <c r="BJ25" s="74" t="s">
        <v>462</v>
      </c>
      <c r="BK25" s="68" t="s">
        <v>466</v>
      </c>
      <c r="BL25" s="68"/>
      <c r="BM25" s="68"/>
      <c r="BN25" s="68"/>
      <c r="BO25" s="68"/>
    </row>
    <row r="26" ht="15.0" customHeight="1" outlineLevel="1">
      <c r="A26" s="60">
        <v>102.0</v>
      </c>
      <c r="B26" s="747" t="s">
        <v>309</v>
      </c>
      <c r="C26" s="747" t="s">
        <v>310</v>
      </c>
      <c r="D26" s="71" t="s">
        <v>85</v>
      </c>
      <c r="E26" s="146" t="s">
        <v>308</v>
      </c>
      <c r="F26" s="72">
        <v>1123.0</v>
      </c>
      <c r="G26" s="147" t="s">
        <v>288</v>
      </c>
      <c r="H26" s="150">
        <v>0.0</v>
      </c>
      <c r="I26" s="126" t="str">
        <f>IFERROR(VLOOKUP(C20:C162,'R22 RELATÓRIO ACC'!B:F,5,FALSE),"NOT PUBLISHED")</f>
        <v>NOT PUBLISHED</v>
      </c>
      <c r="J26" s="126" t="str">
        <f>IFERROR(VLOOKUP(C20:C162,'R22 RELATÓRIO ACC'!B:P,15,FALSE),"NOT PUBLISHED")</f>
        <v>NOT PUBLISHED</v>
      </c>
      <c r="K26" s="746" t="str">
        <f>IFERROR(VLOOKUP(B23:B165,'RELATÓRIO ACC'!B:F,5,FALSE),"NOT PUBLISHED")</f>
        <v>NOT PUBLISHED</v>
      </c>
      <c r="L26" s="748" t="str">
        <f>IFERROR(VLOOKUP(B23:B165,'RELATÓRIO ACC'!B:P,15,FALSE),"NOT PUBLISHED")</f>
        <v>NOT PUBLISHED</v>
      </c>
      <c r="M26" s="141" t="s">
        <v>466</v>
      </c>
      <c r="N26" s="141" t="s">
        <v>466</v>
      </c>
      <c r="O26" s="1042" t="s">
        <v>466</v>
      </c>
      <c r="P26" s="141" t="s">
        <v>466</v>
      </c>
      <c r="Q26" s="74" t="s">
        <v>462</v>
      </c>
      <c r="R26" s="746" t="s">
        <v>466</v>
      </c>
      <c r="S26" s="746" t="s">
        <v>466</v>
      </c>
      <c r="T26" s="74" t="s">
        <v>462</v>
      </c>
      <c r="U26" s="746" t="s">
        <v>466</v>
      </c>
      <c r="V26" s="746" t="s">
        <v>466</v>
      </c>
      <c r="W26" s="74" t="s">
        <v>462</v>
      </c>
      <c r="X26" s="746" t="s">
        <v>466</v>
      </c>
      <c r="Y26" s="746" t="s">
        <v>466</v>
      </c>
      <c r="Z26" s="74" t="s">
        <v>462</v>
      </c>
      <c r="AA26" s="746" t="s">
        <v>466</v>
      </c>
      <c r="AB26" s="746" t="s">
        <v>466</v>
      </c>
      <c r="AC26" s="74" t="s">
        <v>462</v>
      </c>
      <c r="AD26" s="746" t="s">
        <v>466</v>
      </c>
      <c r="AE26" s="746" t="s">
        <v>466</v>
      </c>
      <c r="AF26" s="74" t="s">
        <v>462</v>
      </c>
      <c r="AG26" s="746" t="s">
        <v>466</v>
      </c>
      <c r="AH26" s="746" t="s">
        <v>466</v>
      </c>
      <c r="AI26" s="74" t="s">
        <v>462</v>
      </c>
      <c r="AJ26" s="746" t="s">
        <v>466</v>
      </c>
      <c r="AK26" s="746" t="s">
        <v>466</v>
      </c>
      <c r="AL26" s="74" t="s">
        <v>462</v>
      </c>
      <c r="AM26" s="746" t="s">
        <v>466</v>
      </c>
      <c r="AN26" s="746" t="s">
        <v>466</v>
      </c>
      <c r="AO26" s="74" t="s">
        <v>462</v>
      </c>
      <c r="AP26" s="746" t="s">
        <v>466</v>
      </c>
      <c r="AQ26" s="746" t="s">
        <v>466</v>
      </c>
      <c r="AR26" s="74" t="s">
        <v>462</v>
      </c>
      <c r="AS26" s="746" t="s">
        <v>466</v>
      </c>
      <c r="AT26" s="746" t="s">
        <v>466</v>
      </c>
      <c r="AU26" s="74" t="s">
        <v>462</v>
      </c>
      <c r="AV26" s="746" t="s">
        <v>466</v>
      </c>
      <c r="AW26" s="746" t="s">
        <v>466</v>
      </c>
      <c r="AX26" s="74" t="s">
        <v>462</v>
      </c>
      <c r="AY26" s="746" t="s">
        <v>466</v>
      </c>
      <c r="AZ26" s="746" t="s">
        <v>466</v>
      </c>
      <c r="BA26" s="74" t="s">
        <v>462</v>
      </c>
      <c r="BB26" s="746" t="s">
        <v>466</v>
      </c>
      <c r="BC26" s="746" t="s">
        <v>466</v>
      </c>
      <c r="BD26" s="74" t="s">
        <v>462</v>
      </c>
      <c r="BE26" s="746" t="s">
        <v>466</v>
      </c>
      <c r="BF26" s="746" t="s">
        <v>466</v>
      </c>
      <c r="BG26" s="74" t="s">
        <v>462</v>
      </c>
      <c r="BH26" s="746" t="s">
        <v>466</v>
      </c>
      <c r="BI26" s="746" t="s">
        <v>466</v>
      </c>
      <c r="BJ26" s="74" t="s">
        <v>462</v>
      </c>
      <c r="BK26" s="746" t="s">
        <v>466</v>
      </c>
      <c r="BL26" s="126"/>
      <c r="BM26" s="68"/>
      <c r="BN26" s="68"/>
      <c r="BO26" s="68"/>
    </row>
    <row r="27" ht="15.0" customHeight="1">
      <c r="A27" s="60">
        <v>97.0</v>
      </c>
      <c r="B27" s="769" t="s">
        <v>296</v>
      </c>
      <c r="C27" s="769" t="s">
        <v>297</v>
      </c>
      <c r="D27" s="770" t="s">
        <v>85</v>
      </c>
      <c r="E27" s="157" t="s">
        <v>298</v>
      </c>
      <c r="F27" s="771">
        <v>1121.0</v>
      </c>
      <c r="G27" s="157" t="s">
        <v>298</v>
      </c>
      <c r="H27" s="150">
        <v>0.0</v>
      </c>
      <c r="I27" s="126" t="str">
        <f>IFERROR(VLOOKUP(C21:C163,'R22 RELATÓRIO ACC'!B:F,5,FALSE),"NOT PUBLISHED")</f>
        <v>V1</v>
      </c>
      <c r="J27" s="126" t="str">
        <f>IFERROR(VLOOKUP(C21:C163,'R22 RELATÓRIO ACC'!B:P,15,FALSE),"NOT PUBLISHED")</f>
        <v>05/05/2026</v>
      </c>
      <c r="K27" s="852" t="str">
        <f>IFERROR(VLOOKUP(B24:B166,'RELATÓRIO ACC'!B:F,5,FALSE),"NOT PUBLISHED")</f>
        <v>V3</v>
      </c>
      <c r="L27" s="1197" t="str">
        <f>IFERROR(VLOOKUP(B24:B166,'RELATÓRIO ACC'!B:P,15,FALSE),"NOT PUBLISHED")</f>
        <v>20/06/2026</v>
      </c>
      <c r="M27" s="141" t="s">
        <v>480</v>
      </c>
      <c r="N27" s="847">
        <v>46193.0</v>
      </c>
      <c r="O27" s="1042" t="s">
        <v>472</v>
      </c>
      <c r="P27" s="141" t="s">
        <v>466</v>
      </c>
      <c r="Q27" s="68" t="s">
        <v>462</v>
      </c>
      <c r="R27" s="746" t="s">
        <v>466</v>
      </c>
      <c r="S27" s="746" t="s">
        <v>466</v>
      </c>
      <c r="T27" s="74" t="s">
        <v>462</v>
      </c>
      <c r="U27" s="746" t="s">
        <v>466</v>
      </c>
      <c r="V27" s="746" t="s">
        <v>466</v>
      </c>
      <c r="W27" s="74" t="s">
        <v>462</v>
      </c>
      <c r="X27" s="746" t="s">
        <v>466</v>
      </c>
      <c r="Y27" s="746" t="s">
        <v>466</v>
      </c>
      <c r="Z27" s="74" t="s">
        <v>462</v>
      </c>
      <c r="AA27" s="746" t="s">
        <v>466</v>
      </c>
      <c r="AB27" s="746" t="s">
        <v>466</v>
      </c>
      <c r="AC27" s="68" t="s">
        <v>462</v>
      </c>
      <c r="AD27" s="746" t="s">
        <v>466</v>
      </c>
      <c r="AE27" s="746" t="s">
        <v>466</v>
      </c>
      <c r="AF27" s="68" t="s">
        <v>462</v>
      </c>
      <c r="AG27" s="746" t="s">
        <v>466</v>
      </c>
      <c r="AH27" s="755" t="s">
        <v>462</v>
      </c>
      <c r="AI27" s="68" t="s">
        <v>462</v>
      </c>
      <c r="AJ27" s="746" t="s">
        <v>462</v>
      </c>
      <c r="AK27" s="755" t="s">
        <v>462</v>
      </c>
      <c r="AL27" s="68" t="s">
        <v>462</v>
      </c>
      <c r="AM27" s="746" t="s">
        <v>462</v>
      </c>
      <c r="AN27" s="755" t="s">
        <v>462</v>
      </c>
      <c r="AO27" s="68" t="s">
        <v>462</v>
      </c>
      <c r="AP27" s="746" t="s">
        <v>462</v>
      </c>
      <c r="AQ27" s="740" t="s">
        <v>474</v>
      </c>
      <c r="AR27" s="68" t="s">
        <v>462</v>
      </c>
      <c r="AS27" s="764">
        <v>0.0</v>
      </c>
      <c r="AT27" s="755" t="s">
        <v>477</v>
      </c>
      <c r="AU27" s="68" t="s">
        <v>596</v>
      </c>
      <c r="AV27" s="764">
        <v>0.56</v>
      </c>
      <c r="AW27" s="746" t="s">
        <v>474</v>
      </c>
      <c r="AX27" s="68" t="s">
        <v>596</v>
      </c>
      <c r="AY27" s="746" t="s">
        <v>474</v>
      </c>
      <c r="AZ27" s="746" t="s">
        <v>477</v>
      </c>
      <c r="BA27" s="68" t="s">
        <v>480</v>
      </c>
      <c r="BB27" s="764">
        <v>0.93</v>
      </c>
      <c r="BC27" s="746" t="s">
        <v>478</v>
      </c>
      <c r="BD27" s="68" t="s">
        <v>480</v>
      </c>
      <c r="BE27" s="746" t="s">
        <v>478</v>
      </c>
      <c r="BF27" s="746" t="s">
        <v>478</v>
      </c>
      <c r="BG27" s="68" t="s">
        <v>480</v>
      </c>
      <c r="BH27" s="746" t="s">
        <v>478</v>
      </c>
      <c r="BI27" s="746" t="s">
        <v>478</v>
      </c>
      <c r="BJ27" s="68" t="s">
        <v>480</v>
      </c>
      <c r="BK27" s="746" t="s">
        <v>478</v>
      </c>
      <c r="BL27" s="68"/>
      <c r="BM27" s="68"/>
      <c r="BN27" s="68"/>
      <c r="BO27" s="68"/>
    </row>
    <row r="28" ht="15.0" customHeight="1" outlineLevel="1">
      <c r="A28" s="60">
        <v>30.0</v>
      </c>
      <c r="B28" s="747" t="s">
        <v>154</v>
      </c>
      <c r="C28" s="747" t="s">
        <v>155</v>
      </c>
      <c r="D28" s="71" t="s">
        <v>85</v>
      </c>
      <c r="E28" s="138" t="s">
        <v>156</v>
      </c>
      <c r="F28" s="754">
        <v>0.0</v>
      </c>
      <c r="G28" s="154" t="s">
        <v>157</v>
      </c>
      <c r="H28" s="150"/>
      <c r="I28" s="126" t="str">
        <f>IFERROR(VLOOKUP(C22:C164,'R22 RELATÓRIO ACC'!B:F,5,FALSE),"NOT PUBLISHED")</f>
        <v>V4</v>
      </c>
      <c r="J28" s="126" t="str">
        <f>IFERROR(VLOOKUP(C22:C164,'R22 RELATÓRIO ACC'!B:P,15,FALSE),"NOT PUBLISHED")</f>
        <v>29/04/2026</v>
      </c>
      <c r="K28" s="746" t="str">
        <f>IFERROR(VLOOKUP(B26:B167,'RELATÓRIO ACC'!B:F,5,FALSE),"NOT PUBLISHED")</f>
        <v>V1</v>
      </c>
      <c r="L28" s="748" t="str">
        <f>IFERROR(VLOOKUP(B26:B167,'RELATÓRIO ACC'!B:P,15,FALSE),"NOT PUBLISHED")</f>
        <v>04/06/2026</v>
      </c>
      <c r="M28" s="141" t="s">
        <v>470</v>
      </c>
      <c r="N28" s="843" t="s">
        <v>471</v>
      </c>
      <c r="O28" s="1196" t="s">
        <v>472</v>
      </c>
      <c r="P28" s="141" t="s">
        <v>474</v>
      </c>
      <c r="Q28" s="766"/>
      <c r="R28" s="764">
        <v>0.0</v>
      </c>
      <c r="S28" s="746" t="s">
        <v>474</v>
      </c>
      <c r="T28" s="766"/>
      <c r="U28" s="746" t="s">
        <v>474</v>
      </c>
      <c r="V28" s="746" t="s">
        <v>474</v>
      </c>
      <c r="W28" s="766"/>
      <c r="X28" s="746" t="s">
        <v>474</v>
      </c>
      <c r="Y28" s="746" t="s">
        <v>477</v>
      </c>
      <c r="Z28" s="766" t="s">
        <v>480</v>
      </c>
      <c r="AA28" s="764">
        <v>0.71</v>
      </c>
      <c r="AB28" s="755" t="s">
        <v>474</v>
      </c>
      <c r="AC28" s="759"/>
      <c r="AD28" s="755" t="s">
        <v>474</v>
      </c>
      <c r="AE28" s="746" t="s">
        <v>475</v>
      </c>
      <c r="AF28" s="759" t="s">
        <v>479</v>
      </c>
      <c r="AG28" s="746" t="s">
        <v>475</v>
      </c>
      <c r="AH28" s="746" t="s">
        <v>478</v>
      </c>
      <c r="AI28" s="759" t="s">
        <v>479</v>
      </c>
      <c r="AJ28" s="746" t="s">
        <v>478</v>
      </c>
      <c r="AK28" s="755" t="s">
        <v>474</v>
      </c>
      <c r="AL28" s="759" t="s">
        <v>479</v>
      </c>
      <c r="AM28" s="746" t="s">
        <v>474</v>
      </c>
      <c r="AN28" s="755" t="s">
        <v>475</v>
      </c>
      <c r="AO28" s="759" t="s">
        <v>479</v>
      </c>
      <c r="AP28" s="755" t="s">
        <v>475</v>
      </c>
      <c r="AQ28" s="746" t="s">
        <v>474</v>
      </c>
      <c r="AR28" s="759" t="s">
        <v>479</v>
      </c>
      <c r="AS28" s="746" t="s">
        <v>474</v>
      </c>
      <c r="AT28" s="755" t="s">
        <v>475</v>
      </c>
      <c r="AU28" s="759" t="s">
        <v>479</v>
      </c>
      <c r="AV28" s="755" t="s">
        <v>475</v>
      </c>
      <c r="AW28" s="746" t="s">
        <v>478</v>
      </c>
      <c r="AX28" s="759" t="s">
        <v>479</v>
      </c>
      <c r="AY28" s="746" t="s">
        <v>478</v>
      </c>
      <c r="AZ28" s="746" t="s">
        <v>478</v>
      </c>
      <c r="BA28" s="759" t="s">
        <v>479</v>
      </c>
      <c r="BB28" s="746" t="s">
        <v>478</v>
      </c>
      <c r="BC28" s="746" t="s">
        <v>478</v>
      </c>
      <c r="BD28" s="759" t="s">
        <v>479</v>
      </c>
      <c r="BE28" s="746" t="s">
        <v>478</v>
      </c>
      <c r="BF28" s="746" t="s">
        <v>478</v>
      </c>
      <c r="BG28" s="759" t="s">
        <v>479</v>
      </c>
      <c r="BH28" s="68" t="s">
        <v>478</v>
      </c>
      <c r="BI28" s="746" t="s">
        <v>478</v>
      </c>
      <c r="BJ28" s="759" t="s">
        <v>479</v>
      </c>
      <c r="BK28" s="68" t="s">
        <v>478</v>
      </c>
      <c r="BL28" s="126"/>
      <c r="BM28" s="68"/>
      <c r="BN28" s="68"/>
      <c r="BO28" s="68"/>
    </row>
    <row r="29" ht="15.0" customHeight="1">
      <c r="A29" s="60">
        <v>25.0</v>
      </c>
      <c r="B29" s="769" t="s">
        <v>140</v>
      </c>
      <c r="C29" s="769" t="s">
        <v>141</v>
      </c>
      <c r="D29" s="770" t="s">
        <v>142</v>
      </c>
      <c r="E29" s="771" t="s">
        <v>138</v>
      </c>
      <c r="F29" s="157">
        <v>1101.0</v>
      </c>
      <c r="G29" s="771" t="s">
        <v>139</v>
      </c>
      <c r="H29" s="139">
        <v>1126.0</v>
      </c>
      <c r="I29" s="126" t="str">
        <f>IFERROR(VLOOKUP(C23:C165,'R22 RELATÓRIO ACC'!B:F,5,FALSE),"NOT PUBLISHED")</f>
        <v>V14</v>
      </c>
      <c r="J29" s="126" t="str">
        <f>IFERROR(VLOOKUP(C23:C165,'R22 RELATÓRIO ACC'!B:P,15,FALSE),"NOT PUBLISHED")</f>
        <v>30/01/2026</v>
      </c>
      <c r="K29" s="852" t="str">
        <f>IFERROR(VLOOKUP(B26:B168,'RELATÓRIO ACC'!B:F,5,FALSE),"NOT PUBLISHED")</f>
        <v>V1</v>
      </c>
      <c r="L29" s="1197" t="str">
        <f>IFERROR(VLOOKUP(B26:B168,'RELATÓRIO ACC'!B:P,15,FALSE),"NOT PUBLISHED")</f>
        <v>19/05/2026</v>
      </c>
      <c r="M29" s="141" t="s">
        <v>470</v>
      </c>
      <c r="N29" s="782">
        <v>46161.0</v>
      </c>
      <c r="O29" s="1196" t="s">
        <v>472</v>
      </c>
      <c r="P29" s="141" t="s">
        <v>474</v>
      </c>
      <c r="Q29" s="759"/>
      <c r="R29" s="764">
        <v>0.0</v>
      </c>
      <c r="S29" s="746" t="s">
        <v>477</v>
      </c>
      <c r="T29" s="759"/>
      <c r="U29" s="764">
        <v>0.53</v>
      </c>
      <c r="V29" s="746" t="s">
        <v>478</v>
      </c>
      <c r="W29" s="759"/>
      <c r="X29" s="746" t="s">
        <v>478</v>
      </c>
      <c r="Y29" s="746" t="s">
        <v>478</v>
      </c>
      <c r="Z29" s="759"/>
      <c r="AA29" s="746" t="s">
        <v>478</v>
      </c>
      <c r="AB29" s="746" t="s">
        <v>478</v>
      </c>
      <c r="AC29" s="759"/>
      <c r="AD29" s="746" t="s">
        <v>478</v>
      </c>
      <c r="AE29" s="746" t="s">
        <v>478</v>
      </c>
      <c r="AF29" s="759"/>
      <c r="AG29" s="746" t="s">
        <v>478</v>
      </c>
      <c r="AH29" s="746" t="s">
        <v>478</v>
      </c>
      <c r="AI29" s="759"/>
      <c r="AJ29" s="746" t="s">
        <v>478</v>
      </c>
      <c r="AK29" s="746" t="s">
        <v>475</v>
      </c>
      <c r="AL29" s="759"/>
      <c r="AM29" s="746" t="s">
        <v>475</v>
      </c>
      <c r="AN29" s="746" t="s">
        <v>478</v>
      </c>
      <c r="AO29" s="759"/>
      <c r="AP29" s="746" t="s">
        <v>478</v>
      </c>
      <c r="AQ29" s="746" t="s">
        <v>478</v>
      </c>
      <c r="AR29" s="759"/>
      <c r="AS29" s="746" t="s">
        <v>478</v>
      </c>
      <c r="AT29" s="746" t="s">
        <v>478</v>
      </c>
      <c r="AU29" s="759"/>
      <c r="AV29" s="746" t="s">
        <v>478</v>
      </c>
      <c r="AW29" s="746" t="s">
        <v>478</v>
      </c>
      <c r="AX29" s="759"/>
      <c r="AY29" s="746" t="s">
        <v>478</v>
      </c>
      <c r="AZ29" s="746" t="s">
        <v>478</v>
      </c>
      <c r="BA29" s="759"/>
      <c r="BB29" s="746" t="s">
        <v>478</v>
      </c>
      <c r="BC29" s="746" t="s">
        <v>478</v>
      </c>
      <c r="BD29" s="759"/>
      <c r="BE29" s="746" t="s">
        <v>478</v>
      </c>
      <c r="BF29" s="68" t="s">
        <v>478</v>
      </c>
      <c r="BG29" s="759"/>
      <c r="BH29" s="68" t="s">
        <v>478</v>
      </c>
      <c r="BI29" s="68" t="s">
        <v>478</v>
      </c>
      <c r="BJ29" s="759"/>
      <c r="BK29" s="68" t="s">
        <v>478</v>
      </c>
      <c r="BL29" s="68"/>
      <c r="BM29" s="111"/>
      <c r="BN29" s="111"/>
      <c r="BO29" s="111"/>
    </row>
    <row r="30" ht="15.0" customHeight="1" outlineLevel="1">
      <c r="A30" s="60">
        <v>72.0</v>
      </c>
      <c r="B30" s="849" t="s">
        <v>241</v>
      </c>
      <c r="C30" s="849" t="s">
        <v>242</v>
      </c>
      <c r="D30" s="71" t="s">
        <v>85</v>
      </c>
      <c r="E30" s="146" t="s">
        <v>169</v>
      </c>
      <c r="F30" s="72">
        <v>1112.0</v>
      </c>
      <c r="G30" s="139" t="s">
        <v>169</v>
      </c>
      <c r="H30" s="139">
        <v>1112.0</v>
      </c>
      <c r="I30" s="126" t="str">
        <f>IFERROR(VLOOKUP(C24:C166,'R22 RELATÓRIO ACC'!B:F,5,FALSE),"NOT PUBLISHED")</f>
        <v>V17</v>
      </c>
      <c r="J30" s="126" t="str">
        <f>IFERROR(VLOOKUP(C24:C166,'R22 RELATÓRIO ACC'!B:P,15,FALSE),"NOT PUBLISHED")</f>
        <v>14/05/2026</v>
      </c>
      <c r="K30" s="746" t="str">
        <f>IFERROR(VLOOKUP(B27:B169,'RELATÓRIO ACC'!B:F,5,FALSE),"NOT PUBLISHED")</f>
        <v>V4</v>
      </c>
      <c r="L30" s="748" t="str">
        <f>IFERROR(VLOOKUP(B27:B169,'RELATÓRIO ACC'!B:P,15,FALSE),"NOT PUBLISHED")</f>
        <v>25/06/2026</v>
      </c>
      <c r="M30" s="141" t="s">
        <v>479</v>
      </c>
      <c r="N30" s="1199">
        <v>46198.0</v>
      </c>
      <c r="O30" s="1042" t="s">
        <v>472</v>
      </c>
      <c r="P30" s="141" t="s">
        <v>474</v>
      </c>
      <c r="Q30" s="759"/>
      <c r="R30" s="764">
        <v>0.0</v>
      </c>
      <c r="S30" s="746" t="s">
        <v>474</v>
      </c>
      <c r="T30" s="759"/>
      <c r="U30" s="746" t="s">
        <v>474</v>
      </c>
      <c r="V30" s="746" t="s">
        <v>474</v>
      </c>
      <c r="W30" s="759"/>
      <c r="X30" s="746" t="s">
        <v>474</v>
      </c>
      <c r="Y30" s="746" t="s">
        <v>477</v>
      </c>
      <c r="Z30" s="759" t="s">
        <v>715</v>
      </c>
      <c r="AA30" s="764">
        <v>0.9</v>
      </c>
      <c r="AB30" s="755" t="s">
        <v>474</v>
      </c>
      <c r="AC30" s="1193"/>
      <c r="AD30" s="755" t="s">
        <v>474</v>
      </c>
      <c r="AE30" s="746" t="s">
        <v>474</v>
      </c>
      <c r="AF30" s="1193"/>
      <c r="AG30" s="746" t="s">
        <v>474</v>
      </c>
      <c r="AH30" s="746" t="s">
        <v>474</v>
      </c>
      <c r="AI30" s="1193"/>
      <c r="AJ30" s="746" t="s">
        <v>474</v>
      </c>
      <c r="AK30" s="68" t="s">
        <v>474</v>
      </c>
      <c r="AL30" s="1193"/>
      <c r="AM30" s="68" t="s">
        <v>474</v>
      </c>
      <c r="AN30" s="763" t="s">
        <v>475</v>
      </c>
      <c r="AO30" s="1200"/>
      <c r="AP30" s="763" t="s">
        <v>475</v>
      </c>
      <c r="AQ30" s="763" t="s">
        <v>474</v>
      </c>
      <c r="AR30" s="1193"/>
      <c r="AS30" s="763" t="s">
        <v>474</v>
      </c>
      <c r="AT30" s="763" t="s">
        <v>477</v>
      </c>
      <c r="AU30" s="1201" t="s">
        <v>470</v>
      </c>
      <c r="AV30" s="135">
        <v>0.94</v>
      </c>
      <c r="AW30" s="68" t="s">
        <v>474</v>
      </c>
      <c r="AX30" s="1201" t="s">
        <v>470</v>
      </c>
      <c r="AY30" s="68" t="s">
        <v>474</v>
      </c>
      <c r="AZ30" s="68" t="s">
        <v>477</v>
      </c>
      <c r="BA30" s="1201" t="s">
        <v>596</v>
      </c>
      <c r="BB30" s="135">
        <v>0.97</v>
      </c>
      <c r="BC30" s="763" t="s">
        <v>484</v>
      </c>
      <c r="BD30" s="1201" t="s">
        <v>479</v>
      </c>
      <c r="BE30" s="135">
        <v>1.0</v>
      </c>
      <c r="BF30" s="1030" t="s">
        <v>485</v>
      </c>
      <c r="BG30" s="1202" t="s">
        <v>476</v>
      </c>
      <c r="BH30" s="135">
        <v>1.0</v>
      </c>
      <c r="BI30" s="1030" t="s">
        <v>485</v>
      </c>
      <c r="BJ30" s="1202" t="s">
        <v>476</v>
      </c>
      <c r="BK30" s="135">
        <v>1.0</v>
      </c>
      <c r="BL30" s="126"/>
      <c r="BM30" s="111"/>
      <c r="BN30" s="111"/>
      <c r="BO30" s="111"/>
    </row>
    <row r="31" ht="15.0" customHeight="1">
      <c r="A31" s="60">
        <v>34.0</v>
      </c>
      <c r="B31" s="769" t="s">
        <v>167</v>
      </c>
      <c r="C31" s="769" t="s">
        <v>168</v>
      </c>
      <c r="D31" s="770" t="s">
        <v>85</v>
      </c>
      <c r="E31" s="771" t="s">
        <v>169</v>
      </c>
      <c r="F31" s="771">
        <v>1112.0</v>
      </c>
      <c r="G31" s="771" t="s">
        <v>170</v>
      </c>
      <c r="H31" s="139">
        <v>1129.0</v>
      </c>
      <c r="I31" s="126" t="str">
        <f>IFERROR(VLOOKUP(C25:C167,'R22 RELATÓRIO ACC'!B:F,5,FALSE),"NOT PUBLISHED")</f>
        <v>V40</v>
      </c>
      <c r="J31" s="126" t="str">
        <f>IFERROR(VLOOKUP(C25:C167,'R22 RELATÓRIO ACC'!B:P,15,FALSE),"NOT PUBLISHED")</f>
        <v>10/04/2026</v>
      </c>
      <c r="K31" s="852" t="str">
        <f>IFERROR(VLOOKUP(B28:B170,'RELATÓRIO ACC'!B:F,5,FALSE),"NOT PUBLISHED")</f>
        <v>V3</v>
      </c>
      <c r="L31" s="1197" t="str">
        <f>IFERROR(VLOOKUP(B28:B170,'RELATÓRIO ACC'!B:P,15,FALSE),"NOT PUBLISHED")</f>
        <v>13/07/2026</v>
      </c>
      <c r="M31" s="141" t="s">
        <v>716</v>
      </c>
      <c r="N31" s="1199">
        <v>46112.0</v>
      </c>
      <c r="O31" s="1042" t="s">
        <v>482</v>
      </c>
      <c r="P31" s="141" t="s">
        <v>474</v>
      </c>
      <c r="Q31" s="791"/>
      <c r="R31" s="134">
        <v>0.0</v>
      </c>
      <c r="S31" s="746" t="s">
        <v>484</v>
      </c>
      <c r="T31" s="759" t="s">
        <v>476</v>
      </c>
      <c r="U31" s="764">
        <v>1.0</v>
      </c>
      <c r="V31" s="746" t="s">
        <v>485</v>
      </c>
      <c r="W31" s="759" t="s">
        <v>476</v>
      </c>
      <c r="X31" s="764">
        <v>1.0</v>
      </c>
      <c r="Y31" s="746" t="s">
        <v>485</v>
      </c>
      <c r="Z31" s="759" t="s">
        <v>476</v>
      </c>
      <c r="AA31" s="764">
        <v>1.0</v>
      </c>
      <c r="AB31" s="1032" t="s">
        <v>485</v>
      </c>
      <c r="AC31" s="1202" t="s">
        <v>476</v>
      </c>
      <c r="AD31" s="764">
        <v>1.0</v>
      </c>
      <c r="AE31" s="1032" t="s">
        <v>485</v>
      </c>
      <c r="AF31" s="1202" t="s">
        <v>476</v>
      </c>
      <c r="AG31" s="764">
        <v>1.0</v>
      </c>
      <c r="AH31" s="1032" t="s">
        <v>485</v>
      </c>
      <c r="AI31" s="1202" t="s">
        <v>476</v>
      </c>
      <c r="AJ31" s="764">
        <v>1.0</v>
      </c>
      <c r="AK31" s="1032" t="s">
        <v>485</v>
      </c>
      <c r="AL31" s="1202" t="s">
        <v>476</v>
      </c>
      <c r="AM31" s="764">
        <v>1.0</v>
      </c>
      <c r="AN31" s="1032" t="s">
        <v>485</v>
      </c>
      <c r="AO31" s="1202" t="s">
        <v>476</v>
      </c>
      <c r="AP31" s="764">
        <v>1.0</v>
      </c>
      <c r="AQ31" s="1032" t="s">
        <v>485</v>
      </c>
      <c r="AR31" s="1202" t="s">
        <v>476</v>
      </c>
      <c r="AS31" s="764">
        <v>1.0</v>
      </c>
      <c r="AT31" s="1032" t="s">
        <v>485</v>
      </c>
      <c r="AU31" s="1202" t="s">
        <v>476</v>
      </c>
      <c r="AV31" s="764">
        <v>1.0</v>
      </c>
      <c r="AW31" s="1032" t="s">
        <v>485</v>
      </c>
      <c r="AX31" s="1202" t="s">
        <v>476</v>
      </c>
      <c r="AY31" s="764">
        <v>1.0</v>
      </c>
      <c r="AZ31" s="1032" t="s">
        <v>485</v>
      </c>
      <c r="BA31" s="1202" t="s">
        <v>476</v>
      </c>
      <c r="BB31" s="764">
        <v>1.0</v>
      </c>
      <c r="BC31" s="1032" t="s">
        <v>485</v>
      </c>
      <c r="BD31" s="1202" t="s">
        <v>476</v>
      </c>
      <c r="BE31" s="764">
        <v>1.0</v>
      </c>
      <c r="BF31" s="1032" t="s">
        <v>485</v>
      </c>
      <c r="BG31" s="1202" t="s">
        <v>476</v>
      </c>
      <c r="BH31" s="764">
        <v>1.0</v>
      </c>
      <c r="BI31" s="1032" t="s">
        <v>485</v>
      </c>
      <c r="BJ31" s="1202" t="s">
        <v>476</v>
      </c>
      <c r="BK31" s="764">
        <v>1.0</v>
      </c>
      <c r="BL31" s="68"/>
      <c r="BM31" s="111"/>
      <c r="BN31" s="111"/>
      <c r="BO31" s="111"/>
    </row>
    <row r="32" ht="15.0" customHeight="1" outlineLevel="1">
      <c r="A32" s="60">
        <v>22.0</v>
      </c>
      <c r="B32" s="747" t="s">
        <v>130</v>
      </c>
      <c r="C32" s="747" t="s">
        <v>131</v>
      </c>
      <c r="D32" s="71" t="s">
        <v>85</v>
      </c>
      <c r="E32" s="146" t="s">
        <v>132</v>
      </c>
      <c r="F32" s="72">
        <v>1110.0</v>
      </c>
      <c r="G32" s="139" t="s">
        <v>133</v>
      </c>
      <c r="H32" s="139">
        <v>1128.0</v>
      </c>
      <c r="I32" s="126" t="str">
        <f>IFERROR(VLOOKUP(C26:C168,'R22 RELATÓRIO ACC'!B:F,5,FALSE),"NOT PUBLISHED")</f>
        <v>V25</v>
      </c>
      <c r="J32" s="126" t="str">
        <f>IFERROR(VLOOKUP(C26:C168,'R22 RELATÓRIO ACC'!B:P,15,FALSE),"NOT PUBLISHED")</f>
        <v>06/05/2026</v>
      </c>
      <c r="K32" s="746" t="str">
        <f>IFERROR(VLOOKUP(B29:B171,'RELATÓRIO ACC'!B:F,5,FALSE),"NOT PUBLISHED")</f>
        <v>V3</v>
      </c>
      <c r="L32" s="748" t="str">
        <f>IFERROR(VLOOKUP(B29:B171,'RELATÓRIO ACC'!B:P,15,FALSE),"NOT PUBLISHED")</f>
        <v>07/07/2026</v>
      </c>
      <c r="M32" s="141" t="s">
        <v>596</v>
      </c>
      <c r="N32" s="1199">
        <v>46162.0</v>
      </c>
      <c r="O32" s="1042" t="s">
        <v>472</v>
      </c>
      <c r="P32" s="141" t="s">
        <v>474</v>
      </c>
      <c r="Q32" s="759"/>
      <c r="R32" s="764">
        <v>0.0</v>
      </c>
      <c r="S32" s="746" t="s">
        <v>477</v>
      </c>
      <c r="T32" s="759"/>
      <c r="U32" s="764">
        <v>0.27</v>
      </c>
      <c r="V32" s="746" t="s">
        <v>474</v>
      </c>
      <c r="W32" s="759"/>
      <c r="X32" s="746" t="s">
        <v>474</v>
      </c>
      <c r="Y32" s="746" t="s">
        <v>477</v>
      </c>
      <c r="Z32" s="759" t="s">
        <v>717</v>
      </c>
      <c r="AA32" s="764">
        <v>0.55</v>
      </c>
      <c r="AB32" s="746" t="s">
        <v>478</v>
      </c>
      <c r="AC32" s="759"/>
      <c r="AD32" s="746" t="s">
        <v>478</v>
      </c>
      <c r="AE32" s="746" t="s">
        <v>474</v>
      </c>
      <c r="AF32" s="759"/>
      <c r="AG32" s="746" t="s">
        <v>474</v>
      </c>
      <c r="AH32" s="746" t="s">
        <v>474</v>
      </c>
      <c r="AI32" s="759"/>
      <c r="AJ32" s="746" t="s">
        <v>474</v>
      </c>
      <c r="AK32" s="746" t="s">
        <v>474</v>
      </c>
      <c r="AL32" s="759"/>
      <c r="AM32" s="746" t="s">
        <v>474</v>
      </c>
      <c r="AN32" s="755" t="s">
        <v>484</v>
      </c>
      <c r="AO32" s="759" t="s">
        <v>596</v>
      </c>
      <c r="AP32" s="764">
        <v>1.0</v>
      </c>
      <c r="AQ32" s="1069" t="s">
        <v>485</v>
      </c>
      <c r="AR32" s="759" t="s">
        <v>596</v>
      </c>
      <c r="AS32" s="764">
        <v>1.0</v>
      </c>
      <c r="AT32" s="1069" t="s">
        <v>485</v>
      </c>
      <c r="AU32" s="759" t="s">
        <v>596</v>
      </c>
      <c r="AV32" s="764">
        <v>1.0</v>
      </c>
      <c r="AW32" s="1069" t="s">
        <v>485</v>
      </c>
      <c r="AX32" s="759" t="s">
        <v>596</v>
      </c>
      <c r="AY32" s="764">
        <v>1.0</v>
      </c>
      <c r="AZ32" s="1069" t="s">
        <v>485</v>
      </c>
      <c r="BA32" s="759" t="s">
        <v>596</v>
      </c>
      <c r="BB32" s="764">
        <v>1.0</v>
      </c>
      <c r="BC32" s="1069" t="s">
        <v>485</v>
      </c>
      <c r="BD32" s="759" t="s">
        <v>596</v>
      </c>
      <c r="BE32" s="764">
        <v>1.0</v>
      </c>
      <c r="BF32" s="1069" t="s">
        <v>485</v>
      </c>
      <c r="BG32" s="759" t="s">
        <v>596</v>
      </c>
      <c r="BH32" s="764">
        <v>1.0</v>
      </c>
      <c r="BI32" s="1069" t="s">
        <v>485</v>
      </c>
      <c r="BJ32" s="759" t="s">
        <v>596</v>
      </c>
      <c r="BK32" s="764">
        <v>1.0</v>
      </c>
      <c r="BL32" s="126"/>
      <c r="BM32" s="111"/>
      <c r="BN32" s="111"/>
      <c r="BO32" s="111"/>
    </row>
    <row r="33" ht="15.0" customHeight="1">
      <c r="A33" s="60">
        <v>63.0</v>
      </c>
      <c r="B33" s="1203" t="s">
        <v>225</v>
      </c>
      <c r="C33" s="1203" t="s">
        <v>226</v>
      </c>
      <c r="D33" s="770" t="s">
        <v>85</v>
      </c>
      <c r="E33" s="771" t="s">
        <v>169</v>
      </c>
      <c r="F33" s="771" t="s">
        <v>169</v>
      </c>
      <c r="G33" s="771" t="s">
        <v>169</v>
      </c>
      <c r="H33" s="139"/>
      <c r="I33" s="126" t="str">
        <f>IFERROR(VLOOKUP(C27:C169,'R22 RELATÓRIO ACC'!B:F,5,FALSE),"NOT PUBLISHED")</f>
        <v>V13</v>
      </c>
      <c r="J33" s="126" t="str">
        <f>IFERROR(VLOOKUP(C27:C169,'R22 RELATÓRIO ACC'!B:P,15,FALSE),"NOT PUBLISHED")</f>
        <v>12/05/2026</v>
      </c>
      <c r="K33" s="852" t="str">
        <f>IFERROR(VLOOKUP(B30:B172,'RELATÓRIO ACC'!B:F,5,FALSE),"NOT PUBLISHED")</f>
        <v>V5</v>
      </c>
      <c r="L33" s="1197" t="str">
        <f>IFERROR(VLOOKUP(B30:B172,'RELATÓRIO ACC'!B:P,15,FALSE),"NOT PUBLISHED")</f>
        <v>13/07/2026</v>
      </c>
      <c r="M33" s="141" t="s">
        <v>718</v>
      </c>
      <c r="N33" s="1199">
        <v>46141.0</v>
      </c>
      <c r="O33" s="1042" t="s">
        <v>482</v>
      </c>
      <c r="P33" s="141" t="s">
        <v>474</v>
      </c>
      <c r="Q33" s="759"/>
      <c r="R33" s="764">
        <v>0.0</v>
      </c>
      <c r="S33" s="746" t="s">
        <v>474</v>
      </c>
      <c r="T33" s="759"/>
      <c r="U33" s="746" t="s">
        <v>474</v>
      </c>
      <c r="V33" s="746" t="s">
        <v>477</v>
      </c>
      <c r="W33" s="759" t="s">
        <v>489</v>
      </c>
      <c r="X33" s="764">
        <v>0.67</v>
      </c>
      <c r="Y33" s="746" t="s">
        <v>477</v>
      </c>
      <c r="Z33" s="759" t="s">
        <v>500</v>
      </c>
      <c r="AA33" s="764">
        <v>0.85</v>
      </c>
      <c r="AB33" s="755" t="s">
        <v>474</v>
      </c>
      <c r="AC33" s="759"/>
      <c r="AD33" s="755" t="s">
        <v>474</v>
      </c>
      <c r="AE33" s="746" t="s">
        <v>484</v>
      </c>
      <c r="AF33" s="759" t="s">
        <v>718</v>
      </c>
      <c r="AG33" s="764">
        <v>1.0</v>
      </c>
      <c r="AH33" s="746" t="s">
        <v>484</v>
      </c>
      <c r="AI33" s="759" t="s">
        <v>718</v>
      </c>
      <c r="AJ33" s="764">
        <v>1.0</v>
      </c>
      <c r="AK33" s="1069" t="s">
        <v>485</v>
      </c>
      <c r="AL33" s="759" t="s">
        <v>718</v>
      </c>
      <c r="AM33" s="764">
        <v>1.0</v>
      </c>
      <c r="AN33" s="1069" t="s">
        <v>485</v>
      </c>
      <c r="AO33" s="759" t="s">
        <v>718</v>
      </c>
      <c r="AP33" s="764">
        <v>1.0</v>
      </c>
      <c r="AQ33" s="1069" t="s">
        <v>485</v>
      </c>
      <c r="AR33" s="759" t="s">
        <v>718</v>
      </c>
      <c r="AS33" s="764">
        <v>1.0</v>
      </c>
      <c r="AT33" s="1069" t="s">
        <v>485</v>
      </c>
      <c r="AU33" s="759" t="s">
        <v>718</v>
      </c>
      <c r="AV33" s="764">
        <v>1.0</v>
      </c>
      <c r="AW33" s="1069" t="s">
        <v>485</v>
      </c>
      <c r="AX33" s="759" t="s">
        <v>718</v>
      </c>
      <c r="AY33" s="764">
        <v>1.0</v>
      </c>
      <c r="AZ33" s="1069" t="s">
        <v>485</v>
      </c>
      <c r="BA33" s="759" t="s">
        <v>718</v>
      </c>
      <c r="BB33" s="764">
        <v>1.0</v>
      </c>
      <c r="BC33" s="1069" t="s">
        <v>485</v>
      </c>
      <c r="BD33" s="759" t="s">
        <v>718</v>
      </c>
      <c r="BE33" s="764">
        <v>1.0</v>
      </c>
      <c r="BF33" s="1069" t="s">
        <v>485</v>
      </c>
      <c r="BG33" s="759" t="s">
        <v>718</v>
      </c>
      <c r="BH33" s="764">
        <v>1.0</v>
      </c>
      <c r="BI33" s="1069" t="s">
        <v>485</v>
      </c>
      <c r="BJ33" s="759" t="s">
        <v>718</v>
      </c>
      <c r="BK33" s="764">
        <v>1.0</v>
      </c>
      <c r="BL33" s="68"/>
      <c r="BM33" s="111"/>
      <c r="BN33" s="111"/>
      <c r="BO33" s="111"/>
    </row>
    <row r="34" ht="15.0" customHeight="1" outlineLevel="1">
      <c r="A34" s="60">
        <v>66.0</v>
      </c>
      <c r="B34" s="747" t="s">
        <v>230</v>
      </c>
      <c r="C34" s="747" t="s">
        <v>231</v>
      </c>
      <c r="D34" s="71" t="s">
        <v>85</v>
      </c>
      <c r="E34" s="146" t="s">
        <v>232</v>
      </c>
      <c r="F34" s="72">
        <v>1116.0</v>
      </c>
      <c r="G34" s="139" t="s">
        <v>232</v>
      </c>
      <c r="H34" s="139">
        <v>1116.0</v>
      </c>
      <c r="I34" s="126" t="str">
        <f>IFERROR(VLOOKUP(C28:C170,'R22 RELATÓRIO ACC'!B:F,5,FALSE),"NOT PUBLISHED")</f>
        <v>V15</v>
      </c>
      <c r="J34" s="126" t="str">
        <f>IFERROR(VLOOKUP(C28:C170,'R22 RELATÓRIO ACC'!B:P,15,FALSE),"NOT PUBLISHED")</f>
        <v>15/04/2026</v>
      </c>
      <c r="K34" s="746" t="str">
        <f>IFERROR(VLOOKUP(B31:B173,'RELATÓRIO ACC'!B:F,5,FALSE),"NOT PUBLISHED")</f>
        <v>V2</v>
      </c>
      <c r="L34" s="748" t="str">
        <f>IFERROR(VLOOKUP(B31:B173,'RELATÓRIO ACC'!B:P,15,FALSE),"NOT PUBLISHED")</f>
        <v>02/06/2026</v>
      </c>
      <c r="M34" s="141" t="s">
        <v>719</v>
      </c>
      <c r="N34" s="843" t="s">
        <v>720</v>
      </c>
      <c r="O34" s="1042" t="s">
        <v>482</v>
      </c>
      <c r="P34" s="141" t="s">
        <v>474</v>
      </c>
      <c r="Q34" s="759"/>
      <c r="R34" s="764">
        <v>0.0</v>
      </c>
      <c r="S34" s="746" t="s">
        <v>474</v>
      </c>
      <c r="T34" s="759"/>
      <c r="U34" s="746" t="s">
        <v>474</v>
      </c>
      <c r="V34" s="746" t="s">
        <v>484</v>
      </c>
      <c r="W34" s="759" t="s">
        <v>476</v>
      </c>
      <c r="X34" s="764">
        <v>1.0</v>
      </c>
      <c r="Y34" s="746" t="s">
        <v>485</v>
      </c>
      <c r="Z34" s="759" t="s">
        <v>476</v>
      </c>
      <c r="AA34" s="764">
        <v>1.0</v>
      </c>
      <c r="AB34" s="746" t="s">
        <v>485</v>
      </c>
      <c r="AC34" s="759" t="s">
        <v>476</v>
      </c>
      <c r="AD34" s="764">
        <v>1.0</v>
      </c>
      <c r="AE34" s="746" t="s">
        <v>485</v>
      </c>
      <c r="AF34" s="759" t="s">
        <v>476</v>
      </c>
      <c r="AG34" s="764">
        <v>1.0</v>
      </c>
      <c r="AH34" s="746" t="s">
        <v>485</v>
      </c>
      <c r="AI34" s="759" t="s">
        <v>476</v>
      </c>
      <c r="AJ34" s="764">
        <v>1.0</v>
      </c>
      <c r="AK34" s="746" t="s">
        <v>485</v>
      </c>
      <c r="AL34" s="759" t="s">
        <v>476</v>
      </c>
      <c r="AM34" s="764">
        <v>1.0</v>
      </c>
      <c r="AN34" s="746" t="s">
        <v>485</v>
      </c>
      <c r="AO34" s="759" t="s">
        <v>476</v>
      </c>
      <c r="AP34" s="764">
        <v>1.0</v>
      </c>
      <c r="AQ34" s="746" t="s">
        <v>485</v>
      </c>
      <c r="AR34" s="759" t="s">
        <v>476</v>
      </c>
      <c r="AS34" s="764">
        <v>1.0</v>
      </c>
      <c r="AT34" s="746" t="s">
        <v>485</v>
      </c>
      <c r="AU34" s="759" t="s">
        <v>476</v>
      </c>
      <c r="AV34" s="764">
        <v>1.0</v>
      </c>
      <c r="AW34" s="746" t="s">
        <v>485</v>
      </c>
      <c r="AX34" s="759" t="s">
        <v>476</v>
      </c>
      <c r="AY34" s="764">
        <v>1.0</v>
      </c>
      <c r="AZ34" s="746" t="s">
        <v>485</v>
      </c>
      <c r="BA34" s="759" t="s">
        <v>476</v>
      </c>
      <c r="BB34" s="764">
        <v>1.0</v>
      </c>
      <c r="BC34" s="746" t="s">
        <v>485</v>
      </c>
      <c r="BD34" s="759" t="s">
        <v>476</v>
      </c>
      <c r="BE34" s="764">
        <v>1.0</v>
      </c>
      <c r="BF34" s="746" t="s">
        <v>485</v>
      </c>
      <c r="BG34" s="759" t="s">
        <v>476</v>
      </c>
      <c r="BH34" s="764">
        <v>1.0</v>
      </c>
      <c r="BI34" s="746" t="s">
        <v>485</v>
      </c>
      <c r="BJ34" s="759" t="s">
        <v>476</v>
      </c>
      <c r="BK34" s="764">
        <v>1.0</v>
      </c>
      <c r="BL34" s="126"/>
      <c r="BM34" s="111"/>
      <c r="BN34" s="111"/>
      <c r="BO34" s="111"/>
    </row>
    <row r="35" ht="15.0" customHeight="1">
      <c r="A35" s="60">
        <v>93.0</v>
      </c>
      <c r="B35" s="769" t="s">
        <v>285</v>
      </c>
      <c r="C35" s="769" t="s">
        <v>286</v>
      </c>
      <c r="D35" s="770" t="s">
        <v>85</v>
      </c>
      <c r="E35" s="771" t="s">
        <v>287</v>
      </c>
      <c r="F35" s="771"/>
      <c r="G35" s="157" t="s">
        <v>288</v>
      </c>
      <c r="H35" s="150"/>
      <c r="I35" s="126" t="str">
        <f>IFERROR(VLOOKUP(C29:C171,'R22 RELATÓRIO ACC'!B:F,5,FALSE),"NOT PUBLISHED")</f>
        <v>V10</v>
      </c>
      <c r="J35" s="126" t="str">
        <f>IFERROR(VLOOKUP(C29:C171,'R22 RELATÓRIO ACC'!B:P,15,FALSE),"NOT PUBLISHED")</f>
        <v>22/04/2026</v>
      </c>
      <c r="K35" s="852" t="str">
        <f>IFERROR(VLOOKUP(B32:B174,'RELATÓRIO ACC'!B:F,5,FALSE),"NOT PUBLISHED")</f>
        <v>V1</v>
      </c>
      <c r="L35" s="1197" t="str">
        <f>IFERROR(VLOOKUP(B32:B174,'RELATÓRIO ACC'!B:P,15,FALSE),"NOT PUBLISHED")</f>
        <v>15/05/2026</v>
      </c>
      <c r="M35" s="141" t="s">
        <v>508</v>
      </c>
      <c r="N35" s="843" t="s">
        <v>721</v>
      </c>
      <c r="O35" s="1042" t="s">
        <v>482</v>
      </c>
      <c r="P35" s="141" t="s">
        <v>474</v>
      </c>
      <c r="Q35" s="779"/>
      <c r="R35" s="764">
        <v>0.0</v>
      </c>
      <c r="S35" s="746" t="s">
        <v>484</v>
      </c>
      <c r="T35" s="759" t="s">
        <v>476</v>
      </c>
      <c r="U35" s="764">
        <v>1.0</v>
      </c>
      <c r="V35" s="746" t="s">
        <v>485</v>
      </c>
      <c r="W35" s="759" t="s">
        <v>476</v>
      </c>
      <c r="X35" s="764">
        <v>1.0</v>
      </c>
      <c r="Y35" s="746" t="s">
        <v>485</v>
      </c>
      <c r="Z35" s="759" t="s">
        <v>476</v>
      </c>
      <c r="AA35" s="764">
        <v>1.0</v>
      </c>
      <c r="AB35" s="746" t="s">
        <v>485</v>
      </c>
      <c r="AC35" s="759" t="s">
        <v>476</v>
      </c>
      <c r="AD35" s="764">
        <v>1.0</v>
      </c>
      <c r="AE35" s="746" t="s">
        <v>485</v>
      </c>
      <c r="AF35" s="759" t="s">
        <v>476</v>
      </c>
      <c r="AG35" s="764">
        <v>1.0</v>
      </c>
      <c r="AH35" s="746" t="s">
        <v>485</v>
      </c>
      <c r="AI35" s="759" t="s">
        <v>476</v>
      </c>
      <c r="AJ35" s="764">
        <v>1.0</v>
      </c>
      <c r="AK35" s="746" t="s">
        <v>485</v>
      </c>
      <c r="AL35" s="759" t="s">
        <v>476</v>
      </c>
      <c r="AM35" s="764">
        <v>1.0</v>
      </c>
      <c r="AN35" s="746" t="s">
        <v>485</v>
      </c>
      <c r="AO35" s="759" t="s">
        <v>476</v>
      </c>
      <c r="AP35" s="764">
        <v>1.0</v>
      </c>
      <c r="AQ35" s="746" t="s">
        <v>485</v>
      </c>
      <c r="AR35" s="759" t="s">
        <v>476</v>
      </c>
      <c r="AS35" s="764">
        <v>1.0</v>
      </c>
      <c r="AT35" s="746" t="s">
        <v>485</v>
      </c>
      <c r="AU35" s="759" t="s">
        <v>476</v>
      </c>
      <c r="AV35" s="764">
        <v>1.0</v>
      </c>
      <c r="AW35" s="746" t="s">
        <v>485</v>
      </c>
      <c r="AX35" s="759" t="s">
        <v>476</v>
      </c>
      <c r="AY35" s="764">
        <v>1.0</v>
      </c>
      <c r="AZ35" s="746" t="s">
        <v>485</v>
      </c>
      <c r="BA35" s="759" t="s">
        <v>476</v>
      </c>
      <c r="BB35" s="764">
        <v>1.0</v>
      </c>
      <c r="BC35" s="746" t="s">
        <v>485</v>
      </c>
      <c r="BD35" s="759" t="s">
        <v>476</v>
      </c>
      <c r="BE35" s="764">
        <v>1.0</v>
      </c>
      <c r="BF35" s="746" t="s">
        <v>485</v>
      </c>
      <c r="BG35" s="759" t="s">
        <v>476</v>
      </c>
      <c r="BH35" s="764">
        <v>1.0</v>
      </c>
      <c r="BI35" s="746" t="s">
        <v>485</v>
      </c>
      <c r="BJ35" s="759" t="s">
        <v>476</v>
      </c>
      <c r="BK35" s="764">
        <v>1.0</v>
      </c>
      <c r="BL35" s="763"/>
      <c r="BM35" s="111"/>
      <c r="BN35" s="111"/>
      <c r="BO35" s="111"/>
    </row>
    <row r="36" ht="16.5" customHeight="1" outlineLevel="1">
      <c r="A36" s="60">
        <v>52.0</v>
      </c>
      <c r="B36" s="747" t="s">
        <v>204</v>
      </c>
      <c r="C36" s="747" t="s">
        <v>205</v>
      </c>
      <c r="D36" s="71" t="s">
        <v>85</v>
      </c>
      <c r="E36" s="146" t="s">
        <v>180</v>
      </c>
      <c r="F36" s="72">
        <v>1114.0</v>
      </c>
      <c r="G36" s="139" t="s">
        <v>180</v>
      </c>
      <c r="H36" s="139">
        <v>1114.0</v>
      </c>
      <c r="I36" s="126" t="str">
        <f>IFERROR(VLOOKUP(C30:C172,'R22 RELATÓRIO ACC'!B:F,5,FALSE),"NOT PUBLISHED")</f>
        <v>V20</v>
      </c>
      <c r="J36" s="126" t="str">
        <f>IFERROR(VLOOKUP(C30:C172,'R22 RELATÓRIO ACC'!B:P,15,FALSE),"NOT PUBLISHED")</f>
        <v>05/05/2026</v>
      </c>
      <c r="K36" s="746" t="str">
        <f>IFERROR(VLOOKUP(B33:B175,'RELATÓRIO ACC'!B:F,5,FALSE),"NOT PUBLISHED")</f>
        <v>V2</v>
      </c>
      <c r="L36" s="748" t="str">
        <f>IFERROR(VLOOKUP(B33:B175,'RELATÓRIO ACC'!B:P,15,FALSE),"NOT PUBLISHED")</f>
        <v>12/07/2026</v>
      </c>
      <c r="M36" s="141" t="s">
        <v>722</v>
      </c>
      <c r="N36" s="843" t="s">
        <v>720</v>
      </c>
      <c r="O36" s="1042" t="s">
        <v>482</v>
      </c>
      <c r="P36" s="68" t="s">
        <v>474</v>
      </c>
      <c r="Q36" s="759"/>
      <c r="R36" s="764">
        <v>0.0</v>
      </c>
      <c r="S36" s="1204" t="s">
        <v>484</v>
      </c>
      <c r="T36" s="759" t="s">
        <v>476</v>
      </c>
      <c r="U36" s="764">
        <v>1.0</v>
      </c>
      <c r="V36" s="1204" t="s">
        <v>485</v>
      </c>
      <c r="W36" s="759" t="s">
        <v>476</v>
      </c>
      <c r="X36" s="764">
        <v>1.0</v>
      </c>
      <c r="Y36" s="1204" t="s">
        <v>485</v>
      </c>
      <c r="Z36" s="759" t="s">
        <v>476</v>
      </c>
      <c r="AA36" s="764">
        <v>1.0</v>
      </c>
      <c r="AB36" s="1204" t="s">
        <v>485</v>
      </c>
      <c r="AC36" s="759" t="s">
        <v>476</v>
      </c>
      <c r="AD36" s="764">
        <v>1.0</v>
      </c>
      <c r="AE36" s="1204" t="s">
        <v>485</v>
      </c>
      <c r="AF36" s="759" t="s">
        <v>476</v>
      </c>
      <c r="AG36" s="764">
        <v>1.0</v>
      </c>
      <c r="AH36" s="1204" t="s">
        <v>485</v>
      </c>
      <c r="AI36" s="759" t="s">
        <v>476</v>
      </c>
      <c r="AJ36" s="764">
        <v>1.0</v>
      </c>
      <c r="AK36" s="1204" t="s">
        <v>485</v>
      </c>
      <c r="AL36" s="759" t="s">
        <v>476</v>
      </c>
      <c r="AM36" s="764">
        <v>1.0</v>
      </c>
      <c r="AN36" s="1204" t="s">
        <v>485</v>
      </c>
      <c r="AO36" s="759" t="s">
        <v>476</v>
      </c>
      <c r="AP36" s="764">
        <v>1.0</v>
      </c>
      <c r="AQ36" s="1204" t="s">
        <v>485</v>
      </c>
      <c r="AR36" s="759" t="s">
        <v>476</v>
      </c>
      <c r="AS36" s="764">
        <v>1.0</v>
      </c>
      <c r="AT36" s="1204" t="s">
        <v>485</v>
      </c>
      <c r="AU36" s="759" t="s">
        <v>476</v>
      </c>
      <c r="AV36" s="764">
        <v>1.0</v>
      </c>
      <c r="AW36" s="1204" t="s">
        <v>485</v>
      </c>
      <c r="AX36" s="759" t="s">
        <v>476</v>
      </c>
      <c r="AY36" s="764">
        <v>1.0</v>
      </c>
      <c r="AZ36" s="1204" t="s">
        <v>485</v>
      </c>
      <c r="BA36" s="759" t="s">
        <v>476</v>
      </c>
      <c r="BB36" s="764">
        <v>1.0</v>
      </c>
      <c r="BC36" s="1204" t="s">
        <v>485</v>
      </c>
      <c r="BD36" s="759" t="s">
        <v>476</v>
      </c>
      <c r="BE36" s="764">
        <v>1.0</v>
      </c>
      <c r="BF36" s="1204" t="s">
        <v>485</v>
      </c>
      <c r="BG36" s="759" t="s">
        <v>476</v>
      </c>
      <c r="BH36" s="764">
        <v>1.0</v>
      </c>
      <c r="BI36" s="1204" t="s">
        <v>485</v>
      </c>
      <c r="BJ36" s="759" t="s">
        <v>476</v>
      </c>
      <c r="BK36" s="764">
        <v>1.0</v>
      </c>
      <c r="BL36" s="126"/>
      <c r="BM36" s="111"/>
      <c r="BN36" s="111"/>
      <c r="BO36" s="111"/>
    </row>
    <row r="37" ht="15.0" customHeight="1">
      <c r="A37" s="60">
        <v>39.0</v>
      </c>
      <c r="B37" s="769" t="s">
        <v>178</v>
      </c>
      <c r="C37" s="769" t="s">
        <v>179</v>
      </c>
      <c r="D37" s="770" t="s">
        <v>85</v>
      </c>
      <c r="E37" s="771" t="s">
        <v>180</v>
      </c>
      <c r="F37" s="771">
        <v>1114.0</v>
      </c>
      <c r="G37" s="771" t="s">
        <v>180</v>
      </c>
      <c r="H37" s="139">
        <v>1114.0</v>
      </c>
      <c r="I37" s="126" t="str">
        <f>IFERROR(VLOOKUP(C31:C173,'R22 RELATÓRIO ACC'!B:F,5,FALSE),"NOT PUBLISHED")</f>
        <v>V15</v>
      </c>
      <c r="J37" s="126" t="str">
        <f>IFERROR(VLOOKUP(C31:C173,'R22 RELATÓRIO ACC'!B:P,15,FALSE),"NOT PUBLISHED")</f>
        <v>27/04/2026</v>
      </c>
      <c r="K37" s="852" t="str">
        <f>IFERROR(VLOOKUP(B34:B176,'RELATÓRIO ACC'!B:F,5,FALSE),"NOT PUBLISHED")</f>
        <v>V3</v>
      </c>
      <c r="L37" s="1197" t="str">
        <f>IFERROR(VLOOKUP(B34:B176,'RELATÓRIO ACC'!B:P,15,FALSE),"NOT PUBLISHED")</f>
        <v>12/07/2026</v>
      </c>
      <c r="M37" s="141" t="s">
        <v>719</v>
      </c>
      <c r="N37" s="843" t="s">
        <v>723</v>
      </c>
      <c r="O37" s="1042" t="s">
        <v>482</v>
      </c>
      <c r="P37" s="68" t="s">
        <v>474</v>
      </c>
      <c r="Q37" s="791"/>
      <c r="R37" s="764">
        <v>0.0</v>
      </c>
      <c r="S37" s="1204" t="s">
        <v>484</v>
      </c>
      <c r="T37" s="791" t="s">
        <v>476</v>
      </c>
      <c r="U37" s="764">
        <v>1.0</v>
      </c>
      <c r="V37" s="1204" t="s">
        <v>485</v>
      </c>
      <c r="W37" s="791" t="s">
        <v>476</v>
      </c>
      <c r="X37" s="764">
        <v>1.0</v>
      </c>
      <c r="Y37" s="1204" t="s">
        <v>485</v>
      </c>
      <c r="Z37" s="791" t="s">
        <v>476</v>
      </c>
      <c r="AA37" s="764">
        <v>1.0</v>
      </c>
      <c r="AB37" s="1204" t="s">
        <v>485</v>
      </c>
      <c r="AC37" s="791" t="s">
        <v>476</v>
      </c>
      <c r="AD37" s="764">
        <v>1.0</v>
      </c>
      <c r="AE37" s="1204" t="s">
        <v>485</v>
      </c>
      <c r="AF37" s="791" t="s">
        <v>476</v>
      </c>
      <c r="AG37" s="764">
        <v>1.0</v>
      </c>
      <c r="AH37" s="1204" t="s">
        <v>485</v>
      </c>
      <c r="AI37" s="791" t="s">
        <v>476</v>
      </c>
      <c r="AJ37" s="764">
        <v>1.0</v>
      </c>
      <c r="AK37" s="1204" t="s">
        <v>485</v>
      </c>
      <c r="AL37" s="791" t="s">
        <v>476</v>
      </c>
      <c r="AM37" s="764">
        <v>1.0</v>
      </c>
      <c r="AN37" s="1204" t="s">
        <v>485</v>
      </c>
      <c r="AO37" s="791" t="s">
        <v>476</v>
      </c>
      <c r="AP37" s="764">
        <v>1.0</v>
      </c>
      <c r="AQ37" s="1204" t="s">
        <v>485</v>
      </c>
      <c r="AR37" s="791" t="s">
        <v>476</v>
      </c>
      <c r="AS37" s="764">
        <v>1.0</v>
      </c>
      <c r="AT37" s="1204" t="s">
        <v>485</v>
      </c>
      <c r="AU37" s="791" t="s">
        <v>476</v>
      </c>
      <c r="AV37" s="764">
        <v>1.0</v>
      </c>
      <c r="AW37" s="1204" t="s">
        <v>485</v>
      </c>
      <c r="AX37" s="791" t="s">
        <v>476</v>
      </c>
      <c r="AY37" s="764">
        <v>1.0</v>
      </c>
      <c r="AZ37" s="1204" t="s">
        <v>485</v>
      </c>
      <c r="BA37" s="791" t="s">
        <v>476</v>
      </c>
      <c r="BB37" s="764">
        <v>1.0</v>
      </c>
      <c r="BC37" s="1204" t="s">
        <v>485</v>
      </c>
      <c r="BD37" s="791" t="s">
        <v>476</v>
      </c>
      <c r="BE37" s="764">
        <v>1.0</v>
      </c>
      <c r="BF37" s="1204" t="s">
        <v>485</v>
      </c>
      <c r="BG37" s="791" t="s">
        <v>476</v>
      </c>
      <c r="BH37" s="764">
        <v>1.0</v>
      </c>
      <c r="BI37" s="1204" t="s">
        <v>485</v>
      </c>
      <c r="BJ37" s="791" t="s">
        <v>476</v>
      </c>
      <c r="BK37" s="764">
        <v>1.0</v>
      </c>
      <c r="BL37" s="68"/>
      <c r="BM37" s="111"/>
      <c r="BN37" s="111"/>
      <c r="BO37" s="111"/>
    </row>
    <row r="38" ht="15.0" customHeight="1" outlineLevel="1">
      <c r="A38" s="60">
        <v>95.0</v>
      </c>
      <c r="B38" s="747" t="s">
        <v>291</v>
      </c>
      <c r="C38" s="747" t="s">
        <v>292</v>
      </c>
      <c r="D38" s="71" t="s">
        <v>85</v>
      </c>
      <c r="E38" s="138" t="s">
        <v>293</v>
      </c>
      <c r="F38" s="72"/>
      <c r="G38" s="147" t="s">
        <v>288</v>
      </c>
      <c r="H38" s="150"/>
      <c r="I38" s="126" t="str">
        <f>IFERROR(VLOOKUP(C32:C174,'R22 RELATÓRIO ACC'!B:F,5,FALSE),"NOT PUBLISHED")</f>
        <v>V11</v>
      </c>
      <c r="J38" s="126" t="str">
        <f>IFERROR(VLOOKUP(C32:C174,'R22 RELATÓRIO ACC'!B:P,15,FALSE),"NOT PUBLISHED")</f>
        <v>28/04/2026</v>
      </c>
      <c r="K38" s="746" t="str">
        <f>IFERROR(VLOOKUP(B35:B177,'RELATÓRIO ACC'!B:F,5,FALSE),"NOT PUBLISHED")</f>
        <v>V1</v>
      </c>
      <c r="L38" s="748" t="str">
        <f>IFERROR(VLOOKUP(B35:B177,'RELATÓRIO ACC'!B:P,15,FALSE),"NOT PUBLISHED")</f>
        <v>15/05/2026</v>
      </c>
      <c r="M38" s="141" t="s">
        <v>489</v>
      </c>
      <c r="N38" s="843" t="s">
        <v>721</v>
      </c>
      <c r="O38" s="740" t="s">
        <v>482</v>
      </c>
      <c r="P38" s="68" t="s">
        <v>474</v>
      </c>
      <c r="Q38" s="766"/>
      <c r="R38" s="764">
        <v>0.0</v>
      </c>
      <c r="S38" s="1204" t="s">
        <v>484</v>
      </c>
      <c r="T38" s="759" t="s">
        <v>476</v>
      </c>
      <c r="U38" s="764">
        <v>1.0</v>
      </c>
      <c r="V38" s="1204" t="s">
        <v>485</v>
      </c>
      <c r="W38" s="759" t="s">
        <v>476</v>
      </c>
      <c r="X38" s="764">
        <v>1.0</v>
      </c>
      <c r="Y38" s="1204" t="s">
        <v>485</v>
      </c>
      <c r="Z38" s="759" t="s">
        <v>476</v>
      </c>
      <c r="AA38" s="764">
        <v>1.0</v>
      </c>
      <c r="AB38" s="1204" t="s">
        <v>485</v>
      </c>
      <c r="AC38" s="759" t="s">
        <v>476</v>
      </c>
      <c r="AD38" s="764">
        <v>1.0</v>
      </c>
      <c r="AE38" s="1204" t="s">
        <v>485</v>
      </c>
      <c r="AF38" s="759" t="s">
        <v>476</v>
      </c>
      <c r="AG38" s="764">
        <v>1.0</v>
      </c>
      <c r="AH38" s="1204" t="s">
        <v>485</v>
      </c>
      <c r="AI38" s="759" t="s">
        <v>476</v>
      </c>
      <c r="AJ38" s="764">
        <v>1.0</v>
      </c>
      <c r="AK38" s="1204" t="s">
        <v>485</v>
      </c>
      <c r="AL38" s="759" t="s">
        <v>476</v>
      </c>
      <c r="AM38" s="764">
        <v>1.0</v>
      </c>
      <c r="AN38" s="1204" t="s">
        <v>485</v>
      </c>
      <c r="AO38" s="759" t="s">
        <v>476</v>
      </c>
      <c r="AP38" s="764">
        <v>1.0</v>
      </c>
      <c r="AQ38" s="1204" t="s">
        <v>485</v>
      </c>
      <c r="AR38" s="759" t="s">
        <v>476</v>
      </c>
      <c r="AS38" s="764">
        <v>1.0</v>
      </c>
      <c r="AT38" s="1204" t="s">
        <v>485</v>
      </c>
      <c r="AU38" s="759" t="s">
        <v>476</v>
      </c>
      <c r="AV38" s="764">
        <v>1.0</v>
      </c>
      <c r="AW38" s="1204" t="s">
        <v>485</v>
      </c>
      <c r="AX38" s="759" t="s">
        <v>476</v>
      </c>
      <c r="AY38" s="764">
        <v>1.0</v>
      </c>
      <c r="AZ38" s="1204" t="s">
        <v>485</v>
      </c>
      <c r="BA38" s="759" t="s">
        <v>476</v>
      </c>
      <c r="BB38" s="764">
        <v>1.0</v>
      </c>
      <c r="BC38" s="1204" t="s">
        <v>485</v>
      </c>
      <c r="BD38" s="759" t="s">
        <v>476</v>
      </c>
      <c r="BE38" s="764">
        <v>1.0</v>
      </c>
      <c r="BF38" s="1204" t="s">
        <v>485</v>
      </c>
      <c r="BG38" s="759" t="s">
        <v>476</v>
      </c>
      <c r="BH38" s="764">
        <v>1.0</v>
      </c>
      <c r="BI38" s="1204" t="s">
        <v>485</v>
      </c>
      <c r="BJ38" s="759" t="s">
        <v>476</v>
      </c>
      <c r="BK38" s="764">
        <v>1.0</v>
      </c>
      <c r="BL38" s="153"/>
      <c r="BM38" s="111"/>
      <c r="BN38" s="111"/>
      <c r="BO38" s="111"/>
    </row>
    <row r="39" ht="15.0" customHeight="1">
      <c r="A39" s="60">
        <v>46.0</v>
      </c>
      <c r="B39" s="769" t="s">
        <v>192</v>
      </c>
      <c r="C39" s="769" t="s">
        <v>193</v>
      </c>
      <c r="D39" s="770" t="s">
        <v>85</v>
      </c>
      <c r="E39" s="771" t="s">
        <v>180</v>
      </c>
      <c r="F39" s="771">
        <v>1114.0</v>
      </c>
      <c r="G39" s="771" t="s">
        <v>180</v>
      </c>
      <c r="H39" s="139">
        <v>1114.0</v>
      </c>
      <c r="I39" s="126" t="str">
        <f>IFERROR(VLOOKUP(C33:C175,'R22 RELATÓRIO ACC'!B:F,5,FALSE),"NOT PUBLISHED")</f>
        <v>V18</v>
      </c>
      <c r="J39" s="126" t="str">
        <f>IFERROR(VLOOKUP(C33:C175,'R22 RELATÓRIO ACC'!B:P,15,FALSE),"NOT PUBLISHED")</f>
        <v>30/04/2026</v>
      </c>
      <c r="K39" s="746" t="str">
        <f>IFERROR(VLOOKUP(B36:B178,'RELATÓRIO ACC'!B:F,5,FALSE),"NOT PUBLISHED")</f>
        <v>V3</v>
      </c>
      <c r="L39" s="748" t="str">
        <f>IFERROR(VLOOKUP(B36:B178,'RELATÓRIO ACC'!B:P,15,FALSE),"NOT PUBLISHED")</f>
        <v>29/06/2026</v>
      </c>
      <c r="M39" s="141" t="s">
        <v>724</v>
      </c>
      <c r="N39" s="1199">
        <v>46121.0</v>
      </c>
      <c r="O39" s="740" t="s">
        <v>482</v>
      </c>
      <c r="P39" s="68" t="s">
        <v>474</v>
      </c>
      <c r="Q39" s="791"/>
      <c r="R39" s="764">
        <v>0.0</v>
      </c>
      <c r="S39" s="1204" t="s">
        <v>484</v>
      </c>
      <c r="T39" s="791" t="s">
        <v>476</v>
      </c>
      <c r="U39" s="764">
        <v>1.0</v>
      </c>
      <c r="V39" s="1204" t="s">
        <v>485</v>
      </c>
      <c r="W39" s="791" t="s">
        <v>476</v>
      </c>
      <c r="X39" s="764">
        <v>1.0</v>
      </c>
      <c r="Y39" s="1204" t="s">
        <v>485</v>
      </c>
      <c r="Z39" s="791" t="s">
        <v>476</v>
      </c>
      <c r="AA39" s="764">
        <v>1.0</v>
      </c>
      <c r="AB39" s="1204" t="s">
        <v>485</v>
      </c>
      <c r="AC39" s="791" t="s">
        <v>476</v>
      </c>
      <c r="AD39" s="764">
        <v>1.0</v>
      </c>
      <c r="AE39" s="1204" t="s">
        <v>485</v>
      </c>
      <c r="AF39" s="791" t="s">
        <v>476</v>
      </c>
      <c r="AG39" s="764">
        <v>1.0</v>
      </c>
      <c r="AH39" s="1204" t="s">
        <v>485</v>
      </c>
      <c r="AI39" s="791" t="s">
        <v>476</v>
      </c>
      <c r="AJ39" s="764">
        <v>1.0</v>
      </c>
      <c r="AK39" s="1204" t="s">
        <v>485</v>
      </c>
      <c r="AL39" s="791" t="s">
        <v>476</v>
      </c>
      <c r="AM39" s="764">
        <v>1.0</v>
      </c>
      <c r="AN39" s="1204" t="s">
        <v>485</v>
      </c>
      <c r="AO39" s="791" t="s">
        <v>476</v>
      </c>
      <c r="AP39" s="764">
        <v>1.0</v>
      </c>
      <c r="AQ39" s="1204" t="s">
        <v>485</v>
      </c>
      <c r="AR39" s="791" t="s">
        <v>476</v>
      </c>
      <c r="AS39" s="764">
        <v>1.0</v>
      </c>
      <c r="AT39" s="1204" t="s">
        <v>485</v>
      </c>
      <c r="AU39" s="791" t="s">
        <v>476</v>
      </c>
      <c r="AV39" s="764">
        <v>1.0</v>
      </c>
      <c r="AW39" s="1204" t="s">
        <v>485</v>
      </c>
      <c r="AX39" s="791" t="s">
        <v>476</v>
      </c>
      <c r="AY39" s="764">
        <v>1.0</v>
      </c>
      <c r="AZ39" s="1204" t="s">
        <v>485</v>
      </c>
      <c r="BA39" s="791" t="s">
        <v>476</v>
      </c>
      <c r="BB39" s="764">
        <v>1.0</v>
      </c>
      <c r="BC39" s="1204" t="s">
        <v>485</v>
      </c>
      <c r="BD39" s="791" t="s">
        <v>476</v>
      </c>
      <c r="BE39" s="764">
        <v>1.0</v>
      </c>
      <c r="BF39" s="1204" t="s">
        <v>485</v>
      </c>
      <c r="BG39" s="791" t="s">
        <v>476</v>
      </c>
      <c r="BH39" s="764">
        <v>1.0</v>
      </c>
      <c r="BI39" s="1204" t="s">
        <v>485</v>
      </c>
      <c r="BJ39" s="791" t="s">
        <v>476</v>
      </c>
      <c r="BK39" s="764">
        <v>1.0</v>
      </c>
      <c r="BL39" s="68"/>
      <c r="BM39" s="111"/>
      <c r="BN39" s="111"/>
      <c r="BO39" s="111"/>
    </row>
    <row r="40" ht="15.0" customHeight="1" outlineLevel="1">
      <c r="A40" s="60">
        <v>58.0</v>
      </c>
      <c r="B40" s="747" t="s">
        <v>215</v>
      </c>
      <c r="C40" s="747" t="s">
        <v>216</v>
      </c>
      <c r="D40" s="71" t="s">
        <v>85</v>
      </c>
      <c r="E40" s="146" t="s">
        <v>214</v>
      </c>
      <c r="F40" s="72">
        <v>1115.0</v>
      </c>
      <c r="G40" s="139" t="s">
        <v>214</v>
      </c>
      <c r="H40" s="139">
        <v>1115.0</v>
      </c>
      <c r="I40" s="126" t="str">
        <f>IFERROR(VLOOKUP(C34:C176,'R22 RELATÓRIO ACC'!B:F,5,FALSE),"NOT PUBLISHED")</f>
        <v>V40</v>
      </c>
      <c r="J40" s="126" t="str">
        <f>IFERROR(VLOOKUP(C34:C176,'R22 RELATÓRIO ACC'!B:P,15,FALSE),"NOT PUBLISHED")</f>
        <v>06/05/2026</v>
      </c>
      <c r="K40" s="746" t="str">
        <f>IFERROR(VLOOKUP(B37:B179,'RELATÓRIO ACC'!B:F,5,FALSE),"NOT PUBLISHED")</f>
        <v>V3</v>
      </c>
      <c r="L40" s="748" t="str">
        <f>IFERROR(VLOOKUP(B37:B179,'RELATÓRIO ACC'!B:P,15,FALSE),"NOT PUBLISHED")</f>
        <v>13/07/2026</v>
      </c>
      <c r="M40" s="1205" t="s">
        <v>716</v>
      </c>
      <c r="N40" s="1206">
        <v>46121.0</v>
      </c>
      <c r="O40" s="740" t="s">
        <v>482</v>
      </c>
      <c r="P40" s="141" t="s">
        <v>474</v>
      </c>
      <c r="Q40" s="759"/>
      <c r="R40" s="764">
        <v>0.0</v>
      </c>
      <c r="S40" s="746" t="s">
        <v>484</v>
      </c>
      <c r="T40" s="759" t="s">
        <v>476</v>
      </c>
      <c r="U40" s="764">
        <v>1.0</v>
      </c>
      <c r="V40" s="746" t="s">
        <v>485</v>
      </c>
      <c r="W40" s="759" t="s">
        <v>476</v>
      </c>
      <c r="X40" s="764">
        <v>1.0</v>
      </c>
      <c r="Y40" s="746" t="s">
        <v>485</v>
      </c>
      <c r="Z40" s="759" t="s">
        <v>476</v>
      </c>
      <c r="AA40" s="764">
        <v>1.0</v>
      </c>
      <c r="AB40" s="746" t="s">
        <v>485</v>
      </c>
      <c r="AC40" s="759" t="s">
        <v>476</v>
      </c>
      <c r="AD40" s="764">
        <v>1.0</v>
      </c>
      <c r="AE40" s="746" t="s">
        <v>485</v>
      </c>
      <c r="AF40" s="759" t="s">
        <v>476</v>
      </c>
      <c r="AG40" s="764">
        <v>1.0</v>
      </c>
      <c r="AH40" s="746" t="s">
        <v>485</v>
      </c>
      <c r="AI40" s="759" t="s">
        <v>476</v>
      </c>
      <c r="AJ40" s="764">
        <v>1.0</v>
      </c>
      <c r="AK40" s="746" t="s">
        <v>485</v>
      </c>
      <c r="AL40" s="759" t="s">
        <v>476</v>
      </c>
      <c r="AM40" s="764">
        <v>1.0</v>
      </c>
      <c r="AN40" s="746" t="s">
        <v>485</v>
      </c>
      <c r="AO40" s="759" t="s">
        <v>476</v>
      </c>
      <c r="AP40" s="764">
        <v>1.0</v>
      </c>
      <c r="AQ40" s="746" t="s">
        <v>485</v>
      </c>
      <c r="AR40" s="759" t="s">
        <v>476</v>
      </c>
      <c r="AS40" s="764">
        <v>1.0</v>
      </c>
      <c r="AT40" s="746" t="s">
        <v>485</v>
      </c>
      <c r="AU40" s="759" t="s">
        <v>476</v>
      </c>
      <c r="AV40" s="764">
        <v>1.0</v>
      </c>
      <c r="AW40" s="746" t="s">
        <v>485</v>
      </c>
      <c r="AX40" s="759" t="s">
        <v>476</v>
      </c>
      <c r="AY40" s="764">
        <v>1.0</v>
      </c>
      <c r="AZ40" s="746" t="s">
        <v>485</v>
      </c>
      <c r="BA40" s="759" t="s">
        <v>476</v>
      </c>
      <c r="BB40" s="764">
        <v>1.0</v>
      </c>
      <c r="BC40" s="746" t="s">
        <v>485</v>
      </c>
      <c r="BD40" s="759" t="s">
        <v>476</v>
      </c>
      <c r="BE40" s="764">
        <v>1.0</v>
      </c>
      <c r="BF40" s="746" t="s">
        <v>485</v>
      </c>
      <c r="BG40" s="759" t="s">
        <v>476</v>
      </c>
      <c r="BH40" s="764">
        <v>1.0</v>
      </c>
      <c r="BI40" s="746" t="s">
        <v>485</v>
      </c>
      <c r="BJ40" s="759" t="s">
        <v>476</v>
      </c>
      <c r="BK40" s="764">
        <v>1.0</v>
      </c>
      <c r="BL40" s="126"/>
      <c r="BM40" s="111"/>
      <c r="BN40" s="111"/>
      <c r="BO40" s="111"/>
    </row>
    <row r="41" ht="15.0" customHeight="1" outlineLevel="1">
      <c r="A41" s="60">
        <v>43.0</v>
      </c>
      <c r="B41" s="769" t="s">
        <v>187</v>
      </c>
      <c r="C41" s="769" t="s">
        <v>188</v>
      </c>
      <c r="D41" s="770" t="s">
        <v>85</v>
      </c>
      <c r="E41" s="771" t="s">
        <v>176</v>
      </c>
      <c r="F41" s="771">
        <v>1113.0</v>
      </c>
      <c r="G41" s="771" t="s">
        <v>176</v>
      </c>
      <c r="H41" s="139">
        <v>1113.0</v>
      </c>
      <c r="I41" s="126" t="str">
        <f>IFERROR(VLOOKUP(C35:C177,'R22 RELATÓRIO ACC'!B:F,5,FALSE),"NOT PUBLISHED")</f>
        <v>V36</v>
      </c>
      <c r="J41" s="126" t="str">
        <f>IFERROR(VLOOKUP(C35:C177,'R22 RELATÓRIO ACC'!B:P,15,FALSE),"NOT PUBLISHED")</f>
        <v>08/05/2026</v>
      </c>
      <c r="K41" s="852" t="str">
        <f>IFERROR(VLOOKUP(B38:B180,'RELATÓRIO ACC'!B:F,5,FALSE),"NOT PUBLISHED")</f>
        <v>V2</v>
      </c>
      <c r="L41" s="1197" t="str">
        <f>IFERROR(VLOOKUP(B38:B180,'RELATÓRIO ACC'!B:P,15,FALSE),"NOT PUBLISHED")</f>
        <v>03/06/2026</v>
      </c>
      <c r="M41" s="126" t="s">
        <v>725</v>
      </c>
      <c r="N41" s="772" t="s">
        <v>726</v>
      </c>
      <c r="O41" s="740" t="s">
        <v>482</v>
      </c>
      <c r="P41" s="68" t="s">
        <v>474</v>
      </c>
      <c r="Q41" s="791"/>
      <c r="R41" s="1207">
        <v>0.0</v>
      </c>
      <c r="S41" s="68" t="s">
        <v>474</v>
      </c>
      <c r="T41" s="791"/>
      <c r="U41" s="1198" t="s">
        <v>474</v>
      </c>
      <c r="V41" s="68" t="s">
        <v>474</v>
      </c>
      <c r="W41" s="791"/>
      <c r="X41" s="1198" t="s">
        <v>474</v>
      </c>
      <c r="Y41" s="68" t="s">
        <v>477</v>
      </c>
      <c r="Z41" s="791" t="s">
        <v>727</v>
      </c>
      <c r="AA41" s="1207">
        <v>0.82</v>
      </c>
      <c r="AB41" s="68" t="s">
        <v>484</v>
      </c>
      <c r="AC41" s="791" t="s">
        <v>725</v>
      </c>
      <c r="AD41" s="1207">
        <v>1.0</v>
      </c>
      <c r="AE41" s="68" t="s">
        <v>485</v>
      </c>
      <c r="AF41" s="791" t="s">
        <v>725</v>
      </c>
      <c r="AG41" s="1207">
        <v>1.0</v>
      </c>
      <c r="AH41" s="68" t="s">
        <v>485</v>
      </c>
      <c r="AI41" s="791" t="s">
        <v>725</v>
      </c>
      <c r="AJ41" s="1207">
        <v>1.0</v>
      </c>
      <c r="AK41" s="68" t="s">
        <v>485</v>
      </c>
      <c r="AL41" s="791" t="s">
        <v>725</v>
      </c>
      <c r="AM41" s="1207">
        <v>1.0</v>
      </c>
      <c r="AN41" s="68" t="s">
        <v>485</v>
      </c>
      <c r="AO41" s="791" t="s">
        <v>725</v>
      </c>
      <c r="AP41" s="1207">
        <v>1.0</v>
      </c>
      <c r="AQ41" s="68" t="s">
        <v>485</v>
      </c>
      <c r="AR41" s="791" t="s">
        <v>725</v>
      </c>
      <c r="AS41" s="1207">
        <v>1.0</v>
      </c>
      <c r="AT41" s="68" t="s">
        <v>485</v>
      </c>
      <c r="AU41" s="791" t="s">
        <v>725</v>
      </c>
      <c r="AV41" s="1207">
        <v>1.0</v>
      </c>
      <c r="AW41" s="68" t="s">
        <v>485</v>
      </c>
      <c r="AX41" s="791" t="s">
        <v>725</v>
      </c>
      <c r="AY41" s="1207">
        <v>1.0</v>
      </c>
      <c r="AZ41" s="68" t="s">
        <v>485</v>
      </c>
      <c r="BA41" s="791" t="s">
        <v>725</v>
      </c>
      <c r="BB41" s="1207">
        <v>1.0</v>
      </c>
      <c r="BC41" s="68" t="s">
        <v>485</v>
      </c>
      <c r="BD41" s="791" t="s">
        <v>725</v>
      </c>
      <c r="BE41" s="1207">
        <v>1.0</v>
      </c>
      <c r="BF41" s="68" t="s">
        <v>485</v>
      </c>
      <c r="BG41" s="791" t="s">
        <v>725</v>
      </c>
      <c r="BH41" s="1207">
        <v>1.0</v>
      </c>
      <c r="BI41" s="68" t="s">
        <v>485</v>
      </c>
      <c r="BJ41" s="791" t="s">
        <v>725</v>
      </c>
      <c r="BK41" s="1207">
        <v>1.0</v>
      </c>
      <c r="BL41" s="68"/>
      <c r="BM41" s="111"/>
      <c r="BN41" s="111"/>
      <c r="BO41" s="111"/>
    </row>
    <row r="42" ht="15.0" customHeight="1" outlineLevel="1">
      <c r="A42" s="60">
        <v>79.0</v>
      </c>
      <c r="B42" s="747" t="s">
        <v>257</v>
      </c>
      <c r="C42" s="747" t="s">
        <v>258</v>
      </c>
      <c r="D42" s="71" t="s">
        <v>85</v>
      </c>
      <c r="E42" s="146" t="s">
        <v>256</v>
      </c>
      <c r="F42" s="146">
        <v>1118.0</v>
      </c>
      <c r="G42" s="146" t="s">
        <v>256</v>
      </c>
      <c r="H42" s="139">
        <v>1118.0</v>
      </c>
      <c r="I42" s="126" t="str">
        <f>IFERROR(VLOOKUP(C36:C178,'R22 RELATÓRIO ACC'!B:F,5,FALSE),"NOT PUBLISHED")</f>
        <v>V39</v>
      </c>
      <c r="J42" s="126" t="str">
        <f>IFERROR(VLOOKUP(C36:C178,'R22 RELATÓRIO ACC'!B:P,15,FALSE),"NOT PUBLISHED")</f>
        <v>30/04/2026</v>
      </c>
      <c r="K42" s="746" t="str">
        <f>IFERROR(VLOOKUP(B39:B181,'RELATÓRIO ACC'!B:F,5,FALSE),"NOT PUBLISHED")</f>
        <v>V3</v>
      </c>
      <c r="L42" s="748" t="str">
        <f>IFERROR(VLOOKUP(B39:B181,'RELATÓRIO ACC'!B:P,15,FALSE),"NOT PUBLISHED")</f>
        <v>01/07/2026</v>
      </c>
      <c r="M42" s="141" t="s">
        <v>716</v>
      </c>
      <c r="N42" s="1199">
        <v>46142.0</v>
      </c>
      <c r="O42" s="740" t="s">
        <v>482</v>
      </c>
      <c r="P42" s="68" t="s">
        <v>474</v>
      </c>
      <c r="Q42" s="759"/>
      <c r="R42" s="764">
        <v>0.0</v>
      </c>
      <c r="S42" s="1204" t="s">
        <v>477</v>
      </c>
      <c r="T42" s="759"/>
      <c r="U42" s="764">
        <v>0.93</v>
      </c>
      <c r="V42" s="1204" t="s">
        <v>474</v>
      </c>
      <c r="W42" s="759"/>
      <c r="X42" s="746" t="s">
        <v>474</v>
      </c>
      <c r="Y42" s="1204" t="s">
        <v>477</v>
      </c>
      <c r="Z42" s="759" t="s">
        <v>728</v>
      </c>
      <c r="AA42" s="764">
        <v>0.93</v>
      </c>
      <c r="AB42" s="1204" t="s">
        <v>474</v>
      </c>
      <c r="AC42" s="759"/>
      <c r="AD42" s="746" t="s">
        <v>474</v>
      </c>
      <c r="AE42" s="1204" t="s">
        <v>474</v>
      </c>
      <c r="AF42" s="759"/>
      <c r="AG42" s="746" t="s">
        <v>474</v>
      </c>
      <c r="AH42" s="1204" t="s">
        <v>485</v>
      </c>
      <c r="AI42" s="759" t="s">
        <v>716</v>
      </c>
      <c r="AJ42" s="764">
        <v>1.0</v>
      </c>
      <c r="AK42" s="1204" t="s">
        <v>485</v>
      </c>
      <c r="AL42" s="759" t="s">
        <v>716</v>
      </c>
      <c r="AM42" s="764">
        <v>1.0</v>
      </c>
      <c r="AN42" s="1204" t="s">
        <v>485</v>
      </c>
      <c r="AO42" s="759" t="s">
        <v>716</v>
      </c>
      <c r="AP42" s="764">
        <v>1.0</v>
      </c>
      <c r="AQ42" s="1204" t="s">
        <v>485</v>
      </c>
      <c r="AR42" s="759" t="s">
        <v>716</v>
      </c>
      <c r="AS42" s="764">
        <v>1.0</v>
      </c>
      <c r="AT42" s="1204" t="s">
        <v>485</v>
      </c>
      <c r="AU42" s="759" t="s">
        <v>716</v>
      </c>
      <c r="AV42" s="764">
        <v>1.0</v>
      </c>
      <c r="AW42" s="1204" t="s">
        <v>485</v>
      </c>
      <c r="AX42" s="759" t="s">
        <v>716</v>
      </c>
      <c r="AY42" s="764">
        <v>1.0</v>
      </c>
      <c r="AZ42" s="1204" t="s">
        <v>485</v>
      </c>
      <c r="BA42" s="759" t="s">
        <v>716</v>
      </c>
      <c r="BB42" s="764">
        <v>1.0</v>
      </c>
      <c r="BC42" s="1204" t="s">
        <v>485</v>
      </c>
      <c r="BD42" s="759" t="s">
        <v>716</v>
      </c>
      <c r="BE42" s="764">
        <v>1.0</v>
      </c>
      <c r="BF42" s="1204" t="s">
        <v>485</v>
      </c>
      <c r="BG42" s="759" t="s">
        <v>716</v>
      </c>
      <c r="BH42" s="764">
        <v>1.0</v>
      </c>
      <c r="BI42" s="1204" t="s">
        <v>485</v>
      </c>
      <c r="BJ42" s="759" t="s">
        <v>716</v>
      </c>
      <c r="BK42" s="764">
        <v>1.0</v>
      </c>
      <c r="BL42" s="126"/>
      <c r="BM42" s="111"/>
      <c r="BN42" s="111"/>
      <c r="BO42" s="111"/>
    </row>
    <row r="43" ht="15.0" customHeight="1">
      <c r="A43" s="60">
        <v>2.0</v>
      </c>
      <c r="B43" s="769" t="s">
        <v>83</v>
      </c>
      <c r="C43" s="769" t="s">
        <v>84</v>
      </c>
      <c r="D43" s="770" t="s">
        <v>85</v>
      </c>
      <c r="E43" s="771" t="s">
        <v>86</v>
      </c>
      <c r="F43" s="771">
        <v>1130.0</v>
      </c>
      <c r="G43" s="771" t="s">
        <v>86</v>
      </c>
      <c r="H43" s="139">
        <v>1130.0</v>
      </c>
      <c r="I43" s="126" t="str">
        <f>IFERROR(VLOOKUP(C37:C179,'R22 RELATÓRIO ACC'!B:F,5,FALSE),"NOT PUBLISHED")</f>
        <v>V29</v>
      </c>
      <c r="J43" s="126" t="str">
        <f>IFERROR(VLOOKUP(C37:C179,'R22 RELATÓRIO ACC'!B:P,15,FALSE),"NOT PUBLISHED")</f>
        <v>13/04/2026</v>
      </c>
      <c r="K43" s="852" t="str">
        <f>IFERROR(VLOOKUP(B41:B182,'RELATÓRIO ACC'!B:F,5,FALSE),"NOT PUBLISHED")</f>
        <v>V3</v>
      </c>
      <c r="L43" s="1197" t="str">
        <f>IFERROR(VLOOKUP(B41:B182,'RELATÓRIO ACC'!B:P,15,FALSE),"NOT PUBLISHED")</f>
        <v>03/06/2026</v>
      </c>
      <c r="M43" s="126" t="s">
        <v>505</v>
      </c>
      <c r="N43" s="855">
        <v>46125.0</v>
      </c>
      <c r="O43" s="1111" t="s">
        <v>482</v>
      </c>
      <c r="P43" s="68" t="s">
        <v>474</v>
      </c>
      <c r="Q43" s="779"/>
      <c r="R43" s="1207">
        <v>0.0</v>
      </c>
      <c r="S43" s="68" t="s">
        <v>477</v>
      </c>
      <c r="T43" s="779"/>
      <c r="U43" s="1207">
        <v>0.97</v>
      </c>
      <c r="V43" s="68" t="s">
        <v>474</v>
      </c>
      <c r="W43" s="779"/>
      <c r="X43" s="1198" t="s">
        <v>474</v>
      </c>
      <c r="Y43" s="68" t="s">
        <v>484</v>
      </c>
      <c r="Z43" s="779" t="s">
        <v>505</v>
      </c>
      <c r="AA43" s="1207">
        <v>1.0</v>
      </c>
      <c r="AB43" s="68" t="s">
        <v>485</v>
      </c>
      <c r="AC43" s="779" t="s">
        <v>505</v>
      </c>
      <c r="AD43" s="1207">
        <v>1.0</v>
      </c>
      <c r="AE43" s="68" t="s">
        <v>485</v>
      </c>
      <c r="AF43" s="779" t="s">
        <v>505</v>
      </c>
      <c r="AG43" s="1207">
        <v>1.0</v>
      </c>
      <c r="AH43" s="68" t="s">
        <v>485</v>
      </c>
      <c r="AI43" s="779" t="s">
        <v>505</v>
      </c>
      <c r="AJ43" s="1207">
        <v>1.0</v>
      </c>
      <c r="AK43" s="68" t="s">
        <v>485</v>
      </c>
      <c r="AL43" s="779" t="s">
        <v>505</v>
      </c>
      <c r="AM43" s="1207">
        <v>1.0</v>
      </c>
      <c r="AN43" s="68" t="s">
        <v>485</v>
      </c>
      <c r="AO43" s="779" t="s">
        <v>505</v>
      </c>
      <c r="AP43" s="1207">
        <v>1.0</v>
      </c>
      <c r="AQ43" s="68" t="s">
        <v>485</v>
      </c>
      <c r="AR43" s="779" t="s">
        <v>505</v>
      </c>
      <c r="AS43" s="1207">
        <v>1.0</v>
      </c>
      <c r="AT43" s="68" t="s">
        <v>485</v>
      </c>
      <c r="AU43" s="779" t="s">
        <v>505</v>
      </c>
      <c r="AV43" s="1207">
        <v>1.0</v>
      </c>
      <c r="AW43" s="68" t="s">
        <v>485</v>
      </c>
      <c r="AX43" s="779" t="s">
        <v>505</v>
      </c>
      <c r="AY43" s="1207">
        <v>1.0</v>
      </c>
      <c r="AZ43" s="68" t="s">
        <v>485</v>
      </c>
      <c r="BA43" s="779" t="s">
        <v>505</v>
      </c>
      <c r="BB43" s="1207">
        <v>1.0</v>
      </c>
      <c r="BC43" s="68" t="s">
        <v>485</v>
      </c>
      <c r="BD43" s="779" t="s">
        <v>505</v>
      </c>
      <c r="BE43" s="1207">
        <v>1.0</v>
      </c>
      <c r="BF43" s="68" t="s">
        <v>485</v>
      </c>
      <c r="BG43" s="779" t="s">
        <v>505</v>
      </c>
      <c r="BH43" s="1207">
        <v>1.0</v>
      </c>
      <c r="BI43" s="68" t="s">
        <v>485</v>
      </c>
      <c r="BJ43" s="779" t="s">
        <v>505</v>
      </c>
      <c r="BK43" s="1207">
        <v>1.0</v>
      </c>
      <c r="BL43" s="68"/>
      <c r="BM43" s="111"/>
      <c r="BN43" s="111"/>
      <c r="BO43" s="111"/>
    </row>
    <row r="44" ht="15.0" customHeight="1" outlineLevel="1">
      <c r="A44" s="60">
        <v>14.0</v>
      </c>
      <c r="B44" s="747" t="s">
        <v>108</v>
      </c>
      <c r="C44" s="747" t="s">
        <v>109</v>
      </c>
      <c r="D44" s="71" t="s">
        <v>85</v>
      </c>
      <c r="E44" s="138" t="s">
        <v>100</v>
      </c>
      <c r="F44" s="72">
        <v>1104.0</v>
      </c>
      <c r="G44" s="139" t="s">
        <v>101</v>
      </c>
      <c r="H44" s="139">
        <v>1127.0</v>
      </c>
      <c r="I44" s="126" t="str">
        <f>IFERROR(VLOOKUP(C38:C180,'R22 RELATÓRIO ACC'!B:F,5,FALSE),"NOT PUBLISHED")</f>
        <v>V13</v>
      </c>
      <c r="J44" s="126" t="str">
        <f>IFERROR(VLOOKUP(C38:C180,'R22 RELATÓRIO ACC'!B:P,15,FALSE),"NOT PUBLISHED")</f>
        <v>02/03/2026</v>
      </c>
      <c r="K44" s="746" t="str">
        <f>IFERROR(VLOOKUP(B41:B183,'RELATÓRIO ACC'!B:F,5,FALSE),"NOT PUBLISHED")</f>
        <v>V3</v>
      </c>
      <c r="L44" s="748" t="str">
        <f>IFERROR(VLOOKUP(B41:B183,'RELATÓRIO ACC'!B:P,15,FALSE),"NOT PUBLISHED")</f>
        <v>24/06/2026</v>
      </c>
      <c r="M44" s="141" t="s">
        <v>492</v>
      </c>
      <c r="N44" s="1199">
        <v>46083.0</v>
      </c>
      <c r="O44" s="1111" t="s">
        <v>482</v>
      </c>
      <c r="P44" s="141" t="s">
        <v>474</v>
      </c>
      <c r="Q44" s="759"/>
      <c r="R44" s="1057">
        <v>0.0</v>
      </c>
      <c r="S44" s="746" t="s">
        <v>474</v>
      </c>
      <c r="T44" s="759"/>
      <c r="U44" s="1037" t="s">
        <v>474</v>
      </c>
      <c r="V44" s="746" t="s">
        <v>484</v>
      </c>
      <c r="W44" s="759" t="s">
        <v>476</v>
      </c>
      <c r="X44" s="1057">
        <v>1.0</v>
      </c>
      <c r="Y44" s="746" t="s">
        <v>485</v>
      </c>
      <c r="Z44" s="759" t="s">
        <v>476</v>
      </c>
      <c r="AA44" s="1057">
        <v>1.0</v>
      </c>
      <c r="AB44" s="746" t="s">
        <v>485</v>
      </c>
      <c r="AC44" s="759" t="s">
        <v>476</v>
      </c>
      <c r="AD44" s="1057">
        <v>1.0</v>
      </c>
      <c r="AE44" s="746" t="s">
        <v>485</v>
      </c>
      <c r="AF44" s="759" t="s">
        <v>476</v>
      </c>
      <c r="AG44" s="1057">
        <v>1.0</v>
      </c>
      <c r="AH44" s="746" t="s">
        <v>485</v>
      </c>
      <c r="AI44" s="759" t="s">
        <v>476</v>
      </c>
      <c r="AJ44" s="1057">
        <v>1.0</v>
      </c>
      <c r="AK44" s="746" t="s">
        <v>485</v>
      </c>
      <c r="AL44" s="759" t="s">
        <v>476</v>
      </c>
      <c r="AM44" s="1057">
        <v>1.0</v>
      </c>
      <c r="AN44" s="746" t="s">
        <v>485</v>
      </c>
      <c r="AO44" s="759" t="s">
        <v>476</v>
      </c>
      <c r="AP44" s="1057">
        <v>1.0</v>
      </c>
      <c r="AQ44" s="746" t="s">
        <v>485</v>
      </c>
      <c r="AR44" s="759" t="s">
        <v>476</v>
      </c>
      <c r="AS44" s="1057">
        <v>1.0</v>
      </c>
      <c r="AT44" s="746" t="s">
        <v>485</v>
      </c>
      <c r="AU44" s="759" t="s">
        <v>476</v>
      </c>
      <c r="AV44" s="1057">
        <v>1.0</v>
      </c>
      <c r="AW44" s="746" t="s">
        <v>485</v>
      </c>
      <c r="AX44" s="759" t="s">
        <v>476</v>
      </c>
      <c r="AY44" s="1057">
        <v>1.0</v>
      </c>
      <c r="AZ44" s="746" t="s">
        <v>485</v>
      </c>
      <c r="BA44" s="759" t="s">
        <v>476</v>
      </c>
      <c r="BB44" s="1057">
        <v>1.0</v>
      </c>
      <c r="BC44" s="746" t="s">
        <v>485</v>
      </c>
      <c r="BD44" s="759" t="s">
        <v>476</v>
      </c>
      <c r="BE44" s="1057">
        <v>1.0</v>
      </c>
      <c r="BF44" s="746" t="s">
        <v>485</v>
      </c>
      <c r="BG44" s="759" t="s">
        <v>476</v>
      </c>
      <c r="BH44" s="1057">
        <v>1.0</v>
      </c>
      <c r="BI44" s="746" t="s">
        <v>485</v>
      </c>
      <c r="BJ44" s="759" t="s">
        <v>476</v>
      </c>
      <c r="BK44" s="1057">
        <v>1.0</v>
      </c>
      <c r="BL44" s="126"/>
      <c r="BM44" s="111"/>
      <c r="BN44" s="111"/>
      <c r="BO44" s="111"/>
    </row>
    <row r="45" ht="15.0" customHeight="1">
      <c r="A45" s="60">
        <v>37.0</v>
      </c>
      <c r="B45" s="769" t="s">
        <v>174</v>
      </c>
      <c r="C45" s="769" t="s">
        <v>175</v>
      </c>
      <c r="D45" s="770" t="s">
        <v>85</v>
      </c>
      <c r="E45" s="771" t="s">
        <v>176</v>
      </c>
      <c r="F45" s="771">
        <v>1113.0</v>
      </c>
      <c r="G45" s="771" t="s">
        <v>176</v>
      </c>
      <c r="H45" s="139">
        <v>1113.0</v>
      </c>
      <c r="I45" s="126" t="str">
        <f>IFERROR(VLOOKUP(C39:C181,'R22 RELATÓRIO ACC'!B:F,5,FALSE),"NOT PUBLISHED")</f>
        <v>V28</v>
      </c>
      <c r="J45" s="126" t="str">
        <f>IFERROR(VLOOKUP(C39:C181,'R22 RELATÓRIO ACC'!B:P,15,FALSE),"NOT PUBLISHED")</f>
        <v>16/04/2026</v>
      </c>
      <c r="K45" s="852" t="str">
        <f>IFERROR(VLOOKUP(B42:B184,'RELATÓRIO ACC'!B:F,5,FALSE),"NOT PUBLISHED")</f>
        <v>V4</v>
      </c>
      <c r="L45" s="1197" t="str">
        <f>IFERROR(VLOOKUP(B42:B184,'RELATÓRIO ACC'!B:P,15,FALSE),"NOT PUBLISHED")</f>
        <v>26/06/2026</v>
      </c>
      <c r="M45" s="141" t="s">
        <v>502</v>
      </c>
      <c r="N45" s="843" t="s">
        <v>729</v>
      </c>
      <c r="O45" s="1111" t="s">
        <v>482</v>
      </c>
      <c r="P45" s="68" t="s">
        <v>474</v>
      </c>
      <c r="Q45" s="791"/>
      <c r="R45" s="1207">
        <v>0.0</v>
      </c>
      <c r="S45" s="68" t="s">
        <v>474</v>
      </c>
      <c r="T45" s="791"/>
      <c r="U45" s="1198" t="s">
        <v>474</v>
      </c>
      <c r="V45" s="68" t="s">
        <v>474</v>
      </c>
      <c r="W45" s="791"/>
      <c r="X45" s="1198" t="s">
        <v>474</v>
      </c>
      <c r="Y45" s="68" t="s">
        <v>477</v>
      </c>
      <c r="Z45" s="791" t="s">
        <v>502</v>
      </c>
      <c r="AA45" s="1207">
        <v>0.89</v>
      </c>
      <c r="AB45" s="1036" t="s">
        <v>484</v>
      </c>
      <c r="AC45" s="1208" t="s">
        <v>502</v>
      </c>
      <c r="AD45" s="1207">
        <v>1.0</v>
      </c>
      <c r="AE45" s="68" t="s">
        <v>485</v>
      </c>
      <c r="AF45" s="1208" t="s">
        <v>502</v>
      </c>
      <c r="AG45" s="1207">
        <v>1.0</v>
      </c>
      <c r="AH45" s="746" t="s">
        <v>485</v>
      </c>
      <c r="AI45" s="1201" t="s">
        <v>502</v>
      </c>
      <c r="AJ45" s="764">
        <v>1.0</v>
      </c>
      <c r="AK45" s="746" t="s">
        <v>485</v>
      </c>
      <c r="AL45" s="1201" t="s">
        <v>502</v>
      </c>
      <c r="AM45" s="764">
        <v>1.0</v>
      </c>
      <c r="AN45" s="746" t="s">
        <v>485</v>
      </c>
      <c r="AO45" s="1201" t="s">
        <v>502</v>
      </c>
      <c r="AP45" s="764">
        <v>1.0</v>
      </c>
      <c r="AQ45" s="746" t="s">
        <v>485</v>
      </c>
      <c r="AR45" s="1201" t="s">
        <v>502</v>
      </c>
      <c r="AS45" s="764">
        <v>1.0</v>
      </c>
      <c r="AT45" s="746" t="s">
        <v>485</v>
      </c>
      <c r="AU45" s="1201" t="s">
        <v>502</v>
      </c>
      <c r="AV45" s="764">
        <v>1.0</v>
      </c>
      <c r="AW45" s="746" t="s">
        <v>485</v>
      </c>
      <c r="AX45" s="1201" t="s">
        <v>502</v>
      </c>
      <c r="AY45" s="764">
        <v>1.0</v>
      </c>
      <c r="AZ45" s="746" t="s">
        <v>485</v>
      </c>
      <c r="BA45" s="1201" t="s">
        <v>502</v>
      </c>
      <c r="BB45" s="764">
        <v>1.0</v>
      </c>
      <c r="BC45" s="746" t="s">
        <v>485</v>
      </c>
      <c r="BD45" s="1201" t="s">
        <v>502</v>
      </c>
      <c r="BE45" s="764">
        <v>1.0</v>
      </c>
      <c r="BF45" s="746" t="s">
        <v>485</v>
      </c>
      <c r="BG45" s="1201" t="s">
        <v>502</v>
      </c>
      <c r="BH45" s="764">
        <v>1.0</v>
      </c>
      <c r="BI45" s="746" t="s">
        <v>485</v>
      </c>
      <c r="BJ45" s="1201" t="s">
        <v>502</v>
      </c>
      <c r="BK45" s="764">
        <v>1.0</v>
      </c>
      <c r="BL45" s="68"/>
      <c r="BM45" s="111"/>
      <c r="BN45" s="111"/>
      <c r="BO45" s="111"/>
    </row>
    <row r="46" ht="15.0" customHeight="1" outlineLevel="1">
      <c r="A46" s="60">
        <v>82.0</v>
      </c>
      <c r="B46" s="747" t="s">
        <v>262</v>
      </c>
      <c r="C46" s="747" t="s">
        <v>263</v>
      </c>
      <c r="D46" s="71" t="s">
        <v>85</v>
      </c>
      <c r="E46" s="146" t="s">
        <v>256</v>
      </c>
      <c r="F46" s="72">
        <v>1118.0</v>
      </c>
      <c r="G46" s="139" t="s">
        <v>256</v>
      </c>
      <c r="H46" s="139">
        <v>1118.0</v>
      </c>
      <c r="I46" s="126" t="str">
        <f>IFERROR(VLOOKUP(C40:C182,'R22 RELATÓRIO ACC'!B:F,5,FALSE),"NOT PUBLISHED")</f>
        <v>V59</v>
      </c>
      <c r="J46" s="126" t="str">
        <f>IFERROR(VLOOKUP(C40:C182,'R22 RELATÓRIO ACC'!B:P,15,FALSE),"NOT PUBLISHED")</f>
        <v>17/04/2026</v>
      </c>
      <c r="K46" s="746" t="str">
        <f>IFERROR(VLOOKUP(B43:B185,'RELATÓRIO ACC'!B:F,5,FALSE),"NOT PUBLISHED")</f>
        <v>V5</v>
      </c>
      <c r="L46" s="748" t="str">
        <f>IFERROR(VLOOKUP(B43:B185,'RELATÓRIO ACC'!B:P,15,FALSE),"NOT PUBLISHED")</f>
        <v>06/07/2026</v>
      </c>
      <c r="M46" s="141" t="s">
        <v>730</v>
      </c>
      <c r="N46" s="1199">
        <v>46129.0</v>
      </c>
      <c r="O46" s="1111" t="s">
        <v>482</v>
      </c>
      <c r="P46" s="141" t="s">
        <v>474</v>
      </c>
      <c r="Q46" s="791"/>
      <c r="R46" s="1207">
        <v>0.0</v>
      </c>
      <c r="S46" s="746" t="s">
        <v>474</v>
      </c>
      <c r="T46" s="791"/>
      <c r="U46" s="1198" t="s">
        <v>474</v>
      </c>
      <c r="V46" s="746" t="s">
        <v>474</v>
      </c>
      <c r="W46" s="791"/>
      <c r="X46" s="1198" t="s">
        <v>474</v>
      </c>
      <c r="Y46" s="746" t="s">
        <v>474</v>
      </c>
      <c r="Z46" s="791" t="s">
        <v>730</v>
      </c>
      <c r="AA46" s="1198" t="s">
        <v>474</v>
      </c>
      <c r="AB46" s="746" t="s">
        <v>484</v>
      </c>
      <c r="AC46" s="791" t="s">
        <v>730</v>
      </c>
      <c r="AD46" s="1207">
        <v>1.0</v>
      </c>
      <c r="AE46" s="746" t="s">
        <v>485</v>
      </c>
      <c r="AF46" s="791" t="s">
        <v>730</v>
      </c>
      <c r="AG46" s="1207">
        <v>1.0</v>
      </c>
      <c r="AH46" s="746" t="s">
        <v>485</v>
      </c>
      <c r="AI46" s="791" t="s">
        <v>730</v>
      </c>
      <c r="AJ46" s="1207">
        <v>1.0</v>
      </c>
      <c r="AK46" s="746" t="s">
        <v>485</v>
      </c>
      <c r="AL46" s="791" t="s">
        <v>730</v>
      </c>
      <c r="AM46" s="1207">
        <v>1.0</v>
      </c>
      <c r="AN46" s="746" t="s">
        <v>485</v>
      </c>
      <c r="AO46" s="791" t="s">
        <v>730</v>
      </c>
      <c r="AP46" s="1207">
        <v>1.0</v>
      </c>
      <c r="AQ46" s="746" t="s">
        <v>485</v>
      </c>
      <c r="AR46" s="791" t="s">
        <v>730</v>
      </c>
      <c r="AS46" s="1207">
        <v>1.0</v>
      </c>
      <c r="AT46" s="746" t="s">
        <v>485</v>
      </c>
      <c r="AU46" s="791" t="s">
        <v>730</v>
      </c>
      <c r="AV46" s="1207">
        <v>1.0</v>
      </c>
      <c r="AW46" s="746" t="s">
        <v>485</v>
      </c>
      <c r="AX46" s="791" t="s">
        <v>730</v>
      </c>
      <c r="AY46" s="1207">
        <v>1.0</v>
      </c>
      <c r="AZ46" s="746" t="s">
        <v>485</v>
      </c>
      <c r="BA46" s="791" t="s">
        <v>730</v>
      </c>
      <c r="BB46" s="1207">
        <v>1.0</v>
      </c>
      <c r="BC46" s="746" t="s">
        <v>485</v>
      </c>
      <c r="BD46" s="791" t="s">
        <v>730</v>
      </c>
      <c r="BE46" s="1207">
        <v>1.0</v>
      </c>
      <c r="BF46" s="746" t="s">
        <v>485</v>
      </c>
      <c r="BG46" s="791" t="s">
        <v>730</v>
      </c>
      <c r="BH46" s="1207">
        <v>1.0</v>
      </c>
      <c r="BI46" s="746" t="s">
        <v>485</v>
      </c>
      <c r="BJ46" s="791" t="s">
        <v>730</v>
      </c>
      <c r="BK46" s="1207">
        <v>1.0</v>
      </c>
      <c r="BL46" s="126"/>
      <c r="BM46" s="111"/>
      <c r="BN46" s="111"/>
      <c r="BO46" s="111"/>
    </row>
    <row r="47" ht="15.0" customHeight="1">
      <c r="A47" s="60">
        <v>13.0</v>
      </c>
      <c r="B47" s="769" t="s">
        <v>105</v>
      </c>
      <c r="C47" s="769" t="s">
        <v>106</v>
      </c>
      <c r="D47" s="770" t="s">
        <v>85</v>
      </c>
      <c r="E47" s="771" t="s">
        <v>107</v>
      </c>
      <c r="F47" s="771">
        <v>1105.0</v>
      </c>
      <c r="G47" s="157" t="s">
        <v>101</v>
      </c>
      <c r="H47" s="139">
        <v>1105.0</v>
      </c>
      <c r="I47" s="126" t="str">
        <f>IFERROR(VLOOKUP(C41:C183,'R22 RELATÓRIO ACC'!B:F,5,FALSE),"NOT PUBLISHED")</f>
        <v>V9</v>
      </c>
      <c r="J47" s="126" t="str">
        <f>IFERROR(VLOOKUP(C41:C183,'R22 RELATÓRIO ACC'!B:P,15,FALSE),"NOT PUBLISHED")</f>
        <v>27/03/2026</v>
      </c>
      <c r="K47" s="852" t="str">
        <f>IFERROR(VLOOKUP(B44:B186,'RELATÓRIO ACC'!B:F,5,FALSE),"NOT PUBLISHED")</f>
        <v>V2</v>
      </c>
      <c r="L47" s="1197" t="str">
        <f>IFERROR(VLOOKUP(B44:B186,'RELATÓRIO ACC'!B:P,15,FALSE),"NOT PUBLISHED")</f>
        <v>26/06/2026</v>
      </c>
      <c r="M47" s="141" t="s">
        <v>508</v>
      </c>
      <c r="N47" s="1199">
        <v>46108.0</v>
      </c>
      <c r="O47" s="740" t="s">
        <v>482</v>
      </c>
      <c r="P47" s="68" t="s">
        <v>474</v>
      </c>
      <c r="Q47" s="791"/>
      <c r="R47" s="764">
        <v>0.0</v>
      </c>
      <c r="S47" s="68" t="s">
        <v>484</v>
      </c>
      <c r="T47" s="791"/>
      <c r="U47" s="764">
        <v>1.0</v>
      </c>
      <c r="V47" s="68" t="s">
        <v>485</v>
      </c>
      <c r="W47" s="791"/>
      <c r="X47" s="764">
        <v>1.0</v>
      </c>
      <c r="Y47" s="68" t="s">
        <v>485</v>
      </c>
      <c r="Z47" s="791"/>
      <c r="AA47" s="764">
        <v>1.0</v>
      </c>
      <c r="AB47" s="68" t="s">
        <v>485</v>
      </c>
      <c r="AC47" s="791"/>
      <c r="AD47" s="764">
        <v>1.0</v>
      </c>
      <c r="AE47" s="68" t="s">
        <v>485</v>
      </c>
      <c r="AF47" s="791"/>
      <c r="AG47" s="764">
        <v>1.0</v>
      </c>
      <c r="AH47" s="68" t="s">
        <v>485</v>
      </c>
      <c r="AI47" s="791"/>
      <c r="AJ47" s="764">
        <v>1.0</v>
      </c>
      <c r="AK47" s="68" t="s">
        <v>485</v>
      </c>
      <c r="AL47" s="791"/>
      <c r="AM47" s="764">
        <v>1.0</v>
      </c>
      <c r="AN47" s="68" t="s">
        <v>485</v>
      </c>
      <c r="AO47" s="791"/>
      <c r="AP47" s="764">
        <v>1.0</v>
      </c>
      <c r="AQ47" s="68" t="s">
        <v>485</v>
      </c>
      <c r="AR47" s="791"/>
      <c r="AS47" s="764">
        <v>1.0</v>
      </c>
      <c r="AT47" s="68" t="s">
        <v>485</v>
      </c>
      <c r="AU47" s="791"/>
      <c r="AV47" s="764">
        <v>1.0</v>
      </c>
      <c r="AW47" s="68" t="s">
        <v>485</v>
      </c>
      <c r="AX47" s="791"/>
      <c r="AY47" s="764">
        <v>1.0</v>
      </c>
      <c r="AZ47" s="68" t="s">
        <v>485</v>
      </c>
      <c r="BA47" s="791"/>
      <c r="BB47" s="764">
        <v>1.0</v>
      </c>
      <c r="BC47" s="68" t="s">
        <v>485</v>
      </c>
      <c r="BD47" s="791"/>
      <c r="BE47" s="764">
        <v>1.0</v>
      </c>
      <c r="BF47" s="68" t="s">
        <v>485</v>
      </c>
      <c r="BG47" s="791"/>
      <c r="BH47" s="764">
        <v>1.0</v>
      </c>
      <c r="BI47" s="68" t="s">
        <v>485</v>
      </c>
      <c r="BJ47" s="791"/>
      <c r="BK47" s="764">
        <v>1.0</v>
      </c>
      <c r="BL47" s="68"/>
      <c r="BM47" s="111"/>
      <c r="BN47" s="111"/>
      <c r="BO47" s="111"/>
    </row>
    <row r="48" ht="15.0" customHeight="1" outlineLevel="1">
      <c r="A48" s="60">
        <v>11.0</v>
      </c>
      <c r="B48" s="747" t="s">
        <v>98</v>
      </c>
      <c r="C48" s="747" t="s">
        <v>99</v>
      </c>
      <c r="D48" s="71" t="s">
        <v>85</v>
      </c>
      <c r="E48" s="138" t="s">
        <v>100</v>
      </c>
      <c r="F48" s="72">
        <v>1104.0</v>
      </c>
      <c r="G48" s="139" t="s">
        <v>101</v>
      </c>
      <c r="H48" s="139">
        <v>1127.0</v>
      </c>
      <c r="I48" s="126" t="str">
        <f>IFERROR(VLOOKUP(C42:C184,'R22 RELATÓRIO ACC'!B:F,5,FALSE),"NOT PUBLISHED")</f>
        <v>V12</v>
      </c>
      <c r="J48" s="126" t="str">
        <f>IFERROR(VLOOKUP(C42:C184,'R22 RELATÓRIO ACC'!B:P,15,FALSE),"NOT PUBLISHED")</f>
        <v>08/04/2026</v>
      </c>
      <c r="K48" s="746" t="str">
        <f>IFERROR(VLOOKUP(B45:B187,'RELATÓRIO ACC'!B:F,5,FALSE),"NOT PUBLISHED")</f>
        <v>V1</v>
      </c>
      <c r="L48" s="748" t="str">
        <f>IFERROR(VLOOKUP(B45:B187,'RELATÓRIO ACC'!B:P,15,FALSE),"NOT PUBLISHED")</f>
        <v>15/05/2026</v>
      </c>
      <c r="M48" s="141" t="s">
        <v>462</v>
      </c>
      <c r="N48" s="141" t="s">
        <v>462</v>
      </c>
      <c r="O48" s="740" t="s">
        <v>482</v>
      </c>
      <c r="P48" s="141" t="s">
        <v>474</v>
      </c>
      <c r="Q48" s="766"/>
      <c r="R48" s="1057">
        <v>0.0</v>
      </c>
      <c r="S48" s="746" t="s">
        <v>484</v>
      </c>
      <c r="T48" s="766"/>
      <c r="U48" s="1057">
        <v>1.0</v>
      </c>
      <c r="V48" s="746" t="s">
        <v>485</v>
      </c>
      <c r="W48" s="766"/>
      <c r="X48" s="1057">
        <v>1.0</v>
      </c>
      <c r="Y48" s="746" t="s">
        <v>485</v>
      </c>
      <c r="Z48" s="766"/>
      <c r="AA48" s="1057">
        <v>1.0</v>
      </c>
      <c r="AB48" s="746" t="s">
        <v>485</v>
      </c>
      <c r="AC48" s="766"/>
      <c r="AD48" s="1057">
        <v>1.0</v>
      </c>
      <c r="AE48" s="746" t="s">
        <v>485</v>
      </c>
      <c r="AF48" s="766"/>
      <c r="AG48" s="1057">
        <v>1.0</v>
      </c>
      <c r="AH48" s="746" t="s">
        <v>485</v>
      </c>
      <c r="AI48" s="766"/>
      <c r="AJ48" s="1057">
        <v>1.0</v>
      </c>
      <c r="AK48" s="746" t="s">
        <v>485</v>
      </c>
      <c r="AL48" s="766"/>
      <c r="AM48" s="1057">
        <v>1.0</v>
      </c>
      <c r="AN48" s="746" t="s">
        <v>485</v>
      </c>
      <c r="AO48" s="766"/>
      <c r="AP48" s="1057">
        <v>1.0</v>
      </c>
      <c r="AQ48" s="746" t="s">
        <v>485</v>
      </c>
      <c r="AR48" s="766"/>
      <c r="AS48" s="1057">
        <v>1.0</v>
      </c>
      <c r="AT48" s="746" t="s">
        <v>485</v>
      </c>
      <c r="AU48" s="766"/>
      <c r="AV48" s="1057">
        <v>1.0</v>
      </c>
      <c r="AW48" s="746" t="s">
        <v>485</v>
      </c>
      <c r="AX48" s="766"/>
      <c r="AY48" s="1057">
        <v>1.0</v>
      </c>
      <c r="AZ48" s="746" t="s">
        <v>485</v>
      </c>
      <c r="BA48" s="766"/>
      <c r="BB48" s="1057">
        <v>1.0</v>
      </c>
      <c r="BC48" s="746" t="s">
        <v>485</v>
      </c>
      <c r="BD48" s="766"/>
      <c r="BE48" s="1057">
        <v>1.0</v>
      </c>
      <c r="BF48" s="746" t="s">
        <v>485</v>
      </c>
      <c r="BG48" s="766"/>
      <c r="BH48" s="1057">
        <v>1.0</v>
      </c>
      <c r="BI48" s="746" t="s">
        <v>485</v>
      </c>
      <c r="BJ48" s="766"/>
      <c r="BK48" s="1057">
        <v>1.0</v>
      </c>
      <c r="BL48" s="126"/>
      <c r="BM48" s="111"/>
      <c r="BN48" s="111"/>
      <c r="BO48" s="111"/>
    </row>
    <row r="49" ht="15.0" customHeight="1">
      <c r="A49" s="60">
        <v>23.0</v>
      </c>
      <c r="B49" s="769" t="s">
        <v>134</v>
      </c>
      <c r="C49" s="769" t="s">
        <v>135</v>
      </c>
      <c r="D49" s="770" t="s">
        <v>85</v>
      </c>
      <c r="E49" s="771" t="s">
        <v>132</v>
      </c>
      <c r="F49" s="771">
        <v>1110.0</v>
      </c>
      <c r="G49" s="771" t="s">
        <v>133</v>
      </c>
      <c r="H49" s="139">
        <v>1128.0</v>
      </c>
      <c r="I49" s="126" t="str">
        <f>IFERROR(VLOOKUP(C43:C185,'R22 RELATÓRIO ACC'!B:F,5,FALSE),"NOT PUBLISHED")</f>
        <v>V30</v>
      </c>
      <c r="J49" s="126" t="str">
        <f>IFERROR(VLOOKUP(C43:C185,'R22 RELATÓRIO ACC'!B:P,15,FALSE),"NOT PUBLISHED")</f>
        <v>26/03/2026</v>
      </c>
      <c r="K49" s="852" t="str">
        <f>IFERROR(VLOOKUP(B46:B188,'RELATÓRIO ACC'!B:F,5,FALSE),"NOT PUBLISHED")</f>
        <v>V2</v>
      </c>
      <c r="L49" s="1197" t="str">
        <f>IFERROR(VLOOKUP(B46:B188,'RELATÓRIO ACC'!B:P,15,FALSE),"NOT PUBLISHED")</f>
        <v>20/05/2026</v>
      </c>
      <c r="M49" s="141" t="s">
        <v>731</v>
      </c>
      <c r="N49" s="843" t="s">
        <v>720</v>
      </c>
      <c r="O49" s="740" t="s">
        <v>482</v>
      </c>
      <c r="P49" s="68" t="s">
        <v>474</v>
      </c>
      <c r="Q49" s="791"/>
      <c r="R49" s="1207">
        <v>0.0</v>
      </c>
      <c r="S49" s="68" t="s">
        <v>484</v>
      </c>
      <c r="T49" s="791" t="s">
        <v>476</v>
      </c>
      <c r="U49" s="1207">
        <v>1.0</v>
      </c>
      <c r="V49" s="68" t="s">
        <v>485</v>
      </c>
      <c r="W49" s="791" t="s">
        <v>476</v>
      </c>
      <c r="X49" s="1207">
        <v>1.0</v>
      </c>
      <c r="Y49" s="68" t="s">
        <v>485</v>
      </c>
      <c r="Z49" s="791" t="s">
        <v>476</v>
      </c>
      <c r="AA49" s="1207">
        <v>1.0</v>
      </c>
      <c r="AB49" s="68" t="s">
        <v>485</v>
      </c>
      <c r="AC49" s="791" t="s">
        <v>476</v>
      </c>
      <c r="AD49" s="1207">
        <v>1.0</v>
      </c>
      <c r="AE49" s="68" t="s">
        <v>485</v>
      </c>
      <c r="AF49" s="791" t="s">
        <v>476</v>
      </c>
      <c r="AG49" s="1207">
        <v>1.0</v>
      </c>
      <c r="AH49" s="68" t="s">
        <v>485</v>
      </c>
      <c r="AI49" s="791" t="s">
        <v>476</v>
      </c>
      <c r="AJ49" s="1207">
        <v>1.0</v>
      </c>
      <c r="AK49" s="68" t="s">
        <v>485</v>
      </c>
      <c r="AL49" s="791" t="s">
        <v>476</v>
      </c>
      <c r="AM49" s="1207">
        <v>1.0</v>
      </c>
      <c r="AN49" s="68" t="s">
        <v>485</v>
      </c>
      <c r="AO49" s="791" t="s">
        <v>476</v>
      </c>
      <c r="AP49" s="1207">
        <v>1.0</v>
      </c>
      <c r="AQ49" s="68" t="s">
        <v>485</v>
      </c>
      <c r="AR49" s="791" t="s">
        <v>476</v>
      </c>
      <c r="AS49" s="1207">
        <v>1.0</v>
      </c>
      <c r="AT49" s="68" t="s">
        <v>485</v>
      </c>
      <c r="AU49" s="791" t="s">
        <v>476</v>
      </c>
      <c r="AV49" s="1207">
        <v>1.0</v>
      </c>
      <c r="AW49" s="68" t="s">
        <v>485</v>
      </c>
      <c r="AX49" s="791" t="s">
        <v>476</v>
      </c>
      <c r="AY49" s="1207">
        <v>1.0</v>
      </c>
      <c r="AZ49" s="68" t="s">
        <v>485</v>
      </c>
      <c r="BA49" s="791" t="s">
        <v>476</v>
      </c>
      <c r="BB49" s="1207">
        <v>1.0</v>
      </c>
      <c r="BC49" s="68" t="s">
        <v>485</v>
      </c>
      <c r="BD49" s="791" t="s">
        <v>476</v>
      </c>
      <c r="BE49" s="1207">
        <v>1.0</v>
      </c>
      <c r="BF49" s="68" t="s">
        <v>485</v>
      </c>
      <c r="BG49" s="791" t="s">
        <v>476</v>
      </c>
      <c r="BH49" s="1207">
        <v>1.0</v>
      </c>
      <c r="BI49" s="68" t="s">
        <v>485</v>
      </c>
      <c r="BJ49" s="791" t="s">
        <v>476</v>
      </c>
      <c r="BK49" s="1207">
        <v>1.0</v>
      </c>
      <c r="BL49" s="68"/>
      <c r="BM49" s="111"/>
      <c r="BN49" s="111"/>
      <c r="BO49" s="111"/>
    </row>
    <row r="50" ht="15.75" customHeight="1" outlineLevel="1">
      <c r="A50" s="60">
        <v>54.0</v>
      </c>
      <c r="B50" s="747" t="s">
        <v>207</v>
      </c>
      <c r="C50" s="747" t="s">
        <v>208</v>
      </c>
      <c r="D50" s="71" t="s">
        <v>85</v>
      </c>
      <c r="E50" s="146" t="s">
        <v>169</v>
      </c>
      <c r="F50" s="72">
        <v>1112.0</v>
      </c>
      <c r="G50" s="139" t="s">
        <v>170</v>
      </c>
      <c r="H50" s="139">
        <v>1129.0</v>
      </c>
      <c r="I50" s="126" t="str">
        <f>IFERROR(VLOOKUP(C44:C186,'R22 RELATÓRIO ACC'!B:F,5,FALSE),"NOT PUBLISHED")</f>
        <v>V39</v>
      </c>
      <c r="J50" s="126" t="str">
        <f>IFERROR(VLOOKUP(C44:C186,'R22 RELATÓRIO ACC'!B:P,15,FALSE),"NOT PUBLISHED")</f>
        <v>19/03/2026</v>
      </c>
      <c r="K50" s="746" t="str">
        <f>IFERROR(VLOOKUP(B47:B189,'RELATÓRIO ACC'!B:F,5,FALSE),"NOT PUBLISHED")</f>
        <v>V5</v>
      </c>
      <c r="L50" s="748" t="str">
        <f>IFERROR(VLOOKUP(B47:B189,'RELATÓRIO ACC'!B:P,15,FALSE),"NOT PUBLISHED")</f>
        <v>10/07/2026</v>
      </c>
      <c r="M50" s="141" t="s">
        <v>716</v>
      </c>
      <c r="N50" s="843" t="s">
        <v>732</v>
      </c>
      <c r="O50" s="740" t="s">
        <v>482</v>
      </c>
      <c r="P50" s="141" t="s">
        <v>474</v>
      </c>
      <c r="Q50" s="759"/>
      <c r="R50" s="764">
        <v>0.0</v>
      </c>
      <c r="S50" s="746" t="s">
        <v>484</v>
      </c>
      <c r="T50" s="759" t="s">
        <v>476</v>
      </c>
      <c r="U50" s="764">
        <v>1.0</v>
      </c>
      <c r="V50" s="746" t="s">
        <v>485</v>
      </c>
      <c r="W50" s="759" t="s">
        <v>476</v>
      </c>
      <c r="X50" s="764">
        <v>1.0</v>
      </c>
      <c r="Y50" s="746" t="s">
        <v>485</v>
      </c>
      <c r="Z50" s="759" t="s">
        <v>476</v>
      </c>
      <c r="AA50" s="764">
        <v>1.0</v>
      </c>
      <c r="AB50" s="746" t="s">
        <v>485</v>
      </c>
      <c r="AC50" s="759" t="s">
        <v>476</v>
      </c>
      <c r="AD50" s="764">
        <v>1.0</v>
      </c>
      <c r="AE50" s="746" t="s">
        <v>485</v>
      </c>
      <c r="AF50" s="759" t="s">
        <v>476</v>
      </c>
      <c r="AG50" s="764">
        <v>1.0</v>
      </c>
      <c r="AH50" s="746" t="s">
        <v>485</v>
      </c>
      <c r="AI50" s="759" t="s">
        <v>476</v>
      </c>
      <c r="AJ50" s="764">
        <v>1.0</v>
      </c>
      <c r="AK50" s="746" t="s">
        <v>485</v>
      </c>
      <c r="AL50" s="759" t="s">
        <v>476</v>
      </c>
      <c r="AM50" s="764">
        <v>1.0</v>
      </c>
      <c r="AN50" s="746" t="s">
        <v>485</v>
      </c>
      <c r="AO50" s="759" t="s">
        <v>476</v>
      </c>
      <c r="AP50" s="764">
        <v>1.0</v>
      </c>
      <c r="AQ50" s="746" t="s">
        <v>485</v>
      </c>
      <c r="AR50" s="759" t="s">
        <v>476</v>
      </c>
      <c r="AS50" s="764">
        <v>1.0</v>
      </c>
      <c r="AT50" s="746" t="s">
        <v>485</v>
      </c>
      <c r="AU50" s="759" t="s">
        <v>476</v>
      </c>
      <c r="AV50" s="764">
        <v>1.0</v>
      </c>
      <c r="AW50" s="746" t="s">
        <v>485</v>
      </c>
      <c r="AX50" s="759" t="s">
        <v>476</v>
      </c>
      <c r="AY50" s="764">
        <v>1.0</v>
      </c>
      <c r="AZ50" s="746" t="s">
        <v>485</v>
      </c>
      <c r="BA50" s="759" t="s">
        <v>476</v>
      </c>
      <c r="BB50" s="764">
        <v>1.0</v>
      </c>
      <c r="BC50" s="746" t="s">
        <v>485</v>
      </c>
      <c r="BD50" s="759" t="s">
        <v>476</v>
      </c>
      <c r="BE50" s="764">
        <v>1.0</v>
      </c>
      <c r="BF50" s="746" t="s">
        <v>485</v>
      </c>
      <c r="BG50" s="759" t="s">
        <v>476</v>
      </c>
      <c r="BH50" s="764">
        <v>1.0</v>
      </c>
      <c r="BI50" s="746" t="s">
        <v>485</v>
      </c>
      <c r="BJ50" s="759" t="s">
        <v>476</v>
      </c>
      <c r="BK50" s="764">
        <v>1.0</v>
      </c>
      <c r="BL50" s="126"/>
      <c r="BM50" s="111"/>
      <c r="BN50" s="111"/>
      <c r="BO50" s="111"/>
    </row>
    <row r="51" ht="15.0" customHeight="1" outlineLevel="1">
      <c r="A51" s="60">
        <v>108.0</v>
      </c>
      <c r="B51" s="747" t="s">
        <v>322</v>
      </c>
      <c r="C51" s="747" t="s">
        <v>322</v>
      </c>
      <c r="D51" s="71" t="s">
        <v>323</v>
      </c>
      <c r="E51" s="146" t="s">
        <v>317</v>
      </c>
      <c r="F51" s="72">
        <v>1125.0</v>
      </c>
      <c r="G51" s="139" t="s">
        <v>317</v>
      </c>
      <c r="H51" s="139">
        <v>1125.0</v>
      </c>
      <c r="I51" s="126" t="str">
        <f>IFERROR(VLOOKUP(C45:C187,'R22 RELATÓRIO ACC'!B:F,5,FALSE),"NOT PUBLISHED")</f>
        <v>V6</v>
      </c>
      <c r="J51" s="126" t="str">
        <f>IFERROR(VLOOKUP(C45:C187,'R22 RELATÓRIO ACC'!B:P,15,FALSE),"NOT PUBLISHED")</f>
        <v>07/11/2025</v>
      </c>
      <c r="K51" s="746" t="str">
        <f>IFERROR(VLOOKUP(B48:B190,'RELATÓRIO ACC'!B:F,5,FALSE),"NOT PUBLISHED")</f>
        <v>V1</v>
      </c>
      <c r="L51" s="748" t="str">
        <f>IFERROR(VLOOKUP(B48:B190,'RELATÓRIO ACC'!B:P,15,FALSE),"NOT PUBLISHED")</f>
        <v>21/05/2026</v>
      </c>
      <c r="M51" s="141" t="s">
        <v>494</v>
      </c>
      <c r="N51" s="843" t="s">
        <v>733</v>
      </c>
      <c r="O51" s="740" t="s">
        <v>482</v>
      </c>
      <c r="P51" s="141" t="s">
        <v>474</v>
      </c>
      <c r="Q51" s="766"/>
      <c r="R51" s="764">
        <v>0.0</v>
      </c>
      <c r="S51" s="746" t="s">
        <v>484</v>
      </c>
      <c r="T51" s="759" t="s">
        <v>476</v>
      </c>
      <c r="U51" s="764">
        <v>1.0</v>
      </c>
      <c r="V51" s="746" t="s">
        <v>485</v>
      </c>
      <c r="W51" s="759" t="s">
        <v>476</v>
      </c>
      <c r="X51" s="764">
        <v>1.0</v>
      </c>
      <c r="Y51" s="746" t="s">
        <v>485</v>
      </c>
      <c r="Z51" s="759" t="s">
        <v>476</v>
      </c>
      <c r="AA51" s="764">
        <v>1.0</v>
      </c>
      <c r="AB51" s="746" t="s">
        <v>485</v>
      </c>
      <c r="AC51" s="759" t="s">
        <v>476</v>
      </c>
      <c r="AD51" s="764">
        <v>1.0</v>
      </c>
      <c r="AE51" s="746" t="s">
        <v>485</v>
      </c>
      <c r="AF51" s="759" t="s">
        <v>476</v>
      </c>
      <c r="AG51" s="764">
        <v>1.0</v>
      </c>
      <c r="AH51" s="746" t="s">
        <v>485</v>
      </c>
      <c r="AI51" s="759" t="s">
        <v>476</v>
      </c>
      <c r="AJ51" s="764">
        <v>1.0</v>
      </c>
      <c r="AK51" s="746" t="s">
        <v>485</v>
      </c>
      <c r="AL51" s="759" t="s">
        <v>476</v>
      </c>
      <c r="AM51" s="764">
        <v>1.0</v>
      </c>
      <c r="AN51" s="746" t="s">
        <v>485</v>
      </c>
      <c r="AO51" s="759" t="s">
        <v>476</v>
      </c>
      <c r="AP51" s="764">
        <v>1.0</v>
      </c>
      <c r="AQ51" s="746" t="s">
        <v>485</v>
      </c>
      <c r="AR51" s="759" t="s">
        <v>476</v>
      </c>
      <c r="AS51" s="764">
        <v>1.0</v>
      </c>
      <c r="AT51" s="746" t="s">
        <v>485</v>
      </c>
      <c r="AU51" s="759" t="s">
        <v>476</v>
      </c>
      <c r="AV51" s="764">
        <v>1.0</v>
      </c>
      <c r="AW51" s="746" t="s">
        <v>485</v>
      </c>
      <c r="AX51" s="759" t="s">
        <v>476</v>
      </c>
      <c r="AY51" s="764">
        <v>1.0</v>
      </c>
      <c r="AZ51" s="746" t="s">
        <v>485</v>
      </c>
      <c r="BA51" s="759" t="s">
        <v>476</v>
      </c>
      <c r="BB51" s="764">
        <v>1.0</v>
      </c>
      <c r="BC51" s="746" t="s">
        <v>485</v>
      </c>
      <c r="BD51" s="759" t="s">
        <v>476</v>
      </c>
      <c r="BE51" s="764">
        <v>1.0</v>
      </c>
      <c r="BF51" s="746" t="s">
        <v>485</v>
      </c>
      <c r="BG51" s="759" t="s">
        <v>476</v>
      </c>
      <c r="BH51" s="764">
        <v>1.0</v>
      </c>
      <c r="BI51" s="746" t="s">
        <v>485</v>
      </c>
      <c r="BJ51" s="759" t="s">
        <v>476</v>
      </c>
      <c r="BK51" s="764">
        <v>1.0</v>
      </c>
      <c r="BL51" s="126"/>
      <c r="BM51" s="111"/>
      <c r="BN51" s="111"/>
      <c r="BO51" s="111"/>
    </row>
    <row r="52" ht="15.0" hidden="1" customHeight="1">
      <c r="A52" s="60">
        <v>65.0</v>
      </c>
      <c r="B52" s="862" t="s">
        <v>229</v>
      </c>
      <c r="C52" s="291"/>
      <c r="D52" s="292"/>
      <c r="E52" s="292"/>
      <c r="F52" s="292"/>
      <c r="G52" s="292"/>
      <c r="H52" s="293"/>
      <c r="I52" s="292"/>
      <c r="J52" s="292"/>
      <c r="K52" s="863"/>
      <c r="L52" s="864"/>
      <c r="M52" s="292"/>
      <c r="N52" s="292"/>
      <c r="O52" s="1209"/>
      <c r="P52" s="875"/>
      <c r="Q52" s="875"/>
      <c r="R52" s="1091"/>
      <c r="S52" s="875"/>
      <c r="T52" s="875"/>
      <c r="U52" s="875"/>
      <c r="V52" s="875"/>
      <c r="W52" s="875"/>
      <c r="X52" s="875"/>
      <c r="Y52" s="875"/>
      <c r="Z52" s="875"/>
      <c r="AA52" s="875"/>
      <c r="AB52" s="875"/>
      <c r="AC52" s="875"/>
      <c r="AD52" s="875"/>
      <c r="AE52" s="875"/>
      <c r="AF52" s="875"/>
      <c r="AG52" s="875"/>
      <c r="AH52" s="875"/>
      <c r="AI52" s="875"/>
      <c r="AJ52" s="875"/>
      <c r="AK52" s="875"/>
      <c r="AL52" s="875"/>
      <c r="AM52" s="875"/>
      <c r="AN52" s="875"/>
      <c r="AO52" s="875"/>
      <c r="AP52" s="875"/>
      <c r="AQ52" s="875"/>
      <c r="AR52" s="875"/>
      <c r="AS52" s="875"/>
      <c r="AT52" s="875"/>
      <c r="AU52" s="875"/>
      <c r="AV52" s="875"/>
      <c r="AW52" s="875"/>
      <c r="AX52" s="875"/>
      <c r="AY52" s="875"/>
      <c r="AZ52" s="875"/>
      <c r="BA52" s="875"/>
      <c r="BB52" s="875"/>
      <c r="BC52" s="875"/>
      <c r="BD52" s="875"/>
      <c r="BE52" s="875"/>
      <c r="BF52" s="875"/>
      <c r="BG52" s="875"/>
      <c r="BH52" s="875"/>
      <c r="BI52" s="875"/>
      <c r="BJ52" s="875"/>
      <c r="BK52" s="875"/>
      <c r="BL52" s="186"/>
      <c r="BM52" s="186"/>
      <c r="BN52" s="186"/>
      <c r="BO52" s="186"/>
    </row>
    <row r="53" ht="15.0" hidden="1" customHeight="1" outlineLevel="1">
      <c r="A53" s="60">
        <v>36.0</v>
      </c>
      <c r="B53" s="809" t="s">
        <v>173</v>
      </c>
      <c r="C53" s="810"/>
      <c r="D53" s="191"/>
      <c r="E53" s="811"/>
      <c r="F53" s="191"/>
      <c r="G53" s="190"/>
      <c r="H53" s="190"/>
      <c r="I53" s="189"/>
      <c r="J53" s="189"/>
      <c r="K53" s="813"/>
      <c r="L53" s="812"/>
      <c r="M53" s="811"/>
      <c r="N53" s="190"/>
      <c r="O53" s="189"/>
      <c r="P53" s="878"/>
      <c r="Q53" s="876"/>
      <c r="R53" s="116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1210"/>
      <c r="BM53" s="215"/>
      <c r="BN53" s="215"/>
      <c r="BO53" s="215"/>
    </row>
    <row r="54" ht="15.0" hidden="1" customHeight="1">
      <c r="A54" s="60">
        <v>59.0</v>
      </c>
      <c r="B54" s="881" t="s">
        <v>219</v>
      </c>
      <c r="C54" s="263"/>
      <c r="D54" s="264"/>
      <c r="E54" s="264"/>
      <c r="F54" s="264"/>
      <c r="G54" s="264"/>
      <c r="H54" s="265"/>
      <c r="I54" s="264"/>
      <c r="J54" s="264"/>
      <c r="K54" s="882"/>
      <c r="L54" s="883"/>
      <c r="M54" s="264"/>
      <c r="N54" s="264"/>
      <c r="O54" s="1211"/>
      <c r="P54" s="894"/>
      <c r="Q54" s="894"/>
      <c r="R54" s="1089"/>
      <c r="S54" s="894"/>
      <c r="T54" s="894"/>
      <c r="U54" s="894"/>
      <c r="V54" s="894"/>
      <c r="W54" s="894"/>
      <c r="X54" s="894"/>
      <c r="Y54" s="894"/>
      <c r="Z54" s="894"/>
      <c r="AA54" s="894"/>
      <c r="AB54" s="894"/>
      <c r="AC54" s="894"/>
      <c r="AD54" s="894"/>
      <c r="AE54" s="894"/>
      <c r="AF54" s="894"/>
      <c r="AG54" s="894"/>
      <c r="AH54" s="894"/>
      <c r="AI54" s="894"/>
      <c r="AJ54" s="894"/>
      <c r="AK54" s="894"/>
      <c r="AL54" s="894"/>
      <c r="AM54" s="894"/>
      <c r="AN54" s="894"/>
      <c r="AO54" s="894"/>
      <c r="AP54" s="894"/>
      <c r="AQ54" s="894"/>
      <c r="AR54" s="894"/>
      <c r="AS54" s="894"/>
      <c r="AT54" s="894"/>
      <c r="AU54" s="894"/>
      <c r="AV54" s="894"/>
      <c r="AW54" s="894"/>
      <c r="AX54" s="894"/>
      <c r="AY54" s="894"/>
      <c r="AZ54" s="894"/>
      <c r="BA54" s="894"/>
      <c r="BB54" s="894"/>
      <c r="BC54" s="894"/>
      <c r="BD54" s="894"/>
      <c r="BE54" s="894"/>
      <c r="BF54" s="894"/>
      <c r="BG54" s="894"/>
      <c r="BH54" s="894"/>
      <c r="BI54" s="894"/>
      <c r="BJ54" s="894"/>
      <c r="BK54" s="894"/>
      <c r="BL54" s="186"/>
      <c r="BM54" s="186"/>
      <c r="BN54" s="186"/>
      <c r="BO54" s="186"/>
    </row>
    <row r="55" ht="15.0" hidden="1" customHeight="1">
      <c r="A55" s="60">
        <v>38.0</v>
      </c>
      <c r="B55" s="895" t="s">
        <v>177</v>
      </c>
      <c r="C55" s="188"/>
      <c r="D55" s="189"/>
      <c r="E55" s="189"/>
      <c r="F55" s="189"/>
      <c r="G55" s="189"/>
      <c r="H55" s="190"/>
      <c r="I55" s="189"/>
      <c r="J55" s="189"/>
      <c r="K55" s="260"/>
      <c r="L55" s="248"/>
      <c r="M55" s="189"/>
      <c r="N55" s="189"/>
      <c r="O55" s="815"/>
      <c r="P55" s="880"/>
      <c r="Q55" s="877"/>
      <c r="R55" s="1067"/>
      <c r="S55" s="880"/>
      <c r="T55" s="880"/>
      <c r="U55" s="880"/>
      <c r="V55" s="880"/>
      <c r="W55" s="880"/>
      <c r="X55" s="880"/>
      <c r="Y55" s="880"/>
      <c r="Z55" s="880"/>
      <c r="AA55" s="880"/>
      <c r="AB55" s="880"/>
      <c r="AC55" s="880"/>
      <c r="AD55" s="880"/>
      <c r="AE55" s="880"/>
      <c r="AF55" s="880"/>
      <c r="AG55" s="880"/>
      <c r="AH55" s="880"/>
      <c r="AI55" s="880"/>
      <c r="AJ55" s="880"/>
      <c r="AK55" s="880"/>
      <c r="AL55" s="880"/>
      <c r="AM55" s="880"/>
      <c r="AN55" s="880"/>
      <c r="AO55" s="880"/>
      <c r="AP55" s="880"/>
      <c r="AQ55" s="880"/>
      <c r="AR55" s="880"/>
      <c r="AS55" s="880"/>
      <c r="AT55" s="880"/>
      <c r="AU55" s="880"/>
      <c r="AV55" s="880"/>
      <c r="AW55" s="880"/>
      <c r="AX55" s="880"/>
      <c r="AY55" s="880"/>
      <c r="AZ55" s="880"/>
      <c r="BA55" s="880"/>
      <c r="BB55" s="880"/>
      <c r="BC55" s="880"/>
      <c r="BD55" s="880"/>
      <c r="BE55" s="880"/>
      <c r="BF55" s="880"/>
      <c r="BG55" s="880"/>
      <c r="BH55" s="880"/>
      <c r="BI55" s="880"/>
      <c r="BJ55" s="880"/>
      <c r="BK55" s="880"/>
      <c r="BL55" s="186"/>
      <c r="BM55" s="186"/>
      <c r="BN55" s="186"/>
      <c r="BO55" s="186"/>
    </row>
    <row r="56" ht="15.0" hidden="1" customHeight="1">
      <c r="A56" s="60">
        <v>67.0</v>
      </c>
      <c r="B56" s="899" t="s">
        <v>233</v>
      </c>
      <c r="C56" s="319"/>
      <c r="D56" s="320"/>
      <c r="E56" s="320"/>
      <c r="F56" s="320"/>
      <c r="G56" s="320"/>
      <c r="H56" s="321"/>
      <c r="I56" s="320"/>
      <c r="J56" s="320"/>
      <c r="K56" s="343"/>
      <c r="L56" s="331"/>
      <c r="M56" s="320"/>
      <c r="N56" s="320"/>
      <c r="O56" s="907"/>
      <c r="P56" s="907"/>
      <c r="Q56" s="907"/>
      <c r="R56" s="1095"/>
      <c r="S56" s="907"/>
      <c r="T56" s="907"/>
      <c r="U56" s="907"/>
      <c r="V56" s="907"/>
      <c r="W56" s="907"/>
      <c r="X56" s="907"/>
      <c r="Y56" s="907"/>
      <c r="Z56" s="907"/>
      <c r="AA56" s="907"/>
      <c r="AB56" s="907"/>
      <c r="AC56" s="907"/>
      <c r="AD56" s="907"/>
      <c r="AE56" s="907"/>
      <c r="AF56" s="907"/>
      <c r="AG56" s="907"/>
      <c r="AH56" s="907"/>
      <c r="AI56" s="907"/>
      <c r="AJ56" s="907"/>
      <c r="AK56" s="907"/>
      <c r="AL56" s="907"/>
      <c r="AM56" s="907"/>
      <c r="AN56" s="907"/>
      <c r="AO56" s="907"/>
      <c r="AP56" s="907"/>
      <c r="AQ56" s="907"/>
      <c r="AR56" s="907"/>
      <c r="AS56" s="907"/>
      <c r="AT56" s="907"/>
      <c r="AU56" s="907"/>
      <c r="AV56" s="907"/>
      <c r="AW56" s="907"/>
      <c r="AX56" s="907"/>
      <c r="AY56" s="907"/>
      <c r="AZ56" s="907"/>
      <c r="BA56" s="907"/>
      <c r="BB56" s="907"/>
      <c r="BC56" s="907"/>
      <c r="BD56" s="907"/>
      <c r="BE56" s="907"/>
      <c r="BF56" s="907"/>
      <c r="BG56" s="907"/>
      <c r="BH56" s="907"/>
      <c r="BI56" s="907"/>
      <c r="BJ56" s="907"/>
      <c r="BK56" s="907"/>
      <c r="BL56" s="68"/>
      <c r="BM56" s="68"/>
      <c r="BN56" s="68"/>
      <c r="BO56" s="68"/>
    </row>
    <row r="57" ht="15.0" hidden="1" customHeight="1" outlineLevel="1">
      <c r="A57" s="60">
        <v>70.0</v>
      </c>
      <c r="B57" s="908" t="s">
        <v>238</v>
      </c>
      <c r="C57" s="909"/>
      <c r="D57" s="349"/>
      <c r="E57" s="910"/>
      <c r="F57" s="347"/>
      <c r="G57" s="348"/>
      <c r="H57" s="348"/>
      <c r="I57" s="347"/>
      <c r="J57" s="347"/>
      <c r="K57" s="911"/>
      <c r="L57" s="912"/>
      <c r="M57" s="910"/>
      <c r="N57" s="348"/>
      <c r="O57" s="347"/>
      <c r="P57" s="918"/>
      <c r="Q57" s="914"/>
      <c r="R57" s="1212"/>
      <c r="S57" s="367"/>
      <c r="T57" s="367"/>
      <c r="U57" s="367"/>
      <c r="V57" s="367"/>
      <c r="W57" s="367"/>
      <c r="X57" s="367"/>
      <c r="Y57" s="367"/>
      <c r="Z57" s="367"/>
      <c r="AA57" s="367"/>
      <c r="AB57" s="367"/>
      <c r="AC57" s="367"/>
      <c r="AD57" s="367"/>
      <c r="AE57" s="367"/>
      <c r="AF57" s="367"/>
      <c r="AG57" s="367"/>
      <c r="AH57" s="367"/>
      <c r="AI57" s="367"/>
      <c r="AJ57" s="367"/>
      <c r="AK57" s="367"/>
      <c r="AL57" s="367"/>
      <c r="AM57" s="367"/>
      <c r="AN57" s="367"/>
      <c r="AO57" s="367"/>
      <c r="AP57" s="367"/>
      <c r="AQ57" s="367"/>
      <c r="AR57" s="367"/>
      <c r="AS57" s="367"/>
      <c r="AT57" s="367"/>
      <c r="AU57" s="367"/>
      <c r="AV57" s="367"/>
      <c r="AW57" s="367"/>
      <c r="AX57" s="367"/>
      <c r="AY57" s="367"/>
      <c r="AZ57" s="367"/>
      <c r="BA57" s="367"/>
      <c r="BB57" s="367"/>
      <c r="BC57" s="367"/>
      <c r="BD57" s="367"/>
      <c r="BE57" s="367"/>
      <c r="BF57" s="367"/>
      <c r="BG57" s="367"/>
      <c r="BH57" s="367"/>
      <c r="BI57" s="367"/>
      <c r="BJ57" s="367"/>
      <c r="BK57" s="367"/>
      <c r="BL57" s="1210"/>
      <c r="BM57" s="186"/>
      <c r="BN57" s="186"/>
      <c r="BO57" s="186"/>
    </row>
    <row r="58" ht="15.0" hidden="1" customHeight="1" outlineLevel="1">
      <c r="A58" s="60">
        <v>84.0</v>
      </c>
      <c r="B58" s="923" t="s">
        <v>266</v>
      </c>
      <c r="C58" s="924"/>
      <c r="D58" s="433"/>
      <c r="E58" s="925"/>
      <c r="F58" s="433"/>
      <c r="G58" s="432"/>
      <c r="H58" s="432"/>
      <c r="I58" s="431"/>
      <c r="J58" s="431"/>
      <c r="K58" s="926"/>
      <c r="L58" s="927"/>
      <c r="M58" s="925"/>
      <c r="N58" s="432"/>
      <c r="O58" s="431"/>
      <c r="P58" s="1213"/>
      <c r="Q58" s="1122"/>
      <c r="R58" s="1214"/>
      <c r="S58" s="453"/>
      <c r="T58" s="453"/>
      <c r="U58" s="453"/>
      <c r="V58" s="453"/>
      <c r="W58" s="453"/>
      <c r="X58" s="453"/>
      <c r="Y58" s="453"/>
      <c r="Z58" s="453"/>
      <c r="AA58" s="453"/>
      <c r="AB58" s="453"/>
      <c r="AC58" s="453"/>
      <c r="AD58" s="453"/>
      <c r="AE58" s="453"/>
      <c r="AF58" s="453"/>
      <c r="AG58" s="453"/>
      <c r="AH58" s="453"/>
      <c r="AI58" s="453"/>
      <c r="AJ58" s="453"/>
      <c r="AK58" s="453"/>
      <c r="AL58" s="453"/>
      <c r="AM58" s="453"/>
      <c r="AN58" s="453"/>
      <c r="AO58" s="453"/>
      <c r="AP58" s="453"/>
      <c r="AQ58" s="453"/>
      <c r="AR58" s="453"/>
      <c r="AS58" s="453"/>
      <c r="AT58" s="453"/>
      <c r="AU58" s="453"/>
      <c r="AV58" s="453"/>
      <c r="AW58" s="453"/>
      <c r="AX58" s="453"/>
      <c r="AY58" s="453"/>
      <c r="AZ58" s="453"/>
      <c r="BA58" s="453"/>
      <c r="BB58" s="453"/>
      <c r="BC58" s="453"/>
      <c r="BD58" s="453"/>
      <c r="BE58" s="453"/>
      <c r="BF58" s="453"/>
      <c r="BG58" s="453"/>
      <c r="BH58" s="453"/>
      <c r="BI58" s="453"/>
      <c r="BJ58" s="453"/>
      <c r="BK58" s="453"/>
      <c r="BL58" s="1210"/>
      <c r="BM58" s="215"/>
      <c r="BN58" s="215"/>
      <c r="BO58" s="215"/>
    </row>
    <row r="59" ht="15.0" hidden="1" customHeight="1" outlineLevel="1">
      <c r="A59" s="60">
        <v>81.0</v>
      </c>
      <c r="B59" s="936" t="s">
        <v>261</v>
      </c>
      <c r="C59" s="937"/>
      <c r="D59" s="405"/>
      <c r="E59" s="938"/>
      <c r="F59" s="405"/>
      <c r="G59" s="404"/>
      <c r="H59" s="404"/>
      <c r="I59" s="403"/>
      <c r="J59" s="403"/>
      <c r="K59" s="939"/>
      <c r="L59" s="940"/>
      <c r="M59" s="938"/>
      <c r="N59" s="404"/>
      <c r="O59" s="403"/>
      <c r="P59" s="945"/>
      <c r="Q59" s="944"/>
      <c r="R59" s="1215"/>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23"/>
      <c r="BC59" s="423"/>
      <c r="BD59" s="423"/>
      <c r="BE59" s="423"/>
      <c r="BF59" s="423"/>
      <c r="BG59" s="423"/>
      <c r="BH59" s="423"/>
      <c r="BI59" s="423"/>
      <c r="BJ59" s="423"/>
      <c r="BK59" s="423"/>
      <c r="BL59" s="1210"/>
      <c r="BM59" s="215"/>
      <c r="BN59" s="215"/>
      <c r="BO59" s="215"/>
    </row>
    <row r="60" ht="15.0" hidden="1" customHeight="1" outlineLevel="1">
      <c r="A60" s="60">
        <v>74.0</v>
      </c>
      <c r="B60" s="948" t="s">
        <v>247</v>
      </c>
      <c r="C60" s="949"/>
      <c r="D60" s="377"/>
      <c r="E60" s="950"/>
      <c r="F60" s="377"/>
      <c r="G60" s="376"/>
      <c r="H60" s="376"/>
      <c r="I60" s="375"/>
      <c r="J60" s="375"/>
      <c r="K60" s="951"/>
      <c r="L60" s="952"/>
      <c r="M60" s="950"/>
      <c r="N60" s="376"/>
      <c r="O60" s="375"/>
      <c r="P60" s="956"/>
      <c r="Q60" s="954"/>
      <c r="R60" s="1216"/>
      <c r="S60" s="395"/>
      <c r="T60" s="395"/>
      <c r="U60" s="395"/>
      <c r="V60" s="395"/>
      <c r="W60" s="395"/>
      <c r="X60" s="395"/>
      <c r="Y60" s="395"/>
      <c r="Z60" s="395"/>
      <c r="AA60" s="395"/>
      <c r="AB60" s="395"/>
      <c r="AC60" s="395"/>
      <c r="AD60" s="395"/>
      <c r="AE60" s="395"/>
      <c r="AF60" s="395"/>
      <c r="AG60" s="395"/>
      <c r="AH60" s="395"/>
      <c r="AI60" s="395"/>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5"/>
      <c r="BK60" s="395"/>
      <c r="BL60" s="1210"/>
      <c r="BM60" s="186"/>
      <c r="BN60" s="186"/>
      <c r="BO60" s="186"/>
    </row>
    <row r="61" ht="15.0" hidden="1" customHeight="1" outlineLevel="1">
      <c r="A61" s="60">
        <v>41.0</v>
      </c>
      <c r="B61" s="809" t="s">
        <v>183</v>
      </c>
      <c r="C61" s="810"/>
      <c r="D61" s="191"/>
      <c r="E61" s="811"/>
      <c r="F61" s="191"/>
      <c r="G61" s="190"/>
      <c r="H61" s="190"/>
      <c r="I61" s="189"/>
      <c r="J61" s="189"/>
      <c r="K61" s="813"/>
      <c r="L61" s="812"/>
      <c r="M61" s="811"/>
      <c r="N61" s="190"/>
      <c r="O61" s="189"/>
      <c r="P61" s="878"/>
      <c r="Q61" s="876"/>
      <c r="R61" s="116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1210"/>
      <c r="BM61" s="215"/>
      <c r="BN61" s="215"/>
      <c r="BO61" s="215"/>
    </row>
    <row r="62" ht="15.0" hidden="1" customHeight="1" outlineLevel="1">
      <c r="A62" s="60">
        <v>56.0</v>
      </c>
      <c r="B62" s="809" t="s">
        <v>211</v>
      </c>
      <c r="C62" s="810"/>
      <c r="D62" s="191"/>
      <c r="E62" s="811"/>
      <c r="F62" s="191"/>
      <c r="G62" s="190"/>
      <c r="H62" s="190"/>
      <c r="I62" s="189"/>
      <c r="J62" s="189"/>
      <c r="K62" s="813"/>
      <c r="L62" s="812"/>
      <c r="M62" s="811"/>
      <c r="N62" s="190"/>
      <c r="O62" s="189"/>
      <c r="P62" s="878"/>
      <c r="Q62" s="876"/>
      <c r="R62" s="116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1210"/>
      <c r="BM62" s="215"/>
      <c r="BN62" s="215"/>
      <c r="BO62" s="215"/>
    </row>
    <row r="63" ht="15.0" hidden="1" customHeight="1" outlineLevel="1">
      <c r="A63" s="60">
        <v>53.0</v>
      </c>
      <c r="B63" s="960" t="s">
        <v>206</v>
      </c>
      <c r="C63" s="961"/>
      <c r="D63" s="162"/>
      <c r="E63" s="962"/>
      <c r="F63" s="162"/>
      <c r="G63" s="161"/>
      <c r="H63" s="161"/>
      <c r="I63" s="160"/>
      <c r="J63" s="160"/>
      <c r="K63" s="962"/>
      <c r="L63" s="963"/>
      <c r="M63" s="964"/>
      <c r="N63" s="161"/>
      <c r="O63" s="160"/>
      <c r="P63" s="968"/>
      <c r="Q63" s="966"/>
      <c r="R63" s="1172"/>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0"/>
      <c r="AX63" s="180"/>
      <c r="AY63" s="180"/>
      <c r="AZ63" s="180"/>
      <c r="BA63" s="180"/>
      <c r="BB63" s="180"/>
      <c r="BC63" s="180"/>
      <c r="BD63" s="180"/>
      <c r="BE63" s="180"/>
      <c r="BF63" s="180"/>
      <c r="BG63" s="180"/>
      <c r="BH63" s="180"/>
      <c r="BI63" s="180"/>
      <c r="BJ63" s="180"/>
      <c r="BK63" s="180"/>
      <c r="BL63" s="1210"/>
      <c r="BM63" s="215"/>
      <c r="BN63" s="215"/>
      <c r="BO63" s="215"/>
    </row>
    <row r="64" ht="15.0" hidden="1" customHeight="1" outlineLevel="1">
      <c r="A64" s="60">
        <v>62.0</v>
      </c>
      <c r="B64" s="971" t="s">
        <v>224</v>
      </c>
      <c r="C64" s="972"/>
      <c r="D64" s="294"/>
      <c r="E64" s="866"/>
      <c r="F64" s="294"/>
      <c r="G64" s="294"/>
      <c r="H64" s="973"/>
      <c r="I64" s="974"/>
      <c r="J64" s="974"/>
      <c r="K64" s="866"/>
      <c r="L64" s="975"/>
      <c r="M64" s="866"/>
      <c r="N64" s="293"/>
      <c r="O64" s="292"/>
      <c r="P64" s="977"/>
      <c r="Q64" s="867"/>
      <c r="R64" s="1217"/>
      <c r="S64" s="312"/>
      <c r="T64" s="312"/>
      <c r="U64" s="312"/>
      <c r="V64" s="312"/>
      <c r="W64" s="312"/>
      <c r="X64" s="312"/>
      <c r="Y64" s="312"/>
      <c r="Z64" s="312"/>
      <c r="AA64" s="312"/>
      <c r="AB64" s="312"/>
      <c r="AC64" s="312"/>
      <c r="AD64" s="312"/>
      <c r="AE64" s="312"/>
      <c r="AF64" s="312"/>
      <c r="AG64" s="312"/>
      <c r="AH64" s="312"/>
      <c r="AI64" s="312"/>
      <c r="AJ64" s="312"/>
      <c r="AK64" s="312"/>
      <c r="AL64" s="312"/>
      <c r="AM64" s="312"/>
      <c r="AN64" s="312"/>
      <c r="AO64" s="312"/>
      <c r="AP64" s="312"/>
      <c r="AQ64" s="312"/>
      <c r="AR64" s="312"/>
      <c r="AS64" s="312"/>
      <c r="AT64" s="312"/>
      <c r="AU64" s="312"/>
      <c r="AV64" s="312"/>
      <c r="AW64" s="312"/>
      <c r="AX64" s="312"/>
      <c r="AY64" s="312"/>
      <c r="AZ64" s="312"/>
      <c r="BA64" s="312"/>
      <c r="BB64" s="312"/>
      <c r="BC64" s="312"/>
      <c r="BD64" s="312"/>
      <c r="BE64" s="312"/>
      <c r="BF64" s="312"/>
      <c r="BG64" s="312"/>
      <c r="BH64" s="312"/>
      <c r="BI64" s="312"/>
      <c r="BJ64" s="312"/>
      <c r="BK64" s="312"/>
      <c r="BL64" s="1210"/>
      <c r="BM64" s="186"/>
      <c r="BN64" s="186"/>
      <c r="BO64" s="186"/>
    </row>
    <row r="65" ht="15.0" hidden="1" customHeight="1" outlineLevel="1">
      <c r="A65" s="60">
        <v>92.0</v>
      </c>
      <c r="B65" s="979" t="s">
        <v>284</v>
      </c>
      <c r="C65" s="980"/>
      <c r="D65" s="496"/>
      <c r="E65" s="981"/>
      <c r="F65" s="496"/>
      <c r="G65" s="496"/>
      <c r="H65" s="495"/>
      <c r="I65" s="494"/>
      <c r="J65" s="494"/>
      <c r="K65" s="981"/>
      <c r="L65" s="982"/>
      <c r="M65" s="981"/>
      <c r="N65" s="495"/>
      <c r="O65" s="494"/>
      <c r="P65" s="1218"/>
      <c r="Q65" s="1141"/>
      <c r="R65" s="1219"/>
      <c r="S65" s="516"/>
      <c r="T65" s="516"/>
      <c r="U65" s="516"/>
      <c r="V65" s="516"/>
      <c r="W65" s="516"/>
      <c r="X65" s="516"/>
      <c r="Y65" s="516"/>
      <c r="Z65" s="516"/>
      <c r="AA65" s="516"/>
      <c r="AB65" s="516"/>
      <c r="AC65" s="516"/>
      <c r="AD65" s="516"/>
      <c r="AE65" s="516"/>
      <c r="AF65" s="516"/>
      <c r="AG65" s="516"/>
      <c r="AH65" s="516"/>
      <c r="AI65" s="516"/>
      <c r="AJ65" s="516"/>
      <c r="AK65" s="516"/>
      <c r="AL65" s="516"/>
      <c r="AM65" s="516"/>
      <c r="AN65" s="516"/>
      <c r="AO65" s="516"/>
      <c r="AP65" s="516"/>
      <c r="AQ65" s="516"/>
      <c r="AR65" s="516"/>
      <c r="AS65" s="516"/>
      <c r="AT65" s="516"/>
      <c r="AU65" s="516"/>
      <c r="AV65" s="516"/>
      <c r="AW65" s="516"/>
      <c r="AX65" s="516"/>
      <c r="AY65" s="516"/>
      <c r="AZ65" s="516"/>
      <c r="BA65" s="516"/>
      <c r="BB65" s="516"/>
      <c r="BC65" s="516"/>
      <c r="BD65" s="516"/>
      <c r="BE65" s="516"/>
      <c r="BF65" s="516"/>
      <c r="BG65" s="516"/>
      <c r="BH65" s="516"/>
      <c r="BI65" s="516"/>
      <c r="BJ65" s="516"/>
      <c r="BK65" s="516"/>
      <c r="BL65" s="1210"/>
      <c r="BM65" s="186"/>
      <c r="BN65" s="186"/>
      <c r="BO65" s="186"/>
    </row>
    <row r="66" ht="15.0" hidden="1" customHeight="1" outlineLevel="1">
      <c r="A66" s="60">
        <v>33.0</v>
      </c>
      <c r="B66" s="960" t="s">
        <v>166</v>
      </c>
      <c r="C66" s="961"/>
      <c r="D66" s="162"/>
      <c r="E66" s="962"/>
      <c r="F66" s="162"/>
      <c r="G66" s="162"/>
      <c r="H66" s="161"/>
      <c r="I66" s="160"/>
      <c r="J66" s="160"/>
      <c r="K66" s="962"/>
      <c r="L66" s="963"/>
      <c r="M66" s="962"/>
      <c r="N66" s="161"/>
      <c r="O66" s="160"/>
      <c r="P66" s="968"/>
      <c r="Q66" s="966"/>
      <c r="R66" s="1172"/>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c r="AU66" s="180"/>
      <c r="AV66" s="180"/>
      <c r="AW66" s="180"/>
      <c r="AX66" s="180"/>
      <c r="AY66" s="180"/>
      <c r="AZ66" s="180"/>
      <c r="BA66" s="180"/>
      <c r="BB66" s="180"/>
      <c r="BC66" s="180"/>
      <c r="BD66" s="180"/>
      <c r="BE66" s="180"/>
      <c r="BF66" s="180"/>
      <c r="BG66" s="180"/>
      <c r="BH66" s="180"/>
      <c r="BI66" s="180"/>
      <c r="BJ66" s="180"/>
      <c r="BK66" s="180"/>
      <c r="BL66" s="1210"/>
      <c r="BM66" s="186"/>
      <c r="BN66" s="186"/>
      <c r="BO66" s="186"/>
    </row>
    <row r="67" ht="15.0" hidden="1" customHeight="1" outlineLevel="1">
      <c r="A67" s="60">
        <v>44.0</v>
      </c>
      <c r="B67" s="809" t="s">
        <v>189</v>
      </c>
      <c r="C67" s="810"/>
      <c r="D67" s="191"/>
      <c r="E67" s="813"/>
      <c r="F67" s="191"/>
      <c r="G67" s="191"/>
      <c r="H67" s="190"/>
      <c r="I67" s="189"/>
      <c r="J67" s="189"/>
      <c r="K67" s="813"/>
      <c r="L67" s="812"/>
      <c r="M67" s="813"/>
      <c r="N67" s="991"/>
      <c r="O67" s="992"/>
      <c r="P67" s="878"/>
      <c r="Q67" s="876"/>
      <c r="R67" s="1169"/>
      <c r="S67" s="209"/>
      <c r="T67" s="209"/>
      <c r="U67" s="209"/>
      <c r="V67" s="209"/>
      <c r="W67" s="209"/>
      <c r="X67" s="209"/>
      <c r="Y67" s="209"/>
      <c r="Z67" s="209"/>
      <c r="AA67" s="209"/>
      <c r="AB67" s="209"/>
      <c r="AC67" s="209"/>
      <c r="AD67" s="209"/>
      <c r="AE67" s="209"/>
      <c r="AF67" s="209"/>
      <c r="AG67" s="209"/>
      <c r="AH67" s="209"/>
      <c r="AI67" s="209"/>
      <c r="AJ67" s="209"/>
      <c r="AK67" s="209"/>
      <c r="AL67" s="209"/>
      <c r="AM67" s="209"/>
      <c r="AN67" s="209"/>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1210"/>
      <c r="BM67" s="186"/>
      <c r="BN67" s="186"/>
      <c r="BO67" s="186"/>
    </row>
    <row r="68" ht="498.0" hidden="1" customHeight="1" outlineLevel="1">
      <c r="A68" s="569"/>
      <c r="B68" s="570"/>
      <c r="C68" s="570"/>
      <c r="D68" s="570"/>
      <c r="E68" s="571"/>
      <c r="F68" s="571"/>
      <c r="G68" s="571"/>
      <c r="H68" s="571"/>
      <c r="I68" s="68"/>
      <c r="J68" s="68"/>
      <c r="K68" s="68"/>
      <c r="L68" s="572"/>
      <c r="M68" s="68"/>
      <c r="N68" s="573"/>
      <c r="O68" s="740" t="s">
        <v>462</v>
      </c>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row>
    <row r="69" ht="52.5" customHeight="1" outlineLevel="1">
      <c r="A69" s="59"/>
      <c r="B69" s="59"/>
      <c r="C69" s="59"/>
      <c r="D69" s="574"/>
      <c r="E69" s="575"/>
      <c r="F69" s="575"/>
      <c r="G69" s="575"/>
      <c r="H69" s="575"/>
      <c r="I69" s="59"/>
      <c r="J69" s="59"/>
      <c r="K69" s="59"/>
      <c r="L69" s="59"/>
      <c r="M69" s="59"/>
      <c r="N69" s="59"/>
      <c r="O69" s="59"/>
      <c r="P69" s="576"/>
      <c r="Q69" s="576"/>
      <c r="R69" s="576"/>
      <c r="S69" s="576"/>
      <c r="T69" s="576"/>
      <c r="U69" s="576"/>
      <c r="V69" s="576"/>
      <c r="W69" s="576"/>
      <c r="X69" s="576"/>
      <c r="Y69" s="576"/>
      <c r="Z69" s="576"/>
      <c r="AA69" s="576"/>
      <c r="AB69" s="576"/>
      <c r="AC69" s="576"/>
      <c r="AD69" s="576"/>
      <c r="AE69" s="576"/>
      <c r="AF69" s="576"/>
      <c r="AG69" s="576"/>
      <c r="AH69" s="576"/>
      <c r="AI69" s="576"/>
      <c r="AJ69" s="576"/>
      <c r="AK69" s="576"/>
      <c r="AL69" s="576"/>
      <c r="AM69" s="576"/>
      <c r="AN69" s="576"/>
      <c r="AO69" s="576"/>
      <c r="AP69" s="576"/>
      <c r="AQ69" s="576"/>
      <c r="AR69" s="576"/>
      <c r="AS69" s="576"/>
      <c r="AT69" s="576"/>
      <c r="AU69" s="576"/>
      <c r="AV69" s="576"/>
      <c r="AW69" s="576"/>
      <c r="AX69" s="576"/>
      <c r="AY69" s="576"/>
      <c r="AZ69" s="576"/>
      <c r="BA69" s="576"/>
      <c r="BB69" s="576"/>
      <c r="BC69" s="576"/>
      <c r="BD69" s="576"/>
      <c r="BE69" s="576"/>
      <c r="BF69" s="576"/>
      <c r="BG69" s="576"/>
      <c r="BH69" s="576"/>
      <c r="BI69" s="576"/>
      <c r="BJ69" s="576"/>
      <c r="BK69" s="576"/>
      <c r="BL69" s="576"/>
      <c r="BM69" s="577"/>
      <c r="BN69" s="577"/>
      <c r="BO69" s="577"/>
    </row>
  </sheetData>
  <autoFilter ref="$A$3:$BO$68">
    <filterColumn colId="3">
      <filters>
        <filter val="C12A"/>
        <filter val="DATA"/>
        <filter val="ADMN"/>
        <filter val="COL5"/>
        <filter val="COL4"/>
        <filter val="COL3"/>
        <filter val="COL2"/>
        <filter val="COL1"/>
        <filter val="C345"/>
      </filters>
    </filterColumn>
    <sortState ref="A3:BO68">
      <sortCondition descending="1" ref="M3:M68"/>
      <sortCondition ref="D3:D68"/>
    </sortState>
  </autoFilter>
  <mergeCells count="2">
    <mergeCell ref="D1:R1"/>
    <mergeCell ref="P2:X2"/>
  </mergeCells>
  <conditionalFormatting sqref="BI9:BI13 AQ12:AQ13 AS12:BH13 BJ12:BK13 AN18:AN22 AP18:BK22 BH25:BK25 BH28:BK30 BF29:BF30 AN30 AP30:BE30 BG30">
    <cfRule type="cellIs" dxfId="2" priority="1" operator="between">
      <formula>"0%"</formula>
      <formula>"50%"</formula>
    </cfRule>
  </conditionalFormatting>
  <conditionalFormatting sqref="P3:P7 Q3:Q9 R3:AA69 AB3:AB10 AC3:AC69 AD3:AD10 AE3:AE69 AF3:AF10 AG3:BK69 BL3 BM3:BO69 BL5:BL69 Q11:Q14 P14 AF14:AF69 AB15:AB69 AD15:AD69 Q17:Q21 Q23 Q25 Q27 Q31 Q33 Q35 P36:P69 Q37 Q39 Q41:Q43 O45 Q45:Q47 Q49 Q52 Q54 Q56 Q59:Q69">
    <cfRule type="cellIs" dxfId="0" priority="2" operator="greaterThanOrEqual">
      <formula>"70%"</formula>
    </cfRule>
  </conditionalFormatting>
  <conditionalFormatting sqref="BL1 P3:P7 Q3:Q9 R3:AA69 AB3:AB10 AC3:AC69 AD3:AD10 AE3:AE69 AF3:AF10 AG3:BK69 BL3 BL5:BL69 Q11:Q14 P14 AF14:AF69 AB15:AB69 AD15:AD69 Q17:Q21 Q23 Q25 Q27 BM30:BO30 Q31 Q33 Q35 P36:P69 Q37 Q39 Q41:Q43 BM42:BO42 O45 Q45:Q47 Q49 Q52 Q54 Q56 Q59:Q69">
    <cfRule type="cellIs" dxfId="1" priority="3" operator="between">
      <formula>"49%"</formula>
      <formula>"69%"</formula>
    </cfRule>
  </conditionalFormatting>
  <conditionalFormatting sqref="BL1 P3:P7 Q3:Q9 R3:AA69 AB3:AB10 AC3:AC69 AD3:AD10 AE3:AE69 AF3:AF10 AG3:BK69 BL3 BL5:BL69 Q11:Q14 P14 AF14:AF69 AB15:AB69 AD15:AD69 Q17:Q21 Q23 Q25 Q27 BM30:BO30 Q31 Q33 Q35 P36:P69 Q37 Q39 Q41:Q43 BM42:BO42 O45 Q45:Q47 Q49 Q52 Q54 Q56 Q59:Q69">
    <cfRule type="cellIs" dxfId="2" priority="4" operator="between">
      <formula>"1%"</formula>
      <formula>"50%"</formula>
    </cfRule>
  </conditionalFormatting>
  <conditionalFormatting sqref="P3:P7 Q3:Q9 R3:AA69 AB3:AB10 AC3:AC69 AD3:AD10 AE3:AE69 AF3:AF10 AG3:BK69 BL3 BM3:BO69 BL5:BL69 Q11:Q14 P14 AF14:AF69 AB15:AB69 AD15:AD69 Q17:Q21 Q23 Q25 Q27 Q31 Q33 Q35 P36:P69 Q37 Q39 Q41:Q43 Q45:Q47 Q49 Q52 Q54 Q56 Q59:Q69">
    <cfRule type="cellIs" dxfId="2" priority="5" operator="between">
      <formula>"1%"</formula>
      <formula>"50%"</formula>
    </cfRule>
  </conditionalFormatting>
  <conditionalFormatting sqref="P3:P7 Q3:Q9 R3:AA69 AB3:AB10 AC3:AC69 AD3:AD10 AE3:AE69 AF3:AF10 AG3:BK69 BL3 BM3:BO69 BL5:BL69 Q11:Q14 P14 AF14:AF69 AB15:AB69 AD15:AD69 Q17:Q21 Q23 Q25 Q27 Q31 Q33 Q35 P36:P69 Q37 Q39 Q41:Q43 Q45:Q47 Q49 Q52 Q54 Q56 Q59:Q69">
    <cfRule type="cellIs" dxfId="1" priority="6" operator="between">
      <formula>"49%"</formula>
      <formula>"69%"</formula>
    </cfRule>
  </conditionalFormatting>
  <conditionalFormatting sqref="I3:M3">
    <cfRule type="cellIs" dxfId="3" priority="7" operator="equal">
      <formula>"VERSION"</formula>
    </cfRule>
  </conditionalFormatting>
  <conditionalFormatting sqref="M4:M68 N7:N51 O7 O68">
    <cfRule type="expression" dxfId="1" priority="8">
      <formula>IFERROR(ARRAYFORMULA(VALUE(MID(K4,2,10))) &gt; VALUE(MID(M4,2,10)), FALSE)</formula>
    </cfRule>
  </conditionalFormatting>
  <conditionalFormatting sqref="I3:K69 L3 M3:M68 L5:L69 N7:N51 O7 O68">
    <cfRule type="beginsWith" dxfId="4" priority="9" operator="beginsWith" text="V">
      <formula>LEFT((I3),LEN("V"))=("V")</formula>
    </cfRule>
  </conditionalFormatting>
  <conditionalFormatting sqref="Q6:Q7 W8 Z8 Q11:Q13 T11:T13 W11:W14 Z11:Z14 AC11:AC25 AF11:AF25 AI11:AI25 AL11:AL25 AO11:AO25 AR11:AR25 AU11:AU25 AX11:AX25 BA11:BA25 BD11:BD25 BG11:BG25 BJ11:BJ25 W16:W25 Z16:Z25 Q17:Q19 T17:T25 T27:T28 W27:W28 Z27:Z28 AC27:AC28 AF27:AF28 AI27:AI28 AL27:AL28 AO27:AO28 AR27:AR28 AU27:AU28 AX27:AX28 BA27:BA28 BD27:BD28 BG27:BG28 BJ27:BJ28 T35 W35 Z35 AC35 AF35 AI35 AL35 AO35 AR35 AU35 AX35 BA35 BD35 BG35 BJ35 Q42 T42 W42 Z42 AC42 AF42 AI42 AL42 AO42 AR42 AU42 AX42 BA42 BD42 BG42 BJ42 AI45 AL45 AO45 AR45 AU45 AX45 BA45 BD45 BG45 BJ45 Q59:Q61">
    <cfRule type="timePeriod" dxfId="12" priority="10" timePeriod="today"/>
  </conditionalFormatting>
  <conditionalFormatting sqref="BL8 BL44">
    <cfRule type="cellIs" dxfId="5" priority="11" operator="equal">
      <formula>"YASMIN"</formula>
    </cfRule>
  </conditionalFormatting>
  <conditionalFormatting sqref="BL8 BL44">
    <cfRule type="cellIs" dxfId="6" priority="12" operator="equal">
      <formula>"LETÍCIA"</formula>
    </cfRule>
  </conditionalFormatting>
  <conditionalFormatting sqref="BL8 BL44">
    <cfRule type="cellIs" dxfId="7" priority="13" operator="equal">
      <formula>"CICI"</formula>
    </cfRule>
  </conditionalFormatting>
  <conditionalFormatting sqref="BL8 BL44">
    <cfRule type="cellIs" dxfId="1" priority="14" operator="equal">
      <formula>"AIRTON"</formula>
    </cfRule>
  </conditionalFormatting>
  <conditionalFormatting sqref="BL8 BL44">
    <cfRule type="cellIs" dxfId="8" priority="15" operator="equal">
      <formula>"GUILHERME"</formula>
    </cfRule>
  </conditionalFormatting>
  <conditionalFormatting sqref="M4">
    <cfRule type="notContainsBlanks" dxfId="10" priority="16">
      <formula>LEN(TRIM(M4))&gt;0</formula>
    </cfRule>
  </conditionalFormatting>
  <dataValidations>
    <dataValidation type="list" allowBlank="1" showDropDown="1" showErrorMessage="1" sqref="D8:D51 D68">
      <formula1>"DATA,SITE,GUAR,C345,C12A,PUMP,UTLS,ADMN,COL1,COL2,COL3,COL4,COL5,STIR"</formula1>
    </dataValidation>
    <dataValidation type="list" allowBlank="1" showDropDown="1" showErrorMessage="1" sqref="AE8 AM8:AM9 AW9 BE9:BF9 Y9:Y10 AA9:AB10 BE10 P9:P11 S9:S11 U9:V11 X11:Y11 AB11 AD9:AE11 AG8:AH11 AJ8:AK11 AM10:AN11 AP10:AQ11 AS10:AT11 AV10:AW11 AY9:AZ11 BB9:BC11 BE11:BF11 P13 S13 V13 Y13 AB13 AE13 AH13 AK13 AN13 AQ13 AT13 AW13 AZ13 BC13 BF13 BI13 P17 S17 V17 Y17 AB17 AE17 AH17 AK17 AN17 AQ17 AT17 AW17 AZ17 BC17 BF17 BI17 AH27 AK27 AN27 BC27 U28:V28 AE28 AJ28 AM28 AQ28 AS28 AW27:AW28 V29 AA29:AB29 AD29:AE29 AM29:AN29 AP29:AQ29 AS29:AT29 AV29:AW29 BB28:BC29 BE27:BF29 BH27:BI29 BK27:BK29 U30:V30 X28:Y30 AE30 AG28:AH30 AJ29:AK30 AM30 AW30 AY27:AZ30 V32 X32:Y32 AB32 AD32:AE32 AG32:AH32 AJ32:AK32 AM32 Y33 AE33 AH33 U33:V34 U41:V41 AB41:AB42 AD42:AE42 AG42 V42:V43 X41:Y43 AB45 U44:V46 X45:Y46 AA46 P28:P51 S28:S51">
      <formula1>"APPROVED,REPROVED,N/A,ANALYSING,OUTDATED MODEL,IMPROPER,NEXT ROUND"</formula1>
    </dataValidation>
    <dataValidation type="list" allowBlank="1" showErrorMessage="1" sqref="O8:O51 O68">
      <formula1>"R22,R24,AWAITING APPROVAL,N/A,NOT PUBLISHED"</formula1>
    </dataValidation>
    <dataValidation type="list" allowBlank="1" showDropDown="1" showErrorMessage="1" sqref="AQ27">
      <formula1>"APPROVED,REPROVED,N/A,ANALYSING,NOT PUBLISHED,OUTDATED MODEL,NEXT ROUND"</formula1>
    </dataValidation>
    <dataValidation type="list" allowBlank="1" showDropDown="1" showErrorMessage="1" sqref="BF10 BI9:BI11 V31 Y31 AB31 AE31 AH31 AK31 AN31 V35:V40 Y34:Y40 AB34:AB40 AE34:AE41 Y44 AB43:AB44 V47:V51 Y47:Y51 AB46:AB51 AE43:AE51 AH34:AH51 AK33:AK51 AN33:AN51 AQ31:AQ51 AT31:AT51 AW31:AW51 AZ31:AZ51 BC31:BC51 BF30:BF51 BI30:BI51">
      <formula1>"APPROVED,REPROVED,N/A,IN ANALYSIS,NOT FOUND,NOT PUBLISHED,TO BE AUDITED,PREVIOUSLY APPROVED"</formula1>
    </dataValidation>
    <dataValidation type="list" allowBlank="1" showDropDown="1" showErrorMessage="1" sqref="P8 S8 U8:V8 X8:Y8 AA8:AB8 AD8 AV8:AW8 AY8:AZ8 BB8:BC8 BE8:BF8 BH8:BI8 AN8:AN9 AP8:AQ9 AS8:AT9 AV9 P14:P16 S14:S16 V14:V16 Y14:Y16 AB14:AB16 AE14:AE16 AH14:AH16 AK14:AK16 AN14:AN16 AQ14:AQ16 AT14:AT16 AW14:AW16 AZ14:AZ16 BC14:BC16 BF14:BF16 BI14:BI16 S18:S19 V18:V19 Y18:Y19 AB18:AB19 AE18:AE19 AH18:AH19 AK18:AK19 AN18:AN19 AQ18:AQ19 AT18:AT19 AW18:AW19 AZ18:AZ19 BC18:BC19 BF18:BF19 BI18:BI19 AG20:AH26 AJ20:AK26 AM20:AN26 AP20:AQ26 AS20:AT26 AV20:AW26 AY20:AZ26 BB20:BC26 BE20:BF26 BH20:BI26 BK20:BK26 P18:P27 R20:S27 U20:V27 X20:Y27 AA20:AB27 AD20:AE27 AG27 AB28 AD28 AK28 AN28 AP28 AT27:AT28 AV28 AB30 AD30 AN30 AP30:AQ30 AS30:AT30 BC30 AN32 AB33 AD33">
      <formula1>"APPROVED,REPROVED,N/A,ANALYSING,NOT PUBLISHED,OUTDATED MODEL,NEXT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Row="1"/>
  <cols>
    <col customWidth="1" hidden="1" min="1" max="1" width="5.88"/>
    <col customWidth="1" min="2" max="3" width="33.88"/>
    <col customWidth="1" min="4" max="4" width="10.88"/>
    <col customWidth="1" min="5" max="5" width="19.75"/>
    <col customWidth="1" min="6" max="6" width="10.75"/>
    <col customWidth="1" min="7" max="7" width="18.63"/>
    <col customWidth="1" min="8" max="8" width="9.38"/>
    <col customWidth="1" min="9" max="11" width="20.38"/>
    <col customWidth="1" min="12" max="12" width="18.75"/>
    <col customWidth="1" min="13" max="13" width="15.88"/>
    <col customWidth="1" min="14" max="15" width="15.25"/>
    <col customWidth="1" min="16" max="18" width="16.75"/>
    <col customWidth="1" min="19" max="19" width="21.88"/>
    <col customWidth="1" min="20" max="20" width="153.13"/>
    <col customWidth="1" min="21" max="21" width="16.25"/>
    <col customWidth="1" min="22" max="22" width="51.75"/>
  </cols>
  <sheetData>
    <row r="1" ht="111.0" customHeight="1">
      <c r="A1" s="1"/>
      <c r="B1" s="677"/>
      <c r="C1" s="678"/>
      <c r="D1" s="680" t="s">
        <v>734</v>
      </c>
      <c r="E1" s="681"/>
      <c r="F1" s="681"/>
      <c r="G1" s="681"/>
      <c r="H1" s="681"/>
      <c r="I1" s="681"/>
      <c r="J1" s="681"/>
      <c r="K1" s="681"/>
      <c r="L1" s="681"/>
      <c r="M1" s="681"/>
      <c r="N1" s="681"/>
      <c r="O1" s="681"/>
      <c r="P1" s="681"/>
      <c r="Q1" s="681"/>
      <c r="R1" s="681"/>
      <c r="S1" s="679"/>
      <c r="T1" s="8"/>
      <c r="U1" s="8"/>
      <c r="V1" s="8"/>
    </row>
    <row r="2">
      <c r="A2" s="9"/>
      <c r="B2" s="683"/>
      <c r="C2" s="684"/>
      <c r="D2" s="684"/>
      <c r="E2" s="684"/>
      <c r="F2" s="685"/>
      <c r="G2" s="684"/>
      <c r="H2" s="685"/>
      <c r="I2" s="686"/>
      <c r="J2" s="686"/>
      <c r="K2" s="686"/>
      <c r="L2" s="684"/>
      <c r="M2" s="687"/>
      <c r="N2" s="684"/>
      <c r="O2" s="684"/>
      <c r="P2" s="996" t="s">
        <v>335</v>
      </c>
      <c r="Q2" s="681"/>
      <c r="R2" s="681"/>
      <c r="S2" s="1161"/>
      <c r="T2" s="8"/>
      <c r="U2" s="8"/>
      <c r="V2" s="8"/>
    </row>
    <row r="3" ht="54.0" customHeight="1">
      <c r="A3" s="19"/>
      <c r="B3" s="694" t="s">
        <v>9</v>
      </c>
      <c r="C3" s="695" t="s">
        <v>10</v>
      </c>
      <c r="D3" s="696" t="s">
        <v>11</v>
      </c>
      <c r="E3" s="697" t="s">
        <v>12</v>
      </c>
      <c r="F3" s="698" t="s">
        <v>13</v>
      </c>
      <c r="G3" s="697" t="s">
        <v>14</v>
      </c>
      <c r="H3" s="699" t="s">
        <v>13</v>
      </c>
      <c r="I3" s="700" t="s">
        <v>338</v>
      </c>
      <c r="J3" s="700" t="s">
        <v>16</v>
      </c>
      <c r="K3" s="701" t="s">
        <v>339</v>
      </c>
      <c r="L3" s="701" t="s">
        <v>18</v>
      </c>
      <c r="M3" s="702" t="s">
        <v>340</v>
      </c>
      <c r="N3" s="703" t="s">
        <v>341</v>
      </c>
      <c r="O3" s="997" t="s">
        <v>27</v>
      </c>
      <c r="P3" s="706" t="s">
        <v>735</v>
      </c>
      <c r="Q3" s="707" t="s">
        <v>736</v>
      </c>
      <c r="R3" s="708" t="s">
        <v>737</v>
      </c>
      <c r="S3" s="1164" t="s">
        <v>713</v>
      </c>
      <c r="T3" s="59"/>
      <c r="U3" s="59"/>
      <c r="V3" s="59"/>
    </row>
    <row r="4" hidden="1">
      <c r="A4" s="60">
        <v>1.0</v>
      </c>
      <c r="B4" s="1021" t="s">
        <v>82</v>
      </c>
      <c r="C4" s="1022"/>
      <c r="D4" s="1023"/>
      <c r="E4" s="1024"/>
      <c r="F4" s="1023"/>
      <c r="G4" s="1023"/>
      <c r="H4" s="63"/>
      <c r="I4" s="63"/>
      <c r="J4" s="63"/>
      <c r="K4" s="1025"/>
      <c r="L4" s="1023"/>
      <c r="M4" s="798"/>
      <c r="N4" s="796"/>
      <c r="O4" s="808"/>
      <c r="P4" s="63"/>
      <c r="Q4" s="63"/>
      <c r="R4" s="1028"/>
      <c r="S4" s="1023"/>
      <c r="T4" s="68"/>
      <c r="U4" s="68"/>
      <c r="V4" s="68"/>
    </row>
    <row r="5" ht="16.5" hidden="1" customHeight="1" outlineLevel="1">
      <c r="A5" s="60">
        <v>50.0</v>
      </c>
      <c r="B5" s="809" t="s">
        <v>201</v>
      </c>
      <c r="C5" s="810"/>
      <c r="D5" s="191"/>
      <c r="E5" s="811"/>
      <c r="F5" s="191"/>
      <c r="G5" s="190"/>
      <c r="H5" s="190"/>
      <c r="I5" s="189"/>
      <c r="J5" s="189"/>
      <c r="K5" s="813"/>
      <c r="L5" s="812"/>
      <c r="M5" s="811"/>
      <c r="N5" s="190"/>
      <c r="O5" s="189"/>
      <c r="P5" s="813"/>
      <c r="Q5" s="191"/>
      <c r="R5" s="1171"/>
      <c r="S5" s="126"/>
      <c r="T5" s="215"/>
      <c r="U5" s="215"/>
      <c r="V5" s="215"/>
    </row>
    <row r="6" hidden="1" outlineLevel="1">
      <c r="A6" s="60">
        <v>47.0</v>
      </c>
      <c r="B6" s="960" t="s">
        <v>195</v>
      </c>
      <c r="C6" s="961"/>
      <c r="D6" s="218"/>
      <c r="E6" s="817"/>
      <c r="F6" s="218"/>
      <c r="G6" s="217"/>
      <c r="H6" s="217"/>
      <c r="I6" s="216"/>
      <c r="J6" s="216"/>
      <c r="K6" s="820"/>
      <c r="L6" s="818"/>
      <c r="M6" s="817"/>
      <c r="N6" s="217"/>
      <c r="O6" s="216"/>
      <c r="P6" s="1076"/>
      <c r="Q6" s="821"/>
      <c r="R6" s="1190"/>
      <c r="S6" s="1191"/>
      <c r="T6" s="215"/>
      <c r="U6" s="215"/>
      <c r="V6" s="215"/>
    </row>
    <row r="7" ht="15.0" hidden="1" customHeight="1" outlineLevel="1">
      <c r="A7" s="60">
        <v>86.0</v>
      </c>
      <c r="B7" s="830" t="s">
        <v>270</v>
      </c>
      <c r="C7" s="831"/>
      <c r="D7" s="466"/>
      <c r="E7" s="832"/>
      <c r="F7" s="466"/>
      <c r="G7" s="465"/>
      <c r="H7" s="465"/>
      <c r="I7" s="464"/>
      <c r="J7" s="464"/>
      <c r="K7" s="835"/>
      <c r="L7" s="833"/>
      <c r="M7" s="832"/>
      <c r="N7" s="465"/>
      <c r="O7" s="464"/>
      <c r="P7" s="838"/>
      <c r="Q7" s="836"/>
      <c r="R7" s="838"/>
      <c r="S7" s="1192"/>
      <c r="T7" s="215"/>
      <c r="U7" s="215"/>
      <c r="V7" s="215"/>
    </row>
    <row r="8" ht="32.25" customHeight="1" outlineLevel="1">
      <c r="A8" s="60">
        <v>2.0</v>
      </c>
      <c r="B8" s="747" t="s">
        <v>83</v>
      </c>
      <c r="C8" s="747" t="s">
        <v>84</v>
      </c>
      <c r="D8" s="71" t="s">
        <v>85</v>
      </c>
      <c r="E8" s="146" t="s">
        <v>86</v>
      </c>
      <c r="F8" s="72">
        <v>1130.0</v>
      </c>
      <c r="G8" s="139" t="s">
        <v>86</v>
      </c>
      <c r="H8" s="139">
        <v>1130.0</v>
      </c>
      <c r="I8" s="126" t="str">
        <f>IFERROR(VLOOKUP(C2:C144,'R22 RELATÓRIO ACC'!B:F,5,FALSE),"NOT PUBLISHED")</f>
        <v>V29</v>
      </c>
      <c r="J8" s="126" t="str">
        <f>IFERROR(VLOOKUP(C2:C144,'R22 RELATÓRIO ACC'!B:P,15,FALSE),"NOT PUBLISHED")</f>
        <v>13/04/2026</v>
      </c>
      <c r="K8" s="746" t="str">
        <f>IFERROR(VLOOKUP(B6:B147,'RELATÓRIO ACC'!B:F,5,FALSE),"NOT PUBLISHED")</f>
        <v>V3</v>
      </c>
      <c r="L8" s="748" t="str">
        <f>IFERROR(VLOOKUP(B6:B147,'RELATÓRIO ACC'!B:P,15,FALSE),"NOT PUBLISHED")</f>
        <v>03/06/2026</v>
      </c>
      <c r="M8" s="141" t="s">
        <v>462</v>
      </c>
      <c r="N8" s="141" t="s">
        <v>462</v>
      </c>
      <c r="O8" s="1194" t="s">
        <v>472</v>
      </c>
      <c r="P8" s="74" t="s">
        <v>462</v>
      </c>
      <c r="Q8" s="74" t="s">
        <v>462</v>
      </c>
      <c r="R8" s="764">
        <v>0.0</v>
      </c>
      <c r="S8" s="751"/>
      <c r="T8" s="111"/>
      <c r="U8" s="111"/>
      <c r="V8" s="111"/>
    </row>
    <row r="9" ht="15.0" customHeight="1" outlineLevel="1">
      <c r="A9" s="60">
        <v>4.0</v>
      </c>
      <c r="B9" s="747" t="s">
        <v>463</v>
      </c>
      <c r="C9" s="747" t="s">
        <v>464</v>
      </c>
      <c r="D9" s="71" t="s">
        <v>85</v>
      </c>
      <c r="E9" s="141" t="s">
        <v>465</v>
      </c>
      <c r="F9" s="125">
        <v>1111.0</v>
      </c>
      <c r="G9" s="139" t="s">
        <v>86</v>
      </c>
      <c r="H9" s="139">
        <v>1130.0</v>
      </c>
      <c r="I9" s="126" t="str">
        <f>IFERROR(VLOOKUP(C3:C145,'R22 RELATÓRIO ACC'!B:F,5,FALSE),"NOT PUBLISHED")</f>
        <v>NOT PUBLISHED</v>
      </c>
      <c r="J9" s="126" t="str">
        <f>IFERROR(VLOOKUP(C3:C145,'R22 RELATÓRIO ACC'!B:P,15,FALSE),"NOT PUBLISHED")</f>
        <v>NOT PUBLISHED</v>
      </c>
      <c r="K9" s="746" t="str">
        <f>IFERROR(VLOOKUP(B6:B148,'RELATÓRIO ACC'!B:F,5,FALSE),"NOT PUBLISHED")</f>
        <v>NOT PUBLISHED</v>
      </c>
      <c r="L9" s="748" t="str">
        <f>IFERROR(VLOOKUP(B6:B148,'RELATÓRIO ACC'!B:P,15,FALSE),"NOT PUBLISHED")</f>
        <v>NOT PUBLISHED</v>
      </c>
      <c r="M9" s="141" t="s">
        <v>462</v>
      </c>
      <c r="N9" s="141" t="s">
        <v>462</v>
      </c>
      <c r="O9" s="740" t="s">
        <v>466</v>
      </c>
      <c r="P9" s="74" t="s">
        <v>466</v>
      </c>
      <c r="Q9" s="74" t="s">
        <v>462</v>
      </c>
      <c r="R9" s="746" t="s">
        <v>466</v>
      </c>
      <c r="S9" s="126"/>
      <c r="T9" s="68"/>
      <c r="U9" s="68"/>
      <c r="V9" s="68"/>
    </row>
    <row r="10" ht="15.0" customHeight="1" outlineLevel="1">
      <c r="A10" s="60">
        <v>10.0</v>
      </c>
      <c r="B10" s="747" t="s">
        <v>95</v>
      </c>
      <c r="C10" s="747" t="s">
        <v>96</v>
      </c>
      <c r="D10" s="71" t="s">
        <v>85</v>
      </c>
      <c r="E10" s="138" t="s">
        <v>97</v>
      </c>
      <c r="F10" s="125"/>
      <c r="G10" s="147" t="s">
        <v>97</v>
      </c>
      <c r="H10" s="139"/>
      <c r="I10" s="126" t="str">
        <f>IFERROR(VLOOKUP(C4:C146,'R22 RELATÓRIO ACC'!B:F,5,FALSE),"NOT PUBLISHED")</f>
        <v>NOT PUBLISHED</v>
      </c>
      <c r="J10" s="126" t="str">
        <f>IFERROR(VLOOKUP(C4:C146,'R22 RELATÓRIO ACC'!B:P,15,FALSE),"NOT PUBLISHED")</f>
        <v>NOT PUBLISHED</v>
      </c>
      <c r="K10" s="746" t="str">
        <f>IFERROR(VLOOKUP(B7:B149,'RELATÓRIO ACC'!B:F,5,FALSE),"NOT PUBLISHED")</f>
        <v>NOT PUBLISHED</v>
      </c>
      <c r="L10" s="748" t="str">
        <f>IFERROR(VLOOKUP(B7:B149,'RELATÓRIO ACC'!B:P,15,FALSE),"NOT PUBLISHED")</f>
        <v>NOT PUBLISHED</v>
      </c>
      <c r="M10" s="141" t="s">
        <v>462</v>
      </c>
      <c r="N10" s="141" t="s">
        <v>462</v>
      </c>
      <c r="O10" s="740" t="s">
        <v>466</v>
      </c>
      <c r="P10" s="74" t="s">
        <v>466</v>
      </c>
      <c r="Q10" s="74" t="s">
        <v>462</v>
      </c>
      <c r="R10" s="746" t="s">
        <v>466</v>
      </c>
      <c r="S10" s="126"/>
      <c r="T10" s="68"/>
      <c r="U10" s="68"/>
      <c r="V10" s="68"/>
    </row>
    <row r="11" ht="15.0" customHeight="1" outlineLevel="1">
      <c r="A11" s="60">
        <v>11.0</v>
      </c>
      <c r="B11" s="747" t="s">
        <v>98</v>
      </c>
      <c r="C11" s="747" t="s">
        <v>99</v>
      </c>
      <c r="D11" s="71" t="s">
        <v>85</v>
      </c>
      <c r="E11" s="138" t="s">
        <v>100</v>
      </c>
      <c r="F11" s="72">
        <v>1104.0</v>
      </c>
      <c r="G11" s="139" t="s">
        <v>101</v>
      </c>
      <c r="H11" s="139">
        <v>1127.0</v>
      </c>
      <c r="I11" s="126" t="str">
        <f>IFERROR(VLOOKUP(C5:C147,'R22 RELATÓRIO ACC'!B:F,5,FALSE),"NOT PUBLISHED")</f>
        <v>V12</v>
      </c>
      <c r="J11" s="126" t="str">
        <f>IFERROR(VLOOKUP(C5:C147,'R22 RELATÓRIO ACC'!B:P,15,FALSE),"NOT PUBLISHED")</f>
        <v>08/04/2026</v>
      </c>
      <c r="K11" s="746" t="str">
        <f>IFERROR(VLOOKUP(B8:B150,'RELATÓRIO ACC'!B:F,5,FALSE),"NOT PUBLISHED")</f>
        <v>V1</v>
      </c>
      <c r="L11" s="748" t="str">
        <f>IFERROR(VLOOKUP(B8:B150,'RELATÓRIO ACC'!B:P,15,FALSE),"NOT PUBLISHED")</f>
        <v>15/05/2026</v>
      </c>
      <c r="M11" s="141" t="s">
        <v>462</v>
      </c>
      <c r="N11" s="141" t="s">
        <v>462</v>
      </c>
      <c r="O11" s="740" t="s">
        <v>472</v>
      </c>
      <c r="P11" s="74" t="s">
        <v>462</v>
      </c>
      <c r="Q11" s="74" t="s">
        <v>462</v>
      </c>
      <c r="R11" s="764">
        <v>0.0</v>
      </c>
      <c r="S11" s="126"/>
      <c r="T11" s="111"/>
      <c r="U11" s="111"/>
      <c r="V11" s="111"/>
    </row>
    <row r="12" ht="15.0" customHeight="1" outlineLevel="1">
      <c r="A12" s="60">
        <v>13.0</v>
      </c>
      <c r="B12" s="747" t="s">
        <v>105</v>
      </c>
      <c r="C12" s="747" t="s">
        <v>106</v>
      </c>
      <c r="D12" s="71" t="s">
        <v>85</v>
      </c>
      <c r="E12" s="146" t="s">
        <v>107</v>
      </c>
      <c r="F12" s="72">
        <v>1105.0</v>
      </c>
      <c r="G12" s="147" t="s">
        <v>101</v>
      </c>
      <c r="H12" s="139">
        <v>1105.0</v>
      </c>
      <c r="I12" s="126" t="str">
        <f>IFERROR(VLOOKUP(C6:C148,'R22 RELATÓRIO ACC'!B:F,5,FALSE),"NOT PUBLISHED")</f>
        <v>V9</v>
      </c>
      <c r="J12" s="126" t="str">
        <f>IFERROR(VLOOKUP(C6:C148,'R22 RELATÓRIO ACC'!B:P,15,FALSE),"NOT PUBLISHED")</f>
        <v>27/03/2026</v>
      </c>
      <c r="K12" s="746" t="str">
        <f>IFERROR(VLOOKUP(B9:B151,'RELATÓRIO ACC'!B:F,5,FALSE),"NOT PUBLISHED")</f>
        <v>V2</v>
      </c>
      <c r="L12" s="748" t="str">
        <f>IFERROR(VLOOKUP(B9:B151,'RELATÓRIO ACC'!B:P,15,FALSE),"NOT PUBLISHED")</f>
        <v>26/06/2026</v>
      </c>
      <c r="M12" s="141" t="s">
        <v>462</v>
      </c>
      <c r="N12" s="141" t="s">
        <v>462</v>
      </c>
      <c r="O12" s="740" t="s">
        <v>472</v>
      </c>
      <c r="P12" s="74" t="s">
        <v>462</v>
      </c>
      <c r="Q12" s="74" t="s">
        <v>462</v>
      </c>
      <c r="R12" s="764">
        <v>0.0</v>
      </c>
      <c r="S12" s="126"/>
      <c r="T12" s="111"/>
      <c r="U12" s="111"/>
      <c r="V12" s="111"/>
    </row>
    <row r="13" ht="15.0" customHeight="1" outlineLevel="1">
      <c r="A13" s="60">
        <v>14.0</v>
      </c>
      <c r="B13" s="747" t="s">
        <v>108</v>
      </c>
      <c r="C13" s="747" t="s">
        <v>109</v>
      </c>
      <c r="D13" s="71" t="s">
        <v>85</v>
      </c>
      <c r="E13" s="138" t="s">
        <v>100</v>
      </c>
      <c r="F13" s="72">
        <v>1104.0</v>
      </c>
      <c r="G13" s="139" t="s">
        <v>101</v>
      </c>
      <c r="H13" s="139">
        <v>1127.0</v>
      </c>
      <c r="I13" s="126" t="str">
        <f>IFERROR(VLOOKUP(C7:C149,'R22 RELATÓRIO ACC'!B:F,5,FALSE),"NOT PUBLISHED")</f>
        <v>V13</v>
      </c>
      <c r="J13" s="126" t="str">
        <f>IFERROR(VLOOKUP(C7:C149,'R22 RELATÓRIO ACC'!B:P,15,FALSE),"NOT PUBLISHED")</f>
        <v>02/03/2026</v>
      </c>
      <c r="K13" s="746" t="str">
        <f>IFERROR(VLOOKUP(B10:B152,'RELATÓRIO ACC'!B:F,5,FALSE),"NOT PUBLISHED")</f>
        <v>V3</v>
      </c>
      <c r="L13" s="748" t="str">
        <f>IFERROR(VLOOKUP(B10:B152,'RELATÓRIO ACC'!B:P,15,FALSE),"NOT PUBLISHED")</f>
        <v>24/06/2026</v>
      </c>
      <c r="M13" s="141" t="s">
        <v>462</v>
      </c>
      <c r="N13" s="141" t="s">
        <v>462</v>
      </c>
      <c r="O13" s="1194" t="s">
        <v>472</v>
      </c>
      <c r="P13" s="74" t="s">
        <v>462</v>
      </c>
      <c r="Q13" s="74" t="s">
        <v>462</v>
      </c>
      <c r="R13" s="764">
        <v>0.0</v>
      </c>
      <c r="S13" s="126"/>
      <c r="T13" s="111"/>
      <c r="U13" s="111"/>
      <c r="V13" s="111"/>
    </row>
    <row r="14" ht="14.25" customHeight="1" outlineLevel="1">
      <c r="A14" s="60">
        <v>16.0</v>
      </c>
      <c r="B14" s="747" t="s">
        <v>112</v>
      </c>
      <c r="C14" s="747" t="s">
        <v>113</v>
      </c>
      <c r="D14" s="71" t="s">
        <v>85</v>
      </c>
      <c r="E14" s="138" t="s">
        <v>114</v>
      </c>
      <c r="F14" s="754">
        <v>1106.0</v>
      </c>
      <c r="G14" s="139" t="s">
        <v>115</v>
      </c>
      <c r="H14" s="150">
        <v>0.0</v>
      </c>
      <c r="I14" s="126" t="str">
        <f>IFERROR(VLOOKUP(C8:C150,'R22 RELATÓRIO ACC'!B:F,5,FALSE),"NOT PUBLISHED")</f>
        <v>NOT PUBLISHED</v>
      </c>
      <c r="J14" s="126" t="str">
        <f>IFERROR(VLOOKUP(C8:C150,'R22 RELATÓRIO ACC'!B:P,15,FALSE),"NOT PUBLISHED")</f>
        <v>NOT PUBLISHED</v>
      </c>
      <c r="K14" s="746" t="str">
        <f>IFERROR(VLOOKUP(B11:B153,'RELATÓRIO ACC'!B:F,5,FALSE),"NOT PUBLISHED")</f>
        <v>NOT PUBLISHED</v>
      </c>
      <c r="L14" s="748" t="str">
        <f>IFERROR(VLOOKUP(B11:B153,'RELATÓRIO ACC'!B:P,15,FALSE),"NOT PUBLISHED")</f>
        <v>NOT PUBLISHED</v>
      </c>
      <c r="M14" s="141" t="s">
        <v>462</v>
      </c>
      <c r="N14" s="141" t="s">
        <v>462</v>
      </c>
      <c r="O14" s="740" t="s">
        <v>466</v>
      </c>
      <c r="P14" s="74" t="s">
        <v>466</v>
      </c>
      <c r="Q14" s="74" t="s">
        <v>462</v>
      </c>
      <c r="R14" s="746" t="s">
        <v>466</v>
      </c>
      <c r="S14" s="126"/>
      <c r="T14" s="68"/>
      <c r="U14" s="68"/>
      <c r="V14" s="68"/>
    </row>
    <row r="15" ht="15.0" customHeight="1" outlineLevel="1">
      <c r="A15" s="60">
        <v>18.0</v>
      </c>
      <c r="B15" s="747" t="s">
        <v>116</v>
      </c>
      <c r="C15" s="747" t="s">
        <v>117</v>
      </c>
      <c r="D15" s="71" t="s">
        <v>85</v>
      </c>
      <c r="E15" s="146" t="s">
        <v>118</v>
      </c>
      <c r="F15" s="754">
        <v>1107.0</v>
      </c>
      <c r="G15" s="147" t="s">
        <v>119</v>
      </c>
      <c r="H15" s="150">
        <v>0.0</v>
      </c>
      <c r="I15" s="126" t="str">
        <f>IFERROR(VLOOKUP(C9:C151,'R22 RELATÓRIO ACC'!B:F,5,FALSE),"NOT PUBLISHED")</f>
        <v>NOT PUBLISHED</v>
      </c>
      <c r="J15" s="126" t="str">
        <f>IFERROR(VLOOKUP(C9:C151,'R22 RELATÓRIO ACC'!B:P,15,FALSE),"NOT PUBLISHED")</f>
        <v>NOT PUBLISHED</v>
      </c>
      <c r="K15" s="746" t="str">
        <f>IFERROR(VLOOKUP(B12:B154,'RELATÓRIO ACC'!B:F,5,FALSE),"NOT PUBLISHED")</f>
        <v>NOT PUBLISHED</v>
      </c>
      <c r="L15" s="748" t="str">
        <f>IFERROR(VLOOKUP(B12:B154,'RELATÓRIO ACC'!B:P,15,FALSE),"NOT PUBLISHED")</f>
        <v>NOT PUBLISHED</v>
      </c>
      <c r="M15" s="141" t="s">
        <v>462</v>
      </c>
      <c r="N15" s="141" t="s">
        <v>462</v>
      </c>
      <c r="O15" s="740" t="s">
        <v>466</v>
      </c>
      <c r="P15" s="141" t="s">
        <v>466</v>
      </c>
      <c r="Q15" s="74" t="s">
        <v>462</v>
      </c>
      <c r="R15" s="746" t="s">
        <v>466</v>
      </c>
      <c r="S15" s="126"/>
      <c r="T15" s="68"/>
      <c r="U15" s="68"/>
      <c r="V15" s="68"/>
    </row>
    <row r="16" ht="15.0" customHeight="1" outlineLevel="1">
      <c r="A16" s="60">
        <v>20.0</v>
      </c>
      <c r="B16" s="747" t="s">
        <v>122</v>
      </c>
      <c r="C16" s="747" t="s">
        <v>123</v>
      </c>
      <c r="D16" s="71" t="s">
        <v>85</v>
      </c>
      <c r="E16" s="146" t="s">
        <v>124</v>
      </c>
      <c r="F16" s="72">
        <v>1108.0</v>
      </c>
      <c r="G16" s="147" t="s">
        <v>101</v>
      </c>
      <c r="H16" s="139">
        <v>1108.0</v>
      </c>
      <c r="I16" s="126" t="str">
        <f>IFERROR(VLOOKUP(C10:C152,'R22 RELATÓRIO ACC'!B:F,5,FALSE),"NOT PUBLISHED")</f>
        <v>V4</v>
      </c>
      <c r="J16" s="126" t="str">
        <f>IFERROR(VLOOKUP(C10:C152,'R22 RELATÓRIO ACC'!B:P,15,FALSE),"NOT PUBLISHED")</f>
        <v>10/04/2026</v>
      </c>
      <c r="K16" s="746" t="str">
        <f>IFERROR(VLOOKUP(B13:B155,'RELATÓRIO ACC'!B:F,5,FALSE),"NOT PUBLISHED")</f>
        <v>V2</v>
      </c>
      <c r="L16" s="748" t="str">
        <f>IFERROR(VLOOKUP(B13:B155,'RELATÓRIO ACC'!B:P,15,FALSE),"NOT PUBLISHED")</f>
        <v>04/06/2026</v>
      </c>
      <c r="M16" s="141" t="s">
        <v>462</v>
      </c>
      <c r="N16" s="141" t="s">
        <v>462</v>
      </c>
      <c r="O16" s="1194" t="s">
        <v>472</v>
      </c>
      <c r="P16" s="141" t="s">
        <v>462</v>
      </c>
      <c r="Q16" s="74" t="s">
        <v>462</v>
      </c>
      <c r="R16" s="764">
        <v>0.0</v>
      </c>
      <c r="S16" s="126"/>
      <c r="T16" s="68"/>
      <c r="U16" s="68"/>
      <c r="V16" s="68"/>
    </row>
    <row r="17" ht="15.0" customHeight="1" outlineLevel="1">
      <c r="A17" s="60">
        <v>22.0</v>
      </c>
      <c r="B17" s="747" t="s">
        <v>130</v>
      </c>
      <c r="C17" s="747" t="s">
        <v>131</v>
      </c>
      <c r="D17" s="71" t="s">
        <v>85</v>
      </c>
      <c r="E17" s="146" t="s">
        <v>132</v>
      </c>
      <c r="F17" s="72">
        <v>1110.0</v>
      </c>
      <c r="G17" s="146" t="s">
        <v>133</v>
      </c>
      <c r="H17" s="139">
        <v>1128.0</v>
      </c>
      <c r="I17" s="126" t="str">
        <f>IFERROR(VLOOKUP(C11:C153,'R22 RELATÓRIO ACC'!B:F,5,FALSE),"NOT PUBLISHED")</f>
        <v>V25</v>
      </c>
      <c r="J17" s="126" t="str">
        <f>IFERROR(VLOOKUP(C11:C153,'R22 RELATÓRIO ACC'!B:P,15,FALSE),"NOT PUBLISHED")</f>
        <v>06/05/2026</v>
      </c>
      <c r="K17" s="746" t="str">
        <f>IFERROR(VLOOKUP(B14:B156,'RELATÓRIO ACC'!B:F,5,FALSE),"NOT PUBLISHED")</f>
        <v>V3</v>
      </c>
      <c r="L17" s="748" t="str">
        <f>IFERROR(VLOOKUP(B14:B156,'RELATÓRIO ACC'!B:P,15,FALSE),"NOT PUBLISHED")</f>
        <v>07/07/2026</v>
      </c>
      <c r="M17" s="141" t="s">
        <v>462</v>
      </c>
      <c r="N17" s="141" t="s">
        <v>462</v>
      </c>
      <c r="O17" s="740" t="s">
        <v>472</v>
      </c>
      <c r="P17" s="141" t="s">
        <v>462</v>
      </c>
      <c r="Q17" s="74" t="s">
        <v>462</v>
      </c>
      <c r="R17" s="764">
        <v>0.0</v>
      </c>
      <c r="S17" s="126"/>
      <c r="T17" s="111"/>
      <c r="U17" s="111"/>
      <c r="V17" s="111"/>
    </row>
    <row r="18" ht="15.0" customHeight="1" outlineLevel="1">
      <c r="A18" s="60">
        <v>23.0</v>
      </c>
      <c r="B18" s="747" t="s">
        <v>134</v>
      </c>
      <c r="C18" s="747" t="s">
        <v>135</v>
      </c>
      <c r="D18" s="71" t="s">
        <v>85</v>
      </c>
      <c r="E18" s="146" t="s">
        <v>132</v>
      </c>
      <c r="F18" s="72">
        <v>1110.0</v>
      </c>
      <c r="G18" s="139" t="s">
        <v>133</v>
      </c>
      <c r="H18" s="139">
        <v>1128.0</v>
      </c>
      <c r="I18" s="126" t="str">
        <f>IFERROR(VLOOKUP(C12:C154,'R22 RELATÓRIO ACC'!B:F,5,FALSE),"NOT PUBLISHED")</f>
        <v>V30</v>
      </c>
      <c r="J18" s="126" t="str">
        <f>IFERROR(VLOOKUP(C12:C154,'R22 RELATÓRIO ACC'!B:P,15,FALSE),"NOT PUBLISHED")</f>
        <v>26/03/2026</v>
      </c>
      <c r="K18" s="746" t="str">
        <f>IFERROR(VLOOKUP(B15:B157,'RELATÓRIO ACC'!B:F,5,FALSE),"NOT PUBLISHED")</f>
        <v>V2</v>
      </c>
      <c r="L18" s="748" t="str">
        <f>IFERROR(VLOOKUP(B15:B157,'RELATÓRIO ACC'!B:P,15,FALSE),"NOT PUBLISHED")</f>
        <v>20/05/2026</v>
      </c>
      <c r="M18" s="141" t="s">
        <v>462</v>
      </c>
      <c r="N18" s="141" t="s">
        <v>462</v>
      </c>
      <c r="O18" s="740" t="s">
        <v>472</v>
      </c>
      <c r="P18" s="141" t="s">
        <v>462</v>
      </c>
      <c r="Q18" s="74" t="s">
        <v>462</v>
      </c>
      <c r="R18" s="764">
        <v>0.0</v>
      </c>
      <c r="S18" s="126"/>
      <c r="T18" s="111"/>
      <c r="U18" s="111"/>
      <c r="V18" s="111"/>
    </row>
    <row r="19" ht="15.0" customHeight="1" outlineLevel="1">
      <c r="A19" s="60">
        <v>25.0</v>
      </c>
      <c r="B19" s="747" t="s">
        <v>140</v>
      </c>
      <c r="C19" s="747" t="s">
        <v>141</v>
      </c>
      <c r="D19" s="71" t="s">
        <v>142</v>
      </c>
      <c r="E19" s="146" t="s">
        <v>138</v>
      </c>
      <c r="F19" s="125">
        <v>1101.0</v>
      </c>
      <c r="G19" s="139" t="s">
        <v>139</v>
      </c>
      <c r="H19" s="139">
        <v>1126.0</v>
      </c>
      <c r="I19" s="126" t="str">
        <f>IFERROR(VLOOKUP(C13:C155,'R22 RELATÓRIO ACC'!B:F,5,FALSE),"NOT PUBLISHED")</f>
        <v>V14</v>
      </c>
      <c r="J19" s="126" t="str">
        <f>IFERROR(VLOOKUP(C13:C155,'R22 RELATÓRIO ACC'!B:P,15,FALSE),"NOT PUBLISHED")</f>
        <v>30/01/2026</v>
      </c>
      <c r="K19" s="746" t="str">
        <f>IFERROR(VLOOKUP(B16:B158,'RELATÓRIO ACC'!B:F,5,FALSE),"NOT PUBLISHED")</f>
        <v>V1</v>
      </c>
      <c r="L19" s="748" t="str">
        <f>IFERROR(VLOOKUP(B16:B158,'RELATÓRIO ACC'!B:P,15,FALSE),"NOT PUBLISHED")</f>
        <v>19/05/2026</v>
      </c>
      <c r="M19" s="141" t="s">
        <v>462</v>
      </c>
      <c r="N19" s="141" t="s">
        <v>462</v>
      </c>
      <c r="O19" s="1196" t="s">
        <v>472</v>
      </c>
      <c r="P19" s="141" t="s">
        <v>462</v>
      </c>
      <c r="Q19" s="74" t="s">
        <v>462</v>
      </c>
      <c r="R19" s="764">
        <v>0.0</v>
      </c>
      <c r="S19" s="126"/>
      <c r="T19" s="111"/>
      <c r="U19" s="111"/>
      <c r="V19" s="111"/>
    </row>
    <row r="20" ht="15.0" customHeight="1" outlineLevel="1">
      <c r="A20" s="60">
        <v>26.0</v>
      </c>
      <c r="B20" s="747" t="s">
        <v>143</v>
      </c>
      <c r="C20" s="747" t="s">
        <v>144</v>
      </c>
      <c r="D20" s="71" t="s">
        <v>145</v>
      </c>
      <c r="E20" s="146" t="s">
        <v>138</v>
      </c>
      <c r="F20" s="138">
        <v>1101.0</v>
      </c>
      <c r="G20" s="146" t="s">
        <v>139</v>
      </c>
      <c r="H20" s="139">
        <v>1126.0</v>
      </c>
      <c r="I20" s="126" t="str">
        <f>IFERROR(VLOOKUP(C14:C156,'R22 RELATÓRIO ACC'!B:F,5,FALSE),"NOT PUBLISHED")</f>
        <v>V24</v>
      </c>
      <c r="J20" s="126" t="str">
        <f>IFERROR(VLOOKUP(C14:C156,'R22 RELATÓRIO ACC'!B:P,15,FALSE),"NOT PUBLISHED")</f>
        <v>07/04/2026</v>
      </c>
      <c r="K20" s="746" t="str">
        <f>IFERROR(VLOOKUP(B17:B159,'RELATÓRIO ACC'!B:F,5,FALSE),"NOT PUBLISHED")</f>
        <v>V2</v>
      </c>
      <c r="L20" s="748" t="str">
        <f>IFERROR(VLOOKUP(B17:B159,'RELATÓRIO ACC'!B:P,15,FALSE),"NOT PUBLISHED")</f>
        <v>27/05/2026</v>
      </c>
      <c r="M20" s="141" t="s">
        <v>462</v>
      </c>
      <c r="N20" s="141" t="s">
        <v>462</v>
      </c>
      <c r="O20" s="1196" t="s">
        <v>472</v>
      </c>
      <c r="P20" s="141" t="s">
        <v>462</v>
      </c>
      <c r="Q20" s="74" t="s">
        <v>462</v>
      </c>
      <c r="R20" s="1057">
        <v>0.0</v>
      </c>
      <c r="S20" s="126"/>
      <c r="T20" s="111"/>
      <c r="U20" s="111"/>
      <c r="V20" s="111"/>
    </row>
    <row r="21" ht="15.0" customHeight="1">
      <c r="A21" s="60">
        <v>27.0</v>
      </c>
      <c r="B21" s="769" t="s">
        <v>147</v>
      </c>
      <c r="C21" s="769" t="s">
        <v>148</v>
      </c>
      <c r="D21" s="770" t="s">
        <v>85</v>
      </c>
      <c r="E21" s="771" t="s">
        <v>115</v>
      </c>
      <c r="F21" s="1220">
        <v>0.0</v>
      </c>
      <c r="G21" s="1220" t="s">
        <v>115</v>
      </c>
      <c r="H21" s="150">
        <v>0.0</v>
      </c>
      <c r="I21" s="126" t="str">
        <f>IFERROR(VLOOKUP(C15:C157,'R22 RELATÓRIO ACC'!B:F,5,FALSE),"NOT PUBLISHED")</f>
        <v>NOT PUBLISHED</v>
      </c>
      <c r="J21" s="126" t="str">
        <f>IFERROR(VLOOKUP(C15:C157,'R22 RELATÓRIO ACC'!B:P,15,FALSE),"NOT PUBLISHED")</f>
        <v>NOT PUBLISHED</v>
      </c>
      <c r="K21" s="746" t="str">
        <f>IFERROR(VLOOKUP(B19:B160,'RELATÓRIO ACC'!B:F,5,FALSE),"NOT PUBLISHED")</f>
        <v>NOT PUBLISHED</v>
      </c>
      <c r="L21" s="748" t="str">
        <f>IFERROR(VLOOKUP(B19:B160,'RELATÓRIO ACC'!B:P,15,FALSE),"NOT PUBLISHED")</f>
        <v>NOT PUBLISHED</v>
      </c>
      <c r="M21" s="141" t="s">
        <v>462</v>
      </c>
      <c r="N21" s="141" t="s">
        <v>462</v>
      </c>
      <c r="O21" s="1042" t="s">
        <v>466</v>
      </c>
      <c r="P21" s="141" t="s">
        <v>466</v>
      </c>
      <c r="Q21" s="74" t="s">
        <v>462</v>
      </c>
      <c r="R21" s="746" t="s">
        <v>466</v>
      </c>
      <c r="S21" s="68"/>
      <c r="T21" s="68"/>
      <c r="U21" s="68"/>
      <c r="V21" s="68"/>
    </row>
    <row r="22" ht="15.0" customHeight="1" outlineLevel="1">
      <c r="A22" s="60">
        <v>30.0</v>
      </c>
      <c r="B22" s="747" t="s">
        <v>154</v>
      </c>
      <c r="C22" s="747" t="s">
        <v>155</v>
      </c>
      <c r="D22" s="71" t="s">
        <v>85</v>
      </c>
      <c r="E22" s="138" t="s">
        <v>156</v>
      </c>
      <c r="F22" s="754">
        <v>0.0</v>
      </c>
      <c r="G22" s="154" t="s">
        <v>157</v>
      </c>
      <c r="H22" s="150"/>
      <c r="I22" s="126" t="str">
        <f>IFERROR(VLOOKUP(C16:C158,'R22 RELATÓRIO ACC'!B:F,5,FALSE),"NOT PUBLISHED")</f>
        <v>V4</v>
      </c>
      <c r="J22" s="126" t="str">
        <f>IFERROR(VLOOKUP(C16:C158,'R22 RELATÓRIO ACC'!B:P,15,FALSE),"NOT PUBLISHED")</f>
        <v>29/04/2026</v>
      </c>
      <c r="K22" s="746" t="str">
        <f>IFERROR(VLOOKUP(B20:B161,'RELATÓRIO ACC'!B:F,5,FALSE),"NOT PUBLISHED")</f>
        <v>V1</v>
      </c>
      <c r="L22" s="748" t="str">
        <f>IFERROR(VLOOKUP(B20:B161,'RELATÓRIO ACC'!B:P,15,FALSE),"NOT PUBLISHED")</f>
        <v>04/06/2026</v>
      </c>
      <c r="M22" s="141" t="s">
        <v>462</v>
      </c>
      <c r="N22" s="141" t="s">
        <v>462</v>
      </c>
      <c r="O22" s="1196" t="s">
        <v>472</v>
      </c>
      <c r="P22" s="141" t="s">
        <v>462</v>
      </c>
      <c r="Q22" s="74" t="s">
        <v>462</v>
      </c>
      <c r="R22" s="764">
        <v>0.0</v>
      </c>
      <c r="S22" s="126"/>
      <c r="T22" s="68"/>
      <c r="U22" s="68"/>
      <c r="V22" s="68"/>
    </row>
    <row r="23" ht="15.0" customHeight="1">
      <c r="A23" s="60">
        <v>32.0</v>
      </c>
      <c r="B23" s="769" t="s">
        <v>160</v>
      </c>
      <c r="C23" s="769" t="s">
        <v>161</v>
      </c>
      <c r="D23" s="770" t="s">
        <v>85</v>
      </c>
      <c r="E23" s="157" t="s">
        <v>162</v>
      </c>
      <c r="F23" s="157" t="s">
        <v>162</v>
      </c>
      <c r="G23" s="157" t="s">
        <v>162</v>
      </c>
      <c r="H23" s="150"/>
      <c r="I23" s="126" t="str">
        <f>IFERROR(VLOOKUP(C17:C159,'R22 RELATÓRIO ACC'!B:F,5,FALSE),"NOT PUBLISHED")</f>
        <v>V9</v>
      </c>
      <c r="J23" s="126" t="str">
        <f>IFERROR(VLOOKUP(C17:C159,'R22 RELATÓRIO ACC'!B:P,15,FALSE),"NOT PUBLISHED")</f>
        <v>28/02/2026</v>
      </c>
      <c r="K23" s="852" t="str">
        <f>IFERROR(VLOOKUP(B20:B162,'RELATÓRIO ACC'!B:F,5,FALSE),"NOT PUBLISHED")</f>
        <v>V1</v>
      </c>
      <c r="L23" s="1197" t="str">
        <f>IFERROR(VLOOKUP(B20:B162,'RELATÓRIO ACC'!B:P,15,FALSE),"NOT PUBLISHED")</f>
        <v>20/05/2026</v>
      </c>
      <c r="M23" s="141" t="s">
        <v>462</v>
      </c>
      <c r="N23" s="141" t="s">
        <v>462</v>
      </c>
      <c r="O23" s="1196" t="s">
        <v>472</v>
      </c>
      <c r="P23" s="141" t="s">
        <v>462</v>
      </c>
      <c r="Q23" s="74" t="s">
        <v>462</v>
      </c>
      <c r="R23" s="1207">
        <v>0.0</v>
      </c>
      <c r="S23" s="68"/>
      <c r="T23" s="111"/>
      <c r="U23" s="111"/>
      <c r="V23" s="111"/>
    </row>
    <row r="24" ht="15.0" customHeight="1" outlineLevel="1">
      <c r="A24" s="60">
        <v>34.0</v>
      </c>
      <c r="B24" s="747" t="s">
        <v>167</v>
      </c>
      <c r="C24" s="747" t="s">
        <v>168</v>
      </c>
      <c r="D24" s="71" t="s">
        <v>85</v>
      </c>
      <c r="E24" s="146" t="s">
        <v>169</v>
      </c>
      <c r="F24" s="72">
        <v>1112.0</v>
      </c>
      <c r="G24" s="139" t="s">
        <v>170</v>
      </c>
      <c r="H24" s="139">
        <v>1129.0</v>
      </c>
      <c r="I24" s="126" t="str">
        <f>IFERROR(VLOOKUP(C18:C160,'R22 RELATÓRIO ACC'!B:F,5,FALSE),"NOT PUBLISHED")</f>
        <v>V40</v>
      </c>
      <c r="J24" s="126" t="str">
        <f>IFERROR(VLOOKUP(C18:C160,'R22 RELATÓRIO ACC'!B:P,15,FALSE),"NOT PUBLISHED")</f>
        <v>10/04/2026</v>
      </c>
      <c r="K24" s="746" t="str">
        <f>IFERROR(VLOOKUP(B21:B163,'RELATÓRIO ACC'!B:F,5,FALSE),"NOT PUBLISHED")</f>
        <v>V3</v>
      </c>
      <c r="L24" s="748" t="str">
        <f>IFERROR(VLOOKUP(B21:B163,'RELATÓRIO ACC'!B:P,15,FALSE),"NOT PUBLISHED")</f>
        <v>13/07/2026</v>
      </c>
      <c r="M24" s="141" t="s">
        <v>462</v>
      </c>
      <c r="N24" s="141" t="s">
        <v>462</v>
      </c>
      <c r="O24" s="1042" t="s">
        <v>472</v>
      </c>
      <c r="P24" s="141" t="s">
        <v>462</v>
      </c>
      <c r="Q24" s="74" t="s">
        <v>462</v>
      </c>
      <c r="R24" s="764">
        <v>0.0</v>
      </c>
      <c r="S24" s="126"/>
      <c r="T24" s="111"/>
      <c r="U24" s="111"/>
      <c r="V24" s="111"/>
    </row>
    <row r="25" ht="13.5" customHeight="1">
      <c r="A25" s="60">
        <v>37.0</v>
      </c>
      <c r="B25" s="769" t="s">
        <v>174</v>
      </c>
      <c r="C25" s="769" t="s">
        <v>175</v>
      </c>
      <c r="D25" s="770" t="s">
        <v>85</v>
      </c>
      <c r="E25" s="771" t="s">
        <v>176</v>
      </c>
      <c r="F25" s="771">
        <v>1113.0</v>
      </c>
      <c r="G25" s="771" t="s">
        <v>176</v>
      </c>
      <c r="H25" s="139">
        <v>1113.0</v>
      </c>
      <c r="I25" s="126" t="str">
        <f>IFERROR(VLOOKUP(C19:C161,'R22 RELATÓRIO ACC'!B:F,5,FALSE),"NOT PUBLISHED")</f>
        <v>V28</v>
      </c>
      <c r="J25" s="126" t="str">
        <f>IFERROR(VLOOKUP(C19:C161,'R22 RELATÓRIO ACC'!B:P,15,FALSE),"NOT PUBLISHED")</f>
        <v>16/04/2026</v>
      </c>
      <c r="K25" s="852" t="str">
        <f>IFERROR(VLOOKUP(B22:B164,'RELATÓRIO ACC'!B:F,5,FALSE),"NOT PUBLISHED")</f>
        <v>V4</v>
      </c>
      <c r="L25" s="1197" t="str">
        <f>IFERROR(VLOOKUP(B22:B164,'RELATÓRIO ACC'!B:P,15,FALSE),"NOT PUBLISHED")</f>
        <v>26/06/2026</v>
      </c>
      <c r="M25" s="141" t="s">
        <v>462</v>
      </c>
      <c r="N25" s="141" t="s">
        <v>462</v>
      </c>
      <c r="O25" s="1196" t="s">
        <v>472</v>
      </c>
      <c r="P25" s="141" t="s">
        <v>462</v>
      </c>
      <c r="Q25" s="74" t="s">
        <v>462</v>
      </c>
      <c r="R25" s="764">
        <v>0.0</v>
      </c>
      <c r="S25" s="68"/>
      <c r="T25" s="111"/>
      <c r="U25" s="111"/>
      <c r="V25" s="111"/>
    </row>
    <row r="26" ht="15.0" customHeight="1" outlineLevel="1">
      <c r="A26" s="60">
        <v>39.0</v>
      </c>
      <c r="B26" s="747" t="s">
        <v>178</v>
      </c>
      <c r="C26" s="747" t="s">
        <v>179</v>
      </c>
      <c r="D26" s="71" t="s">
        <v>85</v>
      </c>
      <c r="E26" s="146" t="s">
        <v>180</v>
      </c>
      <c r="F26" s="72">
        <v>1114.0</v>
      </c>
      <c r="G26" s="139" t="s">
        <v>180</v>
      </c>
      <c r="H26" s="139">
        <v>1114.0</v>
      </c>
      <c r="I26" s="126" t="str">
        <f>IFERROR(VLOOKUP(C20:C162,'R22 RELATÓRIO ACC'!B:F,5,FALSE),"NOT PUBLISHED")</f>
        <v>V15</v>
      </c>
      <c r="J26" s="126" t="str">
        <f>IFERROR(VLOOKUP(C20:C162,'R22 RELATÓRIO ACC'!B:P,15,FALSE),"NOT PUBLISHED")</f>
        <v>27/04/2026</v>
      </c>
      <c r="K26" s="746" t="str">
        <f>IFERROR(VLOOKUP(B23:B165,'RELATÓRIO ACC'!B:F,5,FALSE),"NOT PUBLISHED")</f>
        <v>V3</v>
      </c>
      <c r="L26" s="748" t="str">
        <f>IFERROR(VLOOKUP(B23:B165,'RELATÓRIO ACC'!B:P,15,FALSE),"NOT PUBLISHED")</f>
        <v>12/07/2026</v>
      </c>
      <c r="M26" s="141" t="s">
        <v>462</v>
      </c>
      <c r="N26" s="141" t="s">
        <v>462</v>
      </c>
      <c r="O26" s="1042" t="s">
        <v>472</v>
      </c>
      <c r="P26" s="141" t="s">
        <v>462</v>
      </c>
      <c r="Q26" s="74" t="s">
        <v>462</v>
      </c>
      <c r="R26" s="764">
        <v>0.0</v>
      </c>
      <c r="S26" s="126"/>
      <c r="T26" s="111"/>
      <c r="U26" s="111"/>
      <c r="V26" s="111"/>
    </row>
    <row r="27" ht="15.0" customHeight="1">
      <c r="A27" s="60">
        <v>43.0</v>
      </c>
      <c r="B27" s="769" t="s">
        <v>187</v>
      </c>
      <c r="C27" s="769" t="s">
        <v>188</v>
      </c>
      <c r="D27" s="770" t="s">
        <v>85</v>
      </c>
      <c r="E27" s="771" t="s">
        <v>176</v>
      </c>
      <c r="F27" s="771">
        <v>1113.0</v>
      </c>
      <c r="G27" s="771" t="s">
        <v>176</v>
      </c>
      <c r="H27" s="139">
        <v>1113.0</v>
      </c>
      <c r="I27" s="126" t="str">
        <f>IFERROR(VLOOKUP(C21:C163,'R22 RELATÓRIO ACC'!B:F,5,FALSE),"NOT PUBLISHED")</f>
        <v>V36</v>
      </c>
      <c r="J27" s="126" t="str">
        <f>IFERROR(VLOOKUP(C21:C163,'R22 RELATÓRIO ACC'!B:P,15,FALSE),"NOT PUBLISHED")</f>
        <v>08/05/2026</v>
      </c>
      <c r="K27" s="852" t="str">
        <f>IFERROR(VLOOKUP(B24:B166,'RELATÓRIO ACC'!B:F,5,FALSE),"NOT PUBLISHED")</f>
        <v>V2</v>
      </c>
      <c r="L27" s="1197" t="str">
        <f>IFERROR(VLOOKUP(B24:B166,'RELATÓRIO ACC'!B:P,15,FALSE),"NOT PUBLISHED")</f>
        <v>03/06/2026</v>
      </c>
      <c r="M27" s="141" t="s">
        <v>462</v>
      </c>
      <c r="N27" s="141" t="s">
        <v>462</v>
      </c>
      <c r="O27" s="1042" t="s">
        <v>472</v>
      </c>
      <c r="P27" s="141" t="s">
        <v>462</v>
      </c>
      <c r="Q27" s="74" t="s">
        <v>462</v>
      </c>
      <c r="R27" s="764">
        <v>0.0</v>
      </c>
      <c r="S27" s="68"/>
      <c r="T27" s="111"/>
      <c r="U27" s="111"/>
      <c r="V27" s="111"/>
    </row>
    <row r="28" ht="15.0" customHeight="1" outlineLevel="1">
      <c r="A28" s="60">
        <v>46.0</v>
      </c>
      <c r="B28" s="747" t="s">
        <v>192</v>
      </c>
      <c r="C28" s="747" t="s">
        <v>193</v>
      </c>
      <c r="D28" s="71" t="s">
        <v>85</v>
      </c>
      <c r="E28" s="146" t="s">
        <v>180</v>
      </c>
      <c r="F28" s="72">
        <v>1114.0</v>
      </c>
      <c r="G28" s="139" t="s">
        <v>180</v>
      </c>
      <c r="H28" s="139">
        <v>1114.0</v>
      </c>
      <c r="I28" s="126" t="str">
        <f>IFERROR(VLOOKUP(C22:C164,'R22 RELATÓRIO ACC'!B:F,5,FALSE),"NOT PUBLISHED")</f>
        <v>V18</v>
      </c>
      <c r="J28" s="126" t="str">
        <f>IFERROR(VLOOKUP(C22:C164,'R22 RELATÓRIO ACC'!B:P,15,FALSE),"NOT PUBLISHED")</f>
        <v>30/04/2026</v>
      </c>
      <c r="K28" s="746" t="str">
        <f>IFERROR(VLOOKUP(B25:B167,'RELATÓRIO ACC'!B:F,5,FALSE),"NOT PUBLISHED")</f>
        <v>V3</v>
      </c>
      <c r="L28" s="748" t="str">
        <f>IFERROR(VLOOKUP(B25:B167,'RELATÓRIO ACC'!B:P,15,FALSE),"NOT PUBLISHED")</f>
        <v>29/06/2026</v>
      </c>
      <c r="M28" s="141" t="s">
        <v>462</v>
      </c>
      <c r="N28" s="141" t="s">
        <v>462</v>
      </c>
      <c r="O28" s="1042" t="s">
        <v>472</v>
      </c>
      <c r="P28" s="74" t="s">
        <v>462</v>
      </c>
      <c r="Q28" s="74" t="s">
        <v>462</v>
      </c>
      <c r="R28" s="764">
        <v>0.0</v>
      </c>
      <c r="S28" s="126"/>
      <c r="T28" s="111"/>
      <c r="U28" s="111"/>
      <c r="V28" s="111"/>
    </row>
    <row r="29" ht="15.0" customHeight="1">
      <c r="A29" s="60">
        <v>48.0</v>
      </c>
      <c r="B29" s="769" t="s">
        <v>196</v>
      </c>
      <c r="C29" s="769" t="s">
        <v>197</v>
      </c>
      <c r="D29" s="770" t="s">
        <v>85</v>
      </c>
      <c r="E29" s="771" t="s">
        <v>169</v>
      </c>
      <c r="F29" s="771">
        <v>1112.0</v>
      </c>
      <c r="G29" s="771" t="s">
        <v>170</v>
      </c>
      <c r="H29" s="139">
        <v>1129.0</v>
      </c>
      <c r="I29" s="126" t="str">
        <f>IFERROR(VLOOKUP(C23:C165,'R22 RELATÓRIO ACC'!B:F,5,FALSE),"NOT PUBLISHED")</f>
        <v>V33</v>
      </c>
      <c r="J29" s="126" t="str">
        <f>IFERROR(VLOOKUP(C23:C165,'R22 RELATÓRIO ACC'!B:P,15,FALSE),"NOT PUBLISHED")</f>
        <v>04/03/2026</v>
      </c>
      <c r="K29" s="852" t="str">
        <f>IFERROR(VLOOKUP(B26:B168,'RELATÓRIO ACC'!B:F,5,FALSE),"NOT PUBLISHED")</f>
        <v>V2</v>
      </c>
      <c r="L29" s="1197" t="str">
        <f>IFERROR(VLOOKUP(B26:B168,'RELATÓRIO ACC'!B:P,15,FALSE),"NOT PUBLISHED")</f>
        <v>13/07/2026</v>
      </c>
      <c r="M29" s="141" t="s">
        <v>462</v>
      </c>
      <c r="N29" s="141" t="s">
        <v>462</v>
      </c>
      <c r="O29" s="1196" t="s">
        <v>472</v>
      </c>
      <c r="P29" s="74" t="s">
        <v>462</v>
      </c>
      <c r="Q29" s="74" t="s">
        <v>462</v>
      </c>
      <c r="R29" s="764">
        <v>0.0</v>
      </c>
      <c r="S29" s="68"/>
      <c r="T29" s="111"/>
      <c r="U29" s="111"/>
      <c r="V29" s="111"/>
    </row>
    <row r="30" ht="15.0" customHeight="1" outlineLevel="1">
      <c r="A30" s="60">
        <v>52.0</v>
      </c>
      <c r="B30" s="747" t="s">
        <v>204</v>
      </c>
      <c r="C30" s="747" t="s">
        <v>205</v>
      </c>
      <c r="D30" s="71" t="s">
        <v>85</v>
      </c>
      <c r="E30" s="146" t="s">
        <v>180</v>
      </c>
      <c r="F30" s="72">
        <v>1114.0</v>
      </c>
      <c r="G30" s="139" t="s">
        <v>180</v>
      </c>
      <c r="H30" s="139">
        <v>1114.0</v>
      </c>
      <c r="I30" s="126" t="str">
        <f>IFERROR(VLOOKUP(C24:C166,'R22 RELATÓRIO ACC'!B:F,5,FALSE),"NOT PUBLISHED")</f>
        <v>V20</v>
      </c>
      <c r="J30" s="126" t="str">
        <f>IFERROR(VLOOKUP(C24:C166,'R22 RELATÓRIO ACC'!B:P,15,FALSE),"NOT PUBLISHED")</f>
        <v>05/05/2026</v>
      </c>
      <c r="K30" s="746" t="str">
        <f>IFERROR(VLOOKUP(B27:B169,'RELATÓRIO ACC'!B:F,5,FALSE),"NOT PUBLISHED")</f>
        <v>V2</v>
      </c>
      <c r="L30" s="748" t="str">
        <f>IFERROR(VLOOKUP(B27:B169,'RELATÓRIO ACC'!B:P,15,FALSE),"NOT PUBLISHED")</f>
        <v>12/07/2026</v>
      </c>
      <c r="M30" s="141" t="s">
        <v>462</v>
      </c>
      <c r="N30" s="141" t="s">
        <v>462</v>
      </c>
      <c r="O30" s="1042" t="s">
        <v>472</v>
      </c>
      <c r="P30" s="74" t="s">
        <v>462</v>
      </c>
      <c r="Q30" s="74" t="s">
        <v>462</v>
      </c>
      <c r="R30" s="764">
        <v>0.0</v>
      </c>
      <c r="S30" s="126"/>
      <c r="T30" s="111"/>
      <c r="U30" s="111"/>
      <c r="V30" s="111"/>
    </row>
    <row r="31" ht="15.0" customHeight="1">
      <c r="A31" s="60">
        <v>54.0</v>
      </c>
      <c r="B31" s="769" t="s">
        <v>207</v>
      </c>
      <c r="C31" s="769" t="s">
        <v>208</v>
      </c>
      <c r="D31" s="770" t="s">
        <v>85</v>
      </c>
      <c r="E31" s="771" t="s">
        <v>169</v>
      </c>
      <c r="F31" s="771">
        <v>1112.0</v>
      </c>
      <c r="G31" s="771" t="s">
        <v>170</v>
      </c>
      <c r="H31" s="139">
        <v>1129.0</v>
      </c>
      <c r="I31" s="126" t="str">
        <f>IFERROR(VLOOKUP(C25:C167,'R22 RELATÓRIO ACC'!B:F,5,FALSE),"NOT PUBLISHED")</f>
        <v>V39</v>
      </c>
      <c r="J31" s="126" t="str">
        <f>IFERROR(VLOOKUP(C25:C167,'R22 RELATÓRIO ACC'!B:P,15,FALSE),"NOT PUBLISHED")</f>
        <v>19/03/2026</v>
      </c>
      <c r="K31" s="852" t="str">
        <f>IFERROR(VLOOKUP(B28:B170,'RELATÓRIO ACC'!B:F,5,FALSE),"NOT PUBLISHED")</f>
        <v>V5</v>
      </c>
      <c r="L31" s="1197" t="str">
        <f>IFERROR(VLOOKUP(B28:B170,'RELATÓRIO ACC'!B:P,15,FALSE),"NOT PUBLISHED")</f>
        <v>10/07/2026</v>
      </c>
      <c r="M31" s="141" t="s">
        <v>462</v>
      </c>
      <c r="N31" s="141" t="s">
        <v>462</v>
      </c>
      <c r="O31" s="1042" t="s">
        <v>472</v>
      </c>
      <c r="P31" s="74" t="s">
        <v>462</v>
      </c>
      <c r="Q31" s="74" t="s">
        <v>462</v>
      </c>
      <c r="R31" s="134">
        <v>0.0</v>
      </c>
      <c r="S31" s="68"/>
      <c r="T31" s="111"/>
      <c r="U31" s="111"/>
      <c r="V31" s="111"/>
    </row>
    <row r="32" ht="15.0" customHeight="1" outlineLevel="1">
      <c r="A32" s="60">
        <v>58.0</v>
      </c>
      <c r="B32" s="747" t="s">
        <v>215</v>
      </c>
      <c r="C32" s="747" t="s">
        <v>216</v>
      </c>
      <c r="D32" s="71" t="s">
        <v>85</v>
      </c>
      <c r="E32" s="146" t="s">
        <v>214</v>
      </c>
      <c r="F32" s="72">
        <v>1115.0</v>
      </c>
      <c r="G32" s="139" t="s">
        <v>214</v>
      </c>
      <c r="H32" s="139">
        <v>1115.0</v>
      </c>
      <c r="I32" s="126" t="str">
        <f>IFERROR(VLOOKUP(C26:C168,'R22 RELATÓRIO ACC'!B:F,5,FALSE),"NOT PUBLISHED")</f>
        <v>V40</v>
      </c>
      <c r="J32" s="126" t="str">
        <f>IFERROR(VLOOKUP(C26:C168,'R22 RELATÓRIO ACC'!B:P,15,FALSE),"NOT PUBLISHED")</f>
        <v>06/05/2026</v>
      </c>
      <c r="K32" s="746" t="str">
        <f>IFERROR(VLOOKUP(B29:B171,'RELATÓRIO ACC'!B:F,5,FALSE),"NOT PUBLISHED")</f>
        <v>V3</v>
      </c>
      <c r="L32" s="748" t="str">
        <f>IFERROR(VLOOKUP(B29:B171,'RELATÓRIO ACC'!B:P,15,FALSE),"NOT PUBLISHED")</f>
        <v>13/07/2026</v>
      </c>
      <c r="M32" s="141" t="s">
        <v>462</v>
      </c>
      <c r="N32" s="141" t="s">
        <v>462</v>
      </c>
      <c r="O32" s="1042" t="s">
        <v>472</v>
      </c>
      <c r="P32" s="74" t="s">
        <v>462</v>
      </c>
      <c r="Q32" s="74" t="s">
        <v>462</v>
      </c>
      <c r="R32" s="764">
        <v>0.0</v>
      </c>
      <c r="S32" s="126"/>
      <c r="T32" s="111"/>
      <c r="U32" s="111"/>
      <c r="V32" s="111"/>
    </row>
    <row r="33" ht="15.0" customHeight="1">
      <c r="A33" s="60">
        <v>61.0</v>
      </c>
      <c r="B33" s="769" t="s">
        <v>222</v>
      </c>
      <c r="C33" s="769" t="s">
        <v>223</v>
      </c>
      <c r="D33" s="770" t="s">
        <v>85</v>
      </c>
      <c r="E33" s="771" t="s">
        <v>169</v>
      </c>
      <c r="F33" s="771">
        <v>1112.0</v>
      </c>
      <c r="G33" s="771" t="s">
        <v>170</v>
      </c>
      <c r="H33" s="139">
        <v>1129.0</v>
      </c>
      <c r="I33" s="126" t="str">
        <f>IFERROR(VLOOKUP(C27:C169,'R22 RELATÓRIO ACC'!B:F,5,FALSE),"NOT PUBLISHED")</f>
        <v>V52</v>
      </c>
      <c r="J33" s="126" t="str">
        <f>IFERROR(VLOOKUP(C27:C169,'R22 RELATÓRIO ACC'!B:P,15,FALSE),"NOT PUBLISHED")</f>
        <v>30/04/2026</v>
      </c>
      <c r="K33" s="852" t="str">
        <f>IFERROR(VLOOKUP(B30:B172,'RELATÓRIO ACC'!B:F,5,FALSE),"NOT PUBLISHED")</f>
        <v>V4</v>
      </c>
      <c r="L33" s="1197" t="str">
        <f>IFERROR(VLOOKUP(B30:B172,'RELATÓRIO ACC'!B:P,15,FALSE),"NOT PUBLISHED")</f>
        <v>06/07/2026</v>
      </c>
      <c r="M33" s="141" t="s">
        <v>462</v>
      </c>
      <c r="N33" s="141" t="s">
        <v>462</v>
      </c>
      <c r="O33" s="1042" t="s">
        <v>472</v>
      </c>
      <c r="P33" s="74" t="s">
        <v>462</v>
      </c>
      <c r="Q33" s="74" t="s">
        <v>462</v>
      </c>
      <c r="R33" s="764">
        <v>0.0</v>
      </c>
      <c r="S33" s="763"/>
      <c r="T33" s="111"/>
      <c r="U33" s="111"/>
      <c r="V33" s="111"/>
    </row>
    <row r="34" ht="15.0" customHeight="1" outlineLevel="1">
      <c r="A34" s="60">
        <v>63.0</v>
      </c>
      <c r="B34" s="849" t="s">
        <v>225</v>
      </c>
      <c r="C34" s="849" t="s">
        <v>226</v>
      </c>
      <c r="D34" s="71" t="s">
        <v>85</v>
      </c>
      <c r="E34" s="146" t="s">
        <v>169</v>
      </c>
      <c r="F34" s="72" t="s">
        <v>169</v>
      </c>
      <c r="G34" s="139" t="s">
        <v>169</v>
      </c>
      <c r="H34" s="139"/>
      <c r="I34" s="126" t="str">
        <f>IFERROR(VLOOKUP(C28:C170,'R22 RELATÓRIO ACC'!B:F,5,FALSE),"NOT PUBLISHED")</f>
        <v>V13</v>
      </c>
      <c r="J34" s="126" t="str">
        <f>IFERROR(VLOOKUP(C28:C170,'R22 RELATÓRIO ACC'!B:P,15,FALSE),"NOT PUBLISHED")</f>
        <v>12/05/2026</v>
      </c>
      <c r="K34" s="746" t="str">
        <f>IFERROR(VLOOKUP(B31:B173,'RELATÓRIO ACC'!B:F,5,FALSE),"NOT PUBLISHED")</f>
        <v>V5</v>
      </c>
      <c r="L34" s="748" t="str">
        <f>IFERROR(VLOOKUP(B31:B173,'RELATÓRIO ACC'!B:P,15,FALSE),"NOT PUBLISHED")</f>
        <v>13/07/2026</v>
      </c>
      <c r="M34" s="141" t="s">
        <v>462</v>
      </c>
      <c r="N34" s="141" t="s">
        <v>462</v>
      </c>
      <c r="O34" s="1042" t="s">
        <v>472</v>
      </c>
      <c r="P34" s="74" t="s">
        <v>462</v>
      </c>
      <c r="Q34" s="74" t="s">
        <v>462</v>
      </c>
      <c r="R34" s="764">
        <v>0.0</v>
      </c>
      <c r="S34" s="126"/>
      <c r="T34" s="111"/>
      <c r="U34" s="111"/>
      <c r="V34" s="111"/>
    </row>
    <row r="35" ht="15.0" customHeight="1">
      <c r="A35" s="60">
        <v>66.0</v>
      </c>
      <c r="B35" s="769" t="s">
        <v>230</v>
      </c>
      <c r="C35" s="769" t="s">
        <v>231</v>
      </c>
      <c r="D35" s="770" t="s">
        <v>85</v>
      </c>
      <c r="E35" s="771" t="s">
        <v>232</v>
      </c>
      <c r="F35" s="771">
        <v>1116.0</v>
      </c>
      <c r="G35" s="771" t="s">
        <v>232</v>
      </c>
      <c r="H35" s="139">
        <v>1116.0</v>
      </c>
      <c r="I35" s="126" t="str">
        <f>IFERROR(VLOOKUP(C29:C171,'R22 RELATÓRIO ACC'!B:F,5,FALSE),"NOT PUBLISHED")</f>
        <v>V15</v>
      </c>
      <c r="J35" s="126" t="str">
        <f>IFERROR(VLOOKUP(C29:C171,'R22 RELATÓRIO ACC'!B:P,15,FALSE),"NOT PUBLISHED")</f>
        <v>15/04/2026</v>
      </c>
      <c r="K35" s="852" t="str">
        <f>IFERROR(VLOOKUP(B32:B174,'RELATÓRIO ACC'!B:F,5,FALSE),"NOT PUBLISHED")</f>
        <v>V2</v>
      </c>
      <c r="L35" s="1197" t="str">
        <f>IFERROR(VLOOKUP(B32:B174,'RELATÓRIO ACC'!B:P,15,FALSE),"NOT PUBLISHED")</f>
        <v>02/06/2026</v>
      </c>
      <c r="M35" s="141" t="s">
        <v>462</v>
      </c>
      <c r="N35" s="141" t="s">
        <v>462</v>
      </c>
      <c r="O35" s="1042" t="s">
        <v>472</v>
      </c>
      <c r="P35" s="74" t="s">
        <v>462</v>
      </c>
      <c r="Q35" s="74" t="s">
        <v>462</v>
      </c>
      <c r="R35" s="764">
        <v>0.0</v>
      </c>
      <c r="S35" s="68"/>
      <c r="T35" s="111"/>
      <c r="U35" s="111"/>
      <c r="V35" s="111"/>
    </row>
    <row r="36" ht="16.5" customHeight="1" outlineLevel="1">
      <c r="A36" s="60">
        <v>69.0</v>
      </c>
      <c r="B36" s="849" t="s">
        <v>236</v>
      </c>
      <c r="C36" s="849" t="s">
        <v>237</v>
      </c>
      <c r="D36" s="71" t="s">
        <v>85</v>
      </c>
      <c r="E36" s="146" t="s">
        <v>169</v>
      </c>
      <c r="F36" s="72">
        <v>1112.0</v>
      </c>
      <c r="G36" s="139" t="s">
        <v>169</v>
      </c>
      <c r="H36" s="139">
        <v>1112.0</v>
      </c>
      <c r="I36" s="126" t="str">
        <f>IFERROR(VLOOKUP(C30:C172,'R22 RELATÓRIO ACC'!B:F,5,FALSE),"NOT PUBLISHED")</f>
        <v>V24</v>
      </c>
      <c r="J36" s="126" t="str">
        <f>IFERROR(VLOOKUP(C30:C172,'R22 RELATÓRIO ACC'!B:P,15,FALSE),"NOT PUBLISHED")</f>
        <v>15/05/2026</v>
      </c>
      <c r="K36" s="746" t="str">
        <f>IFERROR(VLOOKUP(B33:B175,'RELATÓRIO ACC'!B:F,5,FALSE),"NOT PUBLISHED")</f>
        <v>V2</v>
      </c>
      <c r="L36" s="748" t="str">
        <f>IFERROR(VLOOKUP(B33:B175,'RELATÓRIO ACC'!B:P,15,FALSE),"NOT PUBLISHED")</f>
        <v>06/07/2026</v>
      </c>
      <c r="M36" s="141" t="s">
        <v>462</v>
      </c>
      <c r="N36" s="141" t="s">
        <v>462</v>
      </c>
      <c r="O36" s="1042" t="s">
        <v>472</v>
      </c>
      <c r="P36" s="74" t="s">
        <v>462</v>
      </c>
      <c r="Q36" s="74" t="s">
        <v>462</v>
      </c>
      <c r="R36" s="764">
        <v>0.0</v>
      </c>
      <c r="S36" s="126"/>
      <c r="T36" s="111"/>
      <c r="U36" s="111"/>
      <c r="V36" s="111"/>
    </row>
    <row r="37" ht="15.0" customHeight="1">
      <c r="A37" s="60">
        <v>72.0</v>
      </c>
      <c r="B37" s="1203" t="s">
        <v>241</v>
      </c>
      <c r="C37" s="1203" t="s">
        <v>242</v>
      </c>
      <c r="D37" s="770" t="s">
        <v>85</v>
      </c>
      <c r="E37" s="771" t="s">
        <v>169</v>
      </c>
      <c r="F37" s="771">
        <v>1112.0</v>
      </c>
      <c r="G37" s="771" t="s">
        <v>169</v>
      </c>
      <c r="H37" s="139">
        <v>1112.0</v>
      </c>
      <c r="I37" s="126" t="str">
        <f>IFERROR(VLOOKUP(C31:C173,'R22 RELATÓRIO ACC'!B:F,5,FALSE),"NOT PUBLISHED")</f>
        <v>V17</v>
      </c>
      <c r="J37" s="126" t="str">
        <f>IFERROR(VLOOKUP(C31:C173,'R22 RELATÓRIO ACC'!B:P,15,FALSE),"NOT PUBLISHED")</f>
        <v>14/05/2026</v>
      </c>
      <c r="K37" s="852" t="str">
        <f>IFERROR(VLOOKUP(B34:B176,'RELATÓRIO ACC'!B:F,5,FALSE),"NOT PUBLISHED")</f>
        <v>V4</v>
      </c>
      <c r="L37" s="1197" t="str">
        <f>IFERROR(VLOOKUP(B34:B176,'RELATÓRIO ACC'!B:P,15,FALSE),"NOT PUBLISHED")</f>
        <v>25/06/2026</v>
      </c>
      <c r="M37" s="141" t="s">
        <v>462</v>
      </c>
      <c r="N37" s="141" t="s">
        <v>462</v>
      </c>
      <c r="O37" s="1042" t="s">
        <v>472</v>
      </c>
      <c r="P37" s="74" t="s">
        <v>462</v>
      </c>
      <c r="Q37" s="74" t="s">
        <v>462</v>
      </c>
      <c r="R37" s="764">
        <v>0.0</v>
      </c>
      <c r="S37" s="68"/>
      <c r="T37" s="111"/>
      <c r="U37" s="111"/>
      <c r="V37" s="111"/>
    </row>
    <row r="38" ht="15.0" customHeight="1" outlineLevel="1">
      <c r="A38" s="60">
        <v>76.0</v>
      </c>
      <c r="B38" s="747" t="s">
        <v>250</v>
      </c>
      <c r="C38" s="747" t="s">
        <v>251</v>
      </c>
      <c r="D38" s="71" t="s">
        <v>85</v>
      </c>
      <c r="E38" s="146" t="s">
        <v>169</v>
      </c>
      <c r="F38" s="72">
        <v>1112.0</v>
      </c>
      <c r="G38" s="139" t="s">
        <v>170</v>
      </c>
      <c r="H38" s="139">
        <v>1129.0</v>
      </c>
      <c r="I38" s="126" t="str">
        <f>IFERROR(VLOOKUP(C32:C174,'R22 RELATÓRIO ACC'!B:F,5,FALSE),"NOT PUBLISHED")</f>
        <v>V30</v>
      </c>
      <c r="J38" s="126" t="str">
        <f>IFERROR(VLOOKUP(C32:C174,'R22 RELATÓRIO ACC'!B:P,15,FALSE),"NOT PUBLISHED")</f>
        <v>24/03/2026</v>
      </c>
      <c r="K38" s="746" t="str">
        <f>IFERROR(VLOOKUP(B35:B177,'RELATÓRIO ACC'!B:F,5,FALSE),"NOT PUBLISHED")</f>
        <v>V2</v>
      </c>
      <c r="L38" s="748" t="str">
        <f>IFERROR(VLOOKUP(B35:B177,'RELATÓRIO ACC'!B:P,15,FALSE),"NOT PUBLISHED")</f>
        <v>13/07/2026</v>
      </c>
      <c r="M38" s="141" t="s">
        <v>462</v>
      </c>
      <c r="N38" s="141" t="s">
        <v>462</v>
      </c>
      <c r="O38" s="740" t="s">
        <v>472</v>
      </c>
      <c r="P38" s="74" t="s">
        <v>462</v>
      </c>
      <c r="Q38" s="74" t="s">
        <v>462</v>
      </c>
      <c r="R38" s="764">
        <v>0.0</v>
      </c>
      <c r="S38" s="126"/>
      <c r="T38" s="111"/>
      <c r="U38" s="111"/>
      <c r="V38" s="111"/>
    </row>
    <row r="39" ht="15.0" customHeight="1">
      <c r="A39" s="60">
        <v>79.0</v>
      </c>
      <c r="B39" s="769" t="s">
        <v>257</v>
      </c>
      <c r="C39" s="769" t="s">
        <v>258</v>
      </c>
      <c r="D39" s="770" t="s">
        <v>85</v>
      </c>
      <c r="E39" s="771" t="s">
        <v>256</v>
      </c>
      <c r="F39" s="771">
        <v>1118.0</v>
      </c>
      <c r="G39" s="771" t="s">
        <v>256</v>
      </c>
      <c r="H39" s="139">
        <v>1118.0</v>
      </c>
      <c r="I39" s="126" t="str">
        <f>IFERROR(VLOOKUP(C33:C175,'R22 RELATÓRIO ACC'!B:F,5,FALSE),"NOT PUBLISHED")</f>
        <v>V39</v>
      </c>
      <c r="J39" s="126" t="str">
        <f>IFERROR(VLOOKUP(C33:C175,'R22 RELATÓRIO ACC'!B:P,15,FALSE),"NOT PUBLISHED")</f>
        <v>30/04/2026</v>
      </c>
      <c r="K39" s="746" t="str">
        <f>IFERROR(VLOOKUP(B36:B178,'RELATÓRIO ACC'!B:F,5,FALSE),"NOT PUBLISHED")</f>
        <v>V3</v>
      </c>
      <c r="L39" s="748" t="str">
        <f>IFERROR(VLOOKUP(B36:B178,'RELATÓRIO ACC'!B:P,15,FALSE),"NOT PUBLISHED")</f>
        <v>01/07/2026</v>
      </c>
      <c r="M39" s="141" t="s">
        <v>462</v>
      </c>
      <c r="N39" s="141" t="s">
        <v>462</v>
      </c>
      <c r="O39" s="740" t="s">
        <v>472</v>
      </c>
      <c r="P39" s="74" t="s">
        <v>462</v>
      </c>
      <c r="Q39" s="74" t="s">
        <v>462</v>
      </c>
      <c r="R39" s="764">
        <v>0.0</v>
      </c>
      <c r="S39" s="68"/>
      <c r="T39" s="111"/>
      <c r="U39" s="111"/>
      <c r="V39" s="111"/>
    </row>
    <row r="40" ht="15.0" customHeight="1" outlineLevel="1">
      <c r="A40" s="60">
        <v>82.0</v>
      </c>
      <c r="B40" s="747" t="s">
        <v>262</v>
      </c>
      <c r="C40" s="747" t="s">
        <v>263</v>
      </c>
      <c r="D40" s="71" t="s">
        <v>85</v>
      </c>
      <c r="E40" s="146" t="s">
        <v>256</v>
      </c>
      <c r="F40" s="72">
        <v>1118.0</v>
      </c>
      <c r="G40" s="139" t="s">
        <v>256</v>
      </c>
      <c r="H40" s="139">
        <v>1118.0</v>
      </c>
      <c r="I40" s="126" t="str">
        <f>IFERROR(VLOOKUP(C34:C176,'R22 RELATÓRIO ACC'!B:F,5,FALSE),"NOT PUBLISHED")</f>
        <v>V59</v>
      </c>
      <c r="J40" s="126" t="str">
        <f>IFERROR(VLOOKUP(C34:C176,'R22 RELATÓRIO ACC'!B:P,15,FALSE),"NOT PUBLISHED")</f>
        <v>17/04/2026</v>
      </c>
      <c r="K40" s="746" t="str">
        <f>IFERROR(VLOOKUP(B37:B179,'RELATÓRIO ACC'!B:F,5,FALSE),"NOT PUBLISHED")</f>
        <v>V5</v>
      </c>
      <c r="L40" s="748" t="str">
        <f>IFERROR(VLOOKUP(B37:B179,'RELATÓRIO ACC'!B:P,15,FALSE),"NOT PUBLISHED")</f>
        <v>06/07/2026</v>
      </c>
      <c r="M40" s="141" t="s">
        <v>462</v>
      </c>
      <c r="N40" s="141" t="s">
        <v>462</v>
      </c>
      <c r="O40" s="1194" t="s">
        <v>472</v>
      </c>
      <c r="P40" s="74" t="s">
        <v>462</v>
      </c>
      <c r="Q40" s="74" t="s">
        <v>462</v>
      </c>
      <c r="R40" s="764">
        <v>0.0</v>
      </c>
      <c r="S40" s="126"/>
      <c r="T40" s="111"/>
      <c r="U40" s="111"/>
      <c r="V40" s="111"/>
    </row>
    <row r="41" ht="15.0" customHeight="1" outlineLevel="1">
      <c r="A41" s="60">
        <v>93.0</v>
      </c>
      <c r="B41" s="769" t="s">
        <v>285</v>
      </c>
      <c r="C41" s="769" t="s">
        <v>286</v>
      </c>
      <c r="D41" s="770" t="s">
        <v>85</v>
      </c>
      <c r="E41" s="771" t="s">
        <v>287</v>
      </c>
      <c r="F41" s="771"/>
      <c r="G41" s="157" t="s">
        <v>288</v>
      </c>
      <c r="H41" s="150"/>
      <c r="I41" s="126" t="str">
        <f>IFERROR(VLOOKUP(C35:C177,'R22 RELATÓRIO ACC'!B:F,5,FALSE),"NOT PUBLISHED")</f>
        <v>V10</v>
      </c>
      <c r="J41" s="126" t="str">
        <f>IFERROR(VLOOKUP(C35:C177,'R22 RELATÓRIO ACC'!B:P,15,FALSE),"NOT PUBLISHED")</f>
        <v>22/04/2026</v>
      </c>
      <c r="K41" s="852" t="str">
        <f>IFERROR(VLOOKUP(B38:B180,'RELATÓRIO ACC'!B:F,5,FALSE),"NOT PUBLISHED")</f>
        <v>V1</v>
      </c>
      <c r="L41" s="1197" t="str">
        <f>IFERROR(VLOOKUP(B38:B180,'RELATÓRIO ACC'!B:P,15,FALSE),"NOT PUBLISHED")</f>
        <v>15/05/2026</v>
      </c>
      <c r="M41" s="141" t="s">
        <v>462</v>
      </c>
      <c r="N41" s="141" t="s">
        <v>462</v>
      </c>
      <c r="O41" s="740" t="s">
        <v>472</v>
      </c>
      <c r="P41" s="74" t="s">
        <v>462</v>
      </c>
      <c r="Q41" s="74" t="s">
        <v>462</v>
      </c>
      <c r="R41" s="1207">
        <v>0.0</v>
      </c>
      <c r="S41" s="763"/>
      <c r="T41" s="111"/>
      <c r="U41" s="111"/>
      <c r="V41" s="111"/>
    </row>
    <row r="42" ht="15.0" customHeight="1" outlineLevel="1">
      <c r="A42" s="60">
        <v>95.0</v>
      </c>
      <c r="B42" s="747" t="s">
        <v>291</v>
      </c>
      <c r="C42" s="747" t="s">
        <v>292</v>
      </c>
      <c r="D42" s="71" t="s">
        <v>85</v>
      </c>
      <c r="E42" s="138" t="s">
        <v>293</v>
      </c>
      <c r="F42" s="146"/>
      <c r="G42" s="138" t="s">
        <v>288</v>
      </c>
      <c r="H42" s="150"/>
      <c r="I42" s="126" t="str">
        <f>IFERROR(VLOOKUP(C36:C178,'R22 RELATÓRIO ACC'!B:F,5,FALSE),"NOT PUBLISHED")</f>
        <v>V11</v>
      </c>
      <c r="J42" s="126" t="str">
        <f>IFERROR(VLOOKUP(C36:C178,'R22 RELATÓRIO ACC'!B:P,15,FALSE),"NOT PUBLISHED")</f>
        <v>28/04/2026</v>
      </c>
      <c r="K42" s="746" t="str">
        <f>IFERROR(VLOOKUP(B39:B181,'RELATÓRIO ACC'!B:F,5,FALSE),"NOT PUBLISHED")</f>
        <v>V1</v>
      </c>
      <c r="L42" s="748" t="str">
        <f>IFERROR(VLOOKUP(B39:B181,'RELATÓRIO ACC'!B:P,15,FALSE),"NOT PUBLISHED")</f>
        <v>15/05/2026</v>
      </c>
      <c r="M42" s="141" t="s">
        <v>462</v>
      </c>
      <c r="N42" s="141" t="s">
        <v>462</v>
      </c>
      <c r="O42" s="740" t="s">
        <v>472</v>
      </c>
      <c r="P42" s="74" t="s">
        <v>462</v>
      </c>
      <c r="Q42" s="74" t="s">
        <v>462</v>
      </c>
      <c r="R42" s="764">
        <v>0.0</v>
      </c>
      <c r="S42" s="153"/>
      <c r="T42" s="111"/>
      <c r="U42" s="111"/>
      <c r="V42" s="111"/>
    </row>
    <row r="43" ht="15.0" customHeight="1">
      <c r="A43" s="60">
        <v>97.0</v>
      </c>
      <c r="B43" s="769" t="s">
        <v>296</v>
      </c>
      <c r="C43" s="769" t="s">
        <v>297</v>
      </c>
      <c r="D43" s="770" t="s">
        <v>85</v>
      </c>
      <c r="E43" s="157" t="s">
        <v>298</v>
      </c>
      <c r="F43" s="771">
        <v>1121.0</v>
      </c>
      <c r="G43" s="157" t="s">
        <v>298</v>
      </c>
      <c r="H43" s="150">
        <v>0.0</v>
      </c>
      <c r="I43" s="126" t="str">
        <f>IFERROR(VLOOKUP(C37:C179,'R22 RELATÓRIO ACC'!B:F,5,FALSE),"NOT PUBLISHED")</f>
        <v>V1</v>
      </c>
      <c r="J43" s="126" t="str">
        <f>IFERROR(VLOOKUP(C37:C179,'R22 RELATÓRIO ACC'!B:P,15,FALSE),"NOT PUBLISHED")</f>
        <v>05/05/2026</v>
      </c>
      <c r="K43" s="852" t="str">
        <f>IFERROR(VLOOKUP(B40:B182,'RELATÓRIO ACC'!B:F,5,FALSE),"NOT PUBLISHED")</f>
        <v>V3</v>
      </c>
      <c r="L43" s="1197" t="str">
        <f>IFERROR(VLOOKUP(B40:B182,'RELATÓRIO ACC'!B:P,15,FALSE),"NOT PUBLISHED")</f>
        <v>20/06/2026</v>
      </c>
      <c r="M43" s="141" t="s">
        <v>462</v>
      </c>
      <c r="N43" s="141" t="s">
        <v>462</v>
      </c>
      <c r="O43" s="740" t="s">
        <v>472</v>
      </c>
      <c r="P43" s="74" t="s">
        <v>466</v>
      </c>
      <c r="Q43" s="74" t="s">
        <v>462</v>
      </c>
      <c r="R43" s="1198" t="s">
        <v>466</v>
      </c>
      <c r="S43" s="68"/>
      <c r="T43" s="68"/>
      <c r="U43" s="68"/>
      <c r="V43" s="68"/>
    </row>
    <row r="44" ht="15.0" customHeight="1" outlineLevel="1">
      <c r="A44" s="60">
        <v>100.0</v>
      </c>
      <c r="B44" s="747" t="s">
        <v>304</v>
      </c>
      <c r="C44" s="747" t="s">
        <v>305</v>
      </c>
      <c r="D44" s="71" t="s">
        <v>85</v>
      </c>
      <c r="E44" s="146" t="s">
        <v>303</v>
      </c>
      <c r="F44" s="72">
        <v>1122.0</v>
      </c>
      <c r="G44" s="147" t="s">
        <v>288</v>
      </c>
      <c r="H44" s="150">
        <v>0.0</v>
      </c>
      <c r="I44" s="126" t="str">
        <f>IFERROR(VLOOKUP(C38:C180,'R22 RELATÓRIO ACC'!B:F,5,FALSE),"NOT PUBLISHED")</f>
        <v>NOT PUBLISHED</v>
      </c>
      <c r="J44" s="126" t="str">
        <f>IFERROR(VLOOKUP(C38:C180,'R22 RELATÓRIO ACC'!B:P,15,FALSE),"NOT PUBLISHED")</f>
        <v>NOT PUBLISHED</v>
      </c>
      <c r="K44" s="746" t="str">
        <f>IFERROR(VLOOKUP(B41:B183,'RELATÓRIO ACC'!B:F,5,FALSE),"NOT PUBLISHED")</f>
        <v>NOT PUBLISHED</v>
      </c>
      <c r="L44" s="748" t="str">
        <f>IFERROR(VLOOKUP(B41:B183,'RELATÓRIO ACC'!B:P,15,FALSE),"NOT PUBLISHED")</f>
        <v>NOT PUBLISHED</v>
      </c>
      <c r="M44" s="141" t="s">
        <v>462</v>
      </c>
      <c r="N44" s="141" t="s">
        <v>462</v>
      </c>
      <c r="O44" s="740" t="s">
        <v>466</v>
      </c>
      <c r="P44" s="74" t="s">
        <v>466</v>
      </c>
      <c r="Q44" s="74" t="s">
        <v>462</v>
      </c>
      <c r="R44" s="1037" t="s">
        <v>466</v>
      </c>
      <c r="S44" s="126"/>
      <c r="T44" s="68"/>
      <c r="U44" s="68"/>
      <c r="V44" s="68"/>
    </row>
    <row r="45" ht="15.0" customHeight="1">
      <c r="A45" s="60">
        <v>102.0</v>
      </c>
      <c r="B45" s="769" t="s">
        <v>309</v>
      </c>
      <c r="C45" s="769" t="s">
        <v>310</v>
      </c>
      <c r="D45" s="770" t="s">
        <v>85</v>
      </c>
      <c r="E45" s="771" t="s">
        <v>308</v>
      </c>
      <c r="F45" s="771">
        <v>1123.0</v>
      </c>
      <c r="G45" s="157" t="s">
        <v>288</v>
      </c>
      <c r="H45" s="150">
        <v>0.0</v>
      </c>
      <c r="I45" s="126" t="str">
        <f>IFERROR(VLOOKUP(C39:C181,'R22 RELATÓRIO ACC'!B:F,5,FALSE),"NOT PUBLISHED")</f>
        <v>NOT PUBLISHED</v>
      </c>
      <c r="J45" s="126" t="str">
        <f>IFERROR(VLOOKUP(C39:C181,'R22 RELATÓRIO ACC'!B:P,15,FALSE),"NOT PUBLISHED")</f>
        <v>NOT PUBLISHED</v>
      </c>
      <c r="K45" s="852" t="str">
        <f>IFERROR(VLOOKUP(B42:B184,'RELATÓRIO ACC'!B:F,5,FALSE),"NOT PUBLISHED")</f>
        <v>NOT PUBLISHED</v>
      </c>
      <c r="L45" s="1197" t="str">
        <f>IFERROR(VLOOKUP(B42:B184,'RELATÓRIO ACC'!B:P,15,FALSE),"NOT PUBLISHED")</f>
        <v>NOT PUBLISHED</v>
      </c>
      <c r="M45" s="141" t="s">
        <v>462</v>
      </c>
      <c r="N45" s="141" t="s">
        <v>462</v>
      </c>
      <c r="O45" s="740" t="s">
        <v>466</v>
      </c>
      <c r="P45" s="74" t="s">
        <v>466</v>
      </c>
      <c r="Q45" s="74" t="s">
        <v>462</v>
      </c>
      <c r="R45" s="1198" t="s">
        <v>466</v>
      </c>
      <c r="S45" s="68"/>
      <c r="T45" s="68"/>
      <c r="U45" s="68"/>
      <c r="V45" s="68"/>
    </row>
    <row r="46" ht="15.0" customHeight="1" outlineLevel="1">
      <c r="A46" s="60">
        <v>105.0</v>
      </c>
      <c r="B46" s="747" t="s">
        <v>316</v>
      </c>
      <c r="C46" s="747" t="s">
        <v>316</v>
      </c>
      <c r="D46" s="71" t="s">
        <v>3</v>
      </c>
      <c r="E46" s="146" t="s">
        <v>317</v>
      </c>
      <c r="F46" s="72">
        <v>1125.0</v>
      </c>
      <c r="G46" s="139" t="s">
        <v>317</v>
      </c>
      <c r="H46" s="139">
        <v>1125.0</v>
      </c>
      <c r="I46" s="126" t="str">
        <f>IFERROR(VLOOKUP(C40:C182,'R22 RELATÓRIO ACC'!B:F,5,FALSE),"NOT PUBLISHED")</f>
        <v>V8</v>
      </c>
      <c r="J46" s="126" t="str">
        <f>IFERROR(VLOOKUP(C40:C182,'R22 RELATÓRIO ACC'!B:P,15,FALSE),"NOT PUBLISHED")</f>
        <v>07/11/2025</v>
      </c>
      <c r="K46" s="746" t="str">
        <f>IFERROR(VLOOKUP(B43:B185,'RELATÓRIO ACC'!B:F,5,FALSE),"NOT PUBLISHED")</f>
        <v>V1</v>
      </c>
      <c r="L46" s="748" t="str">
        <f>IFERROR(VLOOKUP(B43:B185,'RELATÓRIO ACC'!B:P,15,FALSE),"NOT PUBLISHED")</f>
        <v>21/05/2026</v>
      </c>
      <c r="M46" s="141" t="s">
        <v>462</v>
      </c>
      <c r="N46" s="141" t="s">
        <v>462</v>
      </c>
      <c r="O46" s="1194" t="s">
        <v>472</v>
      </c>
      <c r="P46" s="74" t="s">
        <v>462</v>
      </c>
      <c r="Q46" s="74" t="s">
        <v>462</v>
      </c>
      <c r="R46" s="1207">
        <v>0.0</v>
      </c>
      <c r="S46" s="126"/>
      <c r="T46" s="111"/>
      <c r="U46" s="111"/>
      <c r="V46" s="111"/>
    </row>
    <row r="47" ht="15.0" customHeight="1">
      <c r="A47" s="60">
        <v>106.0</v>
      </c>
      <c r="B47" s="769" t="s">
        <v>318</v>
      </c>
      <c r="C47" s="769" t="s">
        <v>318</v>
      </c>
      <c r="D47" s="770" t="s">
        <v>319</v>
      </c>
      <c r="E47" s="771" t="s">
        <v>317</v>
      </c>
      <c r="F47" s="771">
        <v>1125.0</v>
      </c>
      <c r="G47" s="771" t="s">
        <v>317</v>
      </c>
      <c r="H47" s="139">
        <v>1125.0</v>
      </c>
      <c r="I47" s="126" t="str">
        <f>IFERROR(VLOOKUP(C41:C183,'R22 RELATÓRIO ACC'!B:F,5,FALSE),"NOT PUBLISHED")</f>
        <v>V7</v>
      </c>
      <c r="J47" s="126" t="str">
        <f>IFERROR(VLOOKUP(C41:C183,'R22 RELATÓRIO ACC'!B:P,15,FALSE),"NOT PUBLISHED")</f>
        <v>07/11/2025</v>
      </c>
      <c r="K47" s="852" t="str">
        <f>IFERROR(VLOOKUP(B44:B186,'RELATÓRIO ACC'!B:F,5,FALSE),"NOT PUBLISHED")</f>
        <v>V1</v>
      </c>
      <c r="L47" s="1197" t="str">
        <f>IFERROR(VLOOKUP(B44:B186,'RELATÓRIO ACC'!B:P,15,FALSE),"NOT PUBLISHED")</f>
        <v>21/05/2026</v>
      </c>
      <c r="M47" s="141" t="s">
        <v>462</v>
      </c>
      <c r="N47" s="141" t="s">
        <v>462</v>
      </c>
      <c r="O47" s="1194" t="s">
        <v>472</v>
      </c>
      <c r="P47" s="74" t="s">
        <v>462</v>
      </c>
      <c r="Q47" s="74" t="s">
        <v>462</v>
      </c>
      <c r="R47" s="764">
        <v>0.0</v>
      </c>
      <c r="S47" s="68"/>
      <c r="T47" s="111"/>
      <c r="U47" s="111"/>
      <c r="V47" s="111"/>
    </row>
    <row r="48" ht="15.0" customHeight="1" outlineLevel="1">
      <c r="A48" s="60">
        <v>107.0</v>
      </c>
      <c r="B48" s="747" t="s">
        <v>320</v>
      </c>
      <c r="C48" s="747" t="s">
        <v>320</v>
      </c>
      <c r="D48" s="71" t="s">
        <v>321</v>
      </c>
      <c r="E48" s="146" t="s">
        <v>317</v>
      </c>
      <c r="F48" s="72">
        <v>1125.0</v>
      </c>
      <c r="G48" s="139" t="s">
        <v>317</v>
      </c>
      <c r="H48" s="139">
        <v>1125.0</v>
      </c>
      <c r="I48" s="126" t="str">
        <f>IFERROR(VLOOKUP(C42:C184,'R22 RELATÓRIO ACC'!B:F,5,FALSE),"NOT PUBLISHED")</f>
        <v>V6</v>
      </c>
      <c r="J48" s="126" t="str">
        <f>IFERROR(VLOOKUP(C42:C184,'R22 RELATÓRIO ACC'!B:P,15,FALSE),"NOT PUBLISHED")</f>
        <v>07/11/2025</v>
      </c>
      <c r="K48" s="746" t="str">
        <f>IFERROR(VLOOKUP(B45:B187,'RELATÓRIO ACC'!B:F,5,FALSE),"NOT PUBLISHED")</f>
        <v>V1</v>
      </c>
      <c r="L48" s="748" t="str">
        <f>IFERROR(VLOOKUP(B45:B187,'RELATÓRIO ACC'!B:P,15,FALSE),"NOT PUBLISHED")</f>
        <v>21/05/2026</v>
      </c>
      <c r="M48" s="141" t="s">
        <v>462</v>
      </c>
      <c r="N48" s="141" t="s">
        <v>462</v>
      </c>
      <c r="O48" s="1194" t="s">
        <v>472</v>
      </c>
      <c r="P48" s="1221" t="s">
        <v>462</v>
      </c>
      <c r="Q48" s="74" t="s">
        <v>462</v>
      </c>
      <c r="R48" s="1057">
        <v>0.0</v>
      </c>
      <c r="S48" s="153"/>
      <c r="T48" s="111"/>
      <c r="U48" s="111"/>
      <c r="V48" s="111"/>
    </row>
    <row r="49" ht="15.0" customHeight="1">
      <c r="A49" s="60">
        <v>108.0</v>
      </c>
      <c r="B49" s="769" t="s">
        <v>322</v>
      </c>
      <c r="C49" s="769" t="s">
        <v>322</v>
      </c>
      <c r="D49" s="770" t="s">
        <v>323</v>
      </c>
      <c r="E49" s="771" t="s">
        <v>317</v>
      </c>
      <c r="F49" s="771">
        <v>1125.0</v>
      </c>
      <c r="G49" s="771" t="s">
        <v>317</v>
      </c>
      <c r="H49" s="139">
        <v>1125.0</v>
      </c>
      <c r="I49" s="126" t="str">
        <f>IFERROR(VLOOKUP(C43:C185,'R22 RELATÓRIO ACC'!B:F,5,FALSE),"NOT PUBLISHED")</f>
        <v>V6</v>
      </c>
      <c r="J49" s="126" t="str">
        <f>IFERROR(VLOOKUP(C43:C185,'R22 RELATÓRIO ACC'!B:P,15,FALSE),"NOT PUBLISHED")</f>
        <v>07/11/2025</v>
      </c>
      <c r="K49" s="852" t="str">
        <f>IFERROR(VLOOKUP(B46:B188,'RELATÓRIO ACC'!B:F,5,FALSE),"NOT PUBLISHED")</f>
        <v>V1</v>
      </c>
      <c r="L49" s="1197" t="str">
        <f>IFERROR(VLOOKUP(B46:B188,'RELATÓRIO ACC'!B:P,15,FALSE),"NOT PUBLISHED")</f>
        <v>21/05/2026</v>
      </c>
      <c r="M49" s="141" t="s">
        <v>462</v>
      </c>
      <c r="N49" s="141" t="s">
        <v>462</v>
      </c>
      <c r="O49" s="740" t="s">
        <v>472</v>
      </c>
      <c r="P49" s="74" t="s">
        <v>462</v>
      </c>
      <c r="Q49" s="74" t="s">
        <v>462</v>
      </c>
      <c r="R49" s="1207">
        <v>0.0</v>
      </c>
      <c r="S49" s="68"/>
      <c r="T49" s="111"/>
      <c r="U49" s="111"/>
      <c r="V49" s="111"/>
    </row>
    <row r="50" ht="15.75" customHeight="1" outlineLevel="1">
      <c r="A50" s="60">
        <v>109.0</v>
      </c>
      <c r="B50" s="747" t="s">
        <v>324</v>
      </c>
      <c r="C50" s="747" t="s">
        <v>324</v>
      </c>
      <c r="D50" s="71" t="s">
        <v>7</v>
      </c>
      <c r="E50" s="146" t="s">
        <v>317</v>
      </c>
      <c r="F50" s="72">
        <v>1125.0</v>
      </c>
      <c r="G50" s="139" t="s">
        <v>317</v>
      </c>
      <c r="H50" s="139">
        <v>1125.0</v>
      </c>
      <c r="I50" s="126" t="str">
        <f>IFERROR(VLOOKUP(C44:C186,'R22 RELATÓRIO ACC'!B:F,5,FALSE),"NOT PUBLISHED")</f>
        <v>V7</v>
      </c>
      <c r="J50" s="126" t="str">
        <f>IFERROR(VLOOKUP(C44:C186,'R22 RELATÓRIO ACC'!B:P,15,FALSE),"NOT PUBLISHED")</f>
        <v>05/12/2025</v>
      </c>
      <c r="K50" s="746" t="str">
        <f>IFERROR(VLOOKUP(B47:B189,'RELATÓRIO ACC'!B:F,5,FALSE),"NOT PUBLISHED")</f>
        <v>V1</v>
      </c>
      <c r="L50" s="748" t="str">
        <f>IFERROR(VLOOKUP(B47:B189,'RELATÓRIO ACC'!B:P,15,FALSE),"NOT PUBLISHED")</f>
        <v>21/05/2026</v>
      </c>
      <c r="M50" s="141" t="s">
        <v>462</v>
      </c>
      <c r="N50" s="141" t="s">
        <v>462</v>
      </c>
      <c r="O50" s="1194" t="s">
        <v>472</v>
      </c>
      <c r="P50" s="74" t="s">
        <v>462</v>
      </c>
      <c r="Q50" s="74" t="s">
        <v>462</v>
      </c>
      <c r="R50" s="764">
        <v>0.0</v>
      </c>
      <c r="S50" s="126"/>
      <c r="T50" s="111"/>
      <c r="U50" s="111"/>
      <c r="V50" s="111"/>
    </row>
    <row r="51" ht="15.0" customHeight="1" outlineLevel="1">
      <c r="A51" s="60">
        <v>110.0</v>
      </c>
      <c r="B51" s="747" t="s">
        <v>325</v>
      </c>
      <c r="C51" s="747" t="s">
        <v>325</v>
      </c>
      <c r="D51" s="71" t="s">
        <v>326</v>
      </c>
      <c r="E51" s="146" t="s">
        <v>317</v>
      </c>
      <c r="F51" s="72">
        <v>1125.0</v>
      </c>
      <c r="G51" s="139" t="s">
        <v>317</v>
      </c>
      <c r="H51" s="139">
        <v>1125.0</v>
      </c>
      <c r="I51" s="126" t="str">
        <f>IFERROR(VLOOKUP(C45:C187,'R22 RELATÓRIO ACC'!B:F,5,FALSE),"NOT PUBLISHED")</f>
        <v>V6</v>
      </c>
      <c r="J51" s="126" t="str">
        <f>IFERROR(VLOOKUP(C45:C187,'R22 RELATÓRIO ACC'!B:P,15,FALSE),"NOT PUBLISHED")</f>
        <v>07/11/2025</v>
      </c>
      <c r="K51" s="746" t="str">
        <f>IFERROR(VLOOKUP(B48:B190,'RELATÓRIO ACC'!B:F,5,FALSE),"NOT PUBLISHED")</f>
        <v>V1</v>
      </c>
      <c r="L51" s="748" t="str">
        <f>IFERROR(VLOOKUP(B48:B190,'RELATÓRIO ACC'!B:P,15,FALSE),"NOT PUBLISHED")</f>
        <v>21/05/2026</v>
      </c>
      <c r="M51" s="141" t="s">
        <v>462</v>
      </c>
      <c r="N51" s="141" t="s">
        <v>462</v>
      </c>
      <c r="O51" s="1194" t="s">
        <v>472</v>
      </c>
      <c r="P51" s="74" t="s">
        <v>462</v>
      </c>
      <c r="Q51" s="74" t="s">
        <v>462</v>
      </c>
      <c r="R51" s="764">
        <v>0.0</v>
      </c>
      <c r="S51" s="126"/>
      <c r="T51" s="111"/>
      <c r="U51" s="111"/>
      <c r="V51" s="111"/>
    </row>
    <row r="52" ht="15.0" hidden="1" customHeight="1">
      <c r="A52" s="60">
        <v>65.0</v>
      </c>
      <c r="B52" s="862" t="s">
        <v>229</v>
      </c>
      <c r="C52" s="291"/>
      <c r="D52" s="292"/>
      <c r="E52" s="292"/>
      <c r="F52" s="292"/>
      <c r="G52" s="292"/>
      <c r="H52" s="293"/>
      <c r="I52" s="292"/>
      <c r="J52" s="292"/>
      <c r="K52" s="863"/>
      <c r="L52" s="864"/>
      <c r="M52" s="292"/>
      <c r="N52" s="292"/>
      <c r="O52" s="1209"/>
      <c r="P52" s="875"/>
      <c r="Q52" s="875"/>
      <c r="R52" s="1091"/>
      <c r="S52" s="186"/>
      <c r="T52" s="186"/>
      <c r="U52" s="186"/>
      <c r="V52" s="186"/>
    </row>
    <row r="53" ht="15.0" hidden="1" customHeight="1" outlineLevel="1">
      <c r="A53" s="60">
        <v>36.0</v>
      </c>
      <c r="B53" s="809" t="s">
        <v>173</v>
      </c>
      <c r="C53" s="810"/>
      <c r="D53" s="191"/>
      <c r="E53" s="811"/>
      <c r="F53" s="191"/>
      <c r="G53" s="190"/>
      <c r="H53" s="190"/>
      <c r="I53" s="189"/>
      <c r="J53" s="189"/>
      <c r="K53" s="813"/>
      <c r="L53" s="812"/>
      <c r="M53" s="811"/>
      <c r="N53" s="190"/>
      <c r="O53" s="189"/>
      <c r="P53" s="878"/>
      <c r="Q53" s="876"/>
      <c r="R53" s="1169"/>
      <c r="S53" s="1210"/>
      <c r="T53" s="215"/>
      <c r="U53" s="215"/>
      <c r="V53" s="215"/>
    </row>
    <row r="54" ht="15.0" hidden="1" customHeight="1">
      <c r="A54" s="60">
        <v>59.0</v>
      </c>
      <c r="B54" s="881" t="s">
        <v>219</v>
      </c>
      <c r="C54" s="263"/>
      <c r="D54" s="264"/>
      <c r="E54" s="264"/>
      <c r="F54" s="264"/>
      <c r="G54" s="264"/>
      <c r="H54" s="265"/>
      <c r="I54" s="264"/>
      <c r="J54" s="264"/>
      <c r="K54" s="882"/>
      <c r="L54" s="883"/>
      <c r="M54" s="264"/>
      <c r="N54" s="264"/>
      <c r="O54" s="1211"/>
      <c r="P54" s="894"/>
      <c r="Q54" s="894"/>
      <c r="R54" s="1089"/>
      <c r="S54" s="186"/>
      <c r="T54" s="186"/>
      <c r="U54" s="186"/>
      <c r="V54" s="186"/>
    </row>
    <row r="55" ht="15.0" hidden="1" customHeight="1">
      <c r="A55" s="60">
        <v>38.0</v>
      </c>
      <c r="B55" s="895" t="s">
        <v>177</v>
      </c>
      <c r="C55" s="188"/>
      <c r="D55" s="189"/>
      <c r="E55" s="189"/>
      <c r="F55" s="189"/>
      <c r="G55" s="189"/>
      <c r="H55" s="190"/>
      <c r="I55" s="189"/>
      <c r="J55" s="189"/>
      <c r="K55" s="260"/>
      <c r="L55" s="248"/>
      <c r="M55" s="189"/>
      <c r="N55" s="189"/>
      <c r="O55" s="815"/>
      <c r="P55" s="880"/>
      <c r="Q55" s="877"/>
      <c r="R55" s="1067"/>
      <c r="S55" s="186"/>
      <c r="T55" s="186"/>
      <c r="U55" s="186"/>
      <c r="V55" s="186"/>
    </row>
    <row r="56" ht="15.0" hidden="1" customHeight="1">
      <c r="A56" s="60">
        <v>67.0</v>
      </c>
      <c r="B56" s="899" t="s">
        <v>233</v>
      </c>
      <c r="C56" s="319"/>
      <c r="D56" s="320"/>
      <c r="E56" s="320"/>
      <c r="F56" s="320"/>
      <c r="G56" s="320"/>
      <c r="H56" s="321"/>
      <c r="I56" s="320"/>
      <c r="J56" s="320"/>
      <c r="K56" s="343"/>
      <c r="L56" s="331"/>
      <c r="M56" s="320"/>
      <c r="N56" s="320"/>
      <c r="O56" s="907"/>
      <c r="P56" s="907"/>
      <c r="Q56" s="907"/>
      <c r="R56" s="1095"/>
      <c r="S56" s="68"/>
      <c r="T56" s="68"/>
      <c r="U56" s="68"/>
      <c r="V56" s="68"/>
    </row>
    <row r="57" ht="15.0" hidden="1" customHeight="1" outlineLevel="1">
      <c r="A57" s="60">
        <v>70.0</v>
      </c>
      <c r="B57" s="908" t="s">
        <v>238</v>
      </c>
      <c r="C57" s="909"/>
      <c r="D57" s="349"/>
      <c r="E57" s="910"/>
      <c r="F57" s="347"/>
      <c r="G57" s="348"/>
      <c r="H57" s="348"/>
      <c r="I57" s="347"/>
      <c r="J57" s="347"/>
      <c r="K57" s="911"/>
      <c r="L57" s="912"/>
      <c r="M57" s="910"/>
      <c r="N57" s="348"/>
      <c r="O57" s="347"/>
      <c r="P57" s="918"/>
      <c r="Q57" s="914"/>
      <c r="R57" s="1212"/>
      <c r="S57" s="1210"/>
      <c r="T57" s="186"/>
      <c r="U57" s="186"/>
      <c r="V57" s="186"/>
    </row>
    <row r="58" ht="15.0" hidden="1" customHeight="1" outlineLevel="1">
      <c r="A58" s="60">
        <v>84.0</v>
      </c>
      <c r="B58" s="923" t="s">
        <v>266</v>
      </c>
      <c r="C58" s="924"/>
      <c r="D58" s="433"/>
      <c r="E58" s="925"/>
      <c r="F58" s="433"/>
      <c r="G58" s="432"/>
      <c r="H58" s="432"/>
      <c r="I58" s="431"/>
      <c r="J58" s="431"/>
      <c r="K58" s="926"/>
      <c r="L58" s="927"/>
      <c r="M58" s="925"/>
      <c r="N58" s="432"/>
      <c r="O58" s="431"/>
      <c r="P58" s="1213"/>
      <c r="Q58" s="1122"/>
      <c r="R58" s="1214"/>
      <c r="S58" s="1210"/>
      <c r="T58" s="215"/>
      <c r="U58" s="215"/>
      <c r="V58" s="215"/>
    </row>
    <row r="59" ht="15.0" hidden="1" customHeight="1" outlineLevel="1">
      <c r="A59" s="60">
        <v>81.0</v>
      </c>
      <c r="B59" s="936" t="s">
        <v>261</v>
      </c>
      <c r="C59" s="937"/>
      <c r="D59" s="405"/>
      <c r="E59" s="938"/>
      <c r="F59" s="405"/>
      <c r="G59" s="404"/>
      <c r="H59" s="404"/>
      <c r="I59" s="403"/>
      <c r="J59" s="403"/>
      <c r="K59" s="939"/>
      <c r="L59" s="940"/>
      <c r="M59" s="938"/>
      <c r="N59" s="404"/>
      <c r="O59" s="403"/>
      <c r="P59" s="945"/>
      <c r="Q59" s="944"/>
      <c r="R59" s="1215"/>
      <c r="S59" s="1210"/>
      <c r="T59" s="215"/>
      <c r="U59" s="215"/>
      <c r="V59" s="215"/>
    </row>
    <row r="60" ht="15.0" hidden="1" customHeight="1" outlineLevel="1">
      <c r="A60" s="60">
        <v>74.0</v>
      </c>
      <c r="B60" s="948" t="s">
        <v>247</v>
      </c>
      <c r="C60" s="949"/>
      <c r="D60" s="377"/>
      <c r="E60" s="950"/>
      <c r="F60" s="377"/>
      <c r="G60" s="376"/>
      <c r="H60" s="376"/>
      <c r="I60" s="375"/>
      <c r="J60" s="375"/>
      <c r="K60" s="951"/>
      <c r="L60" s="952"/>
      <c r="M60" s="950"/>
      <c r="N60" s="376"/>
      <c r="O60" s="375"/>
      <c r="P60" s="956"/>
      <c r="Q60" s="954"/>
      <c r="R60" s="1216"/>
      <c r="S60" s="1210"/>
      <c r="T60" s="186"/>
      <c r="U60" s="186"/>
      <c r="V60" s="186"/>
    </row>
    <row r="61" ht="15.0" hidden="1" customHeight="1" outlineLevel="1">
      <c r="A61" s="60">
        <v>41.0</v>
      </c>
      <c r="B61" s="809" t="s">
        <v>183</v>
      </c>
      <c r="C61" s="810"/>
      <c r="D61" s="191"/>
      <c r="E61" s="811"/>
      <c r="F61" s="191"/>
      <c r="G61" s="190"/>
      <c r="H61" s="190"/>
      <c r="I61" s="189"/>
      <c r="J61" s="189"/>
      <c r="K61" s="813"/>
      <c r="L61" s="812"/>
      <c r="M61" s="811"/>
      <c r="N61" s="190"/>
      <c r="O61" s="189"/>
      <c r="P61" s="878"/>
      <c r="Q61" s="876"/>
      <c r="R61" s="1169"/>
      <c r="S61" s="1210"/>
      <c r="T61" s="215"/>
      <c r="U61" s="215"/>
      <c r="V61" s="215"/>
    </row>
    <row r="62" ht="15.0" hidden="1" customHeight="1" outlineLevel="1">
      <c r="A62" s="60">
        <v>56.0</v>
      </c>
      <c r="B62" s="809" t="s">
        <v>211</v>
      </c>
      <c r="C62" s="810"/>
      <c r="D62" s="191"/>
      <c r="E62" s="811"/>
      <c r="F62" s="191"/>
      <c r="G62" s="190"/>
      <c r="H62" s="190"/>
      <c r="I62" s="189"/>
      <c r="J62" s="189"/>
      <c r="K62" s="813"/>
      <c r="L62" s="812"/>
      <c r="M62" s="811"/>
      <c r="N62" s="190"/>
      <c r="O62" s="189"/>
      <c r="P62" s="878"/>
      <c r="Q62" s="876"/>
      <c r="R62" s="1169"/>
      <c r="S62" s="1210"/>
      <c r="T62" s="215"/>
      <c r="U62" s="215"/>
      <c r="V62" s="215"/>
    </row>
    <row r="63" ht="15.0" hidden="1" customHeight="1" outlineLevel="1">
      <c r="A63" s="60">
        <v>53.0</v>
      </c>
      <c r="B63" s="960" t="s">
        <v>206</v>
      </c>
      <c r="C63" s="961"/>
      <c r="D63" s="162"/>
      <c r="E63" s="962"/>
      <c r="F63" s="162"/>
      <c r="G63" s="161"/>
      <c r="H63" s="161"/>
      <c r="I63" s="160"/>
      <c r="J63" s="160"/>
      <c r="K63" s="962"/>
      <c r="L63" s="963"/>
      <c r="M63" s="964"/>
      <c r="N63" s="161"/>
      <c r="O63" s="160"/>
      <c r="P63" s="968"/>
      <c r="Q63" s="966"/>
      <c r="R63" s="1172"/>
      <c r="S63" s="1210"/>
      <c r="T63" s="215"/>
      <c r="U63" s="215"/>
      <c r="V63" s="215"/>
    </row>
    <row r="64" ht="15.0" hidden="1" customHeight="1" outlineLevel="1">
      <c r="A64" s="60">
        <v>62.0</v>
      </c>
      <c r="B64" s="971" t="s">
        <v>224</v>
      </c>
      <c r="C64" s="972"/>
      <c r="D64" s="294"/>
      <c r="E64" s="866"/>
      <c r="F64" s="294"/>
      <c r="G64" s="294"/>
      <c r="H64" s="973"/>
      <c r="I64" s="974"/>
      <c r="J64" s="974"/>
      <c r="K64" s="866"/>
      <c r="L64" s="975"/>
      <c r="M64" s="866"/>
      <c r="N64" s="293"/>
      <c r="O64" s="292"/>
      <c r="P64" s="977"/>
      <c r="Q64" s="867"/>
      <c r="R64" s="1217"/>
      <c r="S64" s="1210"/>
      <c r="T64" s="186"/>
      <c r="U64" s="186"/>
      <c r="V64" s="186"/>
    </row>
    <row r="65" ht="15.0" hidden="1" customHeight="1" outlineLevel="1">
      <c r="A65" s="60">
        <v>92.0</v>
      </c>
      <c r="B65" s="979" t="s">
        <v>284</v>
      </c>
      <c r="C65" s="980"/>
      <c r="D65" s="496"/>
      <c r="E65" s="981"/>
      <c r="F65" s="496"/>
      <c r="G65" s="496"/>
      <c r="H65" s="495"/>
      <c r="I65" s="494"/>
      <c r="J65" s="494"/>
      <c r="K65" s="981"/>
      <c r="L65" s="982"/>
      <c r="M65" s="981"/>
      <c r="N65" s="495"/>
      <c r="O65" s="494"/>
      <c r="P65" s="1218"/>
      <c r="Q65" s="1141"/>
      <c r="R65" s="1219"/>
      <c r="S65" s="1210"/>
      <c r="T65" s="186"/>
      <c r="U65" s="186"/>
      <c r="V65" s="186"/>
    </row>
    <row r="66" ht="15.0" hidden="1" customHeight="1" outlineLevel="1">
      <c r="A66" s="60">
        <v>33.0</v>
      </c>
      <c r="B66" s="960" t="s">
        <v>166</v>
      </c>
      <c r="C66" s="961"/>
      <c r="D66" s="162"/>
      <c r="E66" s="962"/>
      <c r="F66" s="162"/>
      <c r="G66" s="162"/>
      <c r="H66" s="161"/>
      <c r="I66" s="160"/>
      <c r="J66" s="160"/>
      <c r="K66" s="962"/>
      <c r="L66" s="963"/>
      <c r="M66" s="962"/>
      <c r="N66" s="161"/>
      <c r="O66" s="160"/>
      <c r="P66" s="968"/>
      <c r="Q66" s="966"/>
      <c r="R66" s="1172"/>
      <c r="S66" s="1210"/>
      <c r="T66" s="186"/>
      <c r="U66" s="186"/>
      <c r="V66" s="186"/>
    </row>
    <row r="67" ht="15.0" hidden="1" customHeight="1" outlineLevel="1">
      <c r="A67" s="60">
        <v>44.0</v>
      </c>
      <c r="B67" s="809" t="s">
        <v>189</v>
      </c>
      <c r="C67" s="810"/>
      <c r="D67" s="191"/>
      <c r="E67" s="813"/>
      <c r="F67" s="191"/>
      <c r="G67" s="191"/>
      <c r="H67" s="190"/>
      <c r="I67" s="189"/>
      <c r="J67" s="189"/>
      <c r="K67" s="813"/>
      <c r="L67" s="812"/>
      <c r="M67" s="813"/>
      <c r="N67" s="991"/>
      <c r="O67" s="992"/>
      <c r="P67" s="878"/>
      <c r="Q67" s="876"/>
      <c r="R67" s="1169"/>
      <c r="S67" s="1210"/>
      <c r="T67" s="186"/>
      <c r="U67" s="186"/>
      <c r="V67" s="186"/>
    </row>
    <row r="68" ht="498.0" hidden="1" customHeight="1" outlineLevel="1">
      <c r="A68" s="569"/>
      <c r="B68" s="570"/>
      <c r="C68" s="570"/>
      <c r="D68" s="570"/>
      <c r="E68" s="571"/>
      <c r="F68" s="571"/>
      <c r="G68" s="571"/>
      <c r="H68" s="571"/>
      <c r="I68" s="68"/>
      <c r="J68" s="68"/>
      <c r="K68" s="68"/>
      <c r="L68" s="572"/>
      <c r="M68" s="68"/>
      <c r="N68" s="573"/>
      <c r="O68" s="740" t="s">
        <v>462</v>
      </c>
      <c r="P68" s="68"/>
      <c r="Q68" s="68"/>
      <c r="R68" s="68"/>
      <c r="S68" s="68"/>
      <c r="T68" s="68"/>
      <c r="U68" s="68"/>
      <c r="V68" s="68"/>
    </row>
    <row r="69" ht="52.5" customHeight="1" outlineLevel="1">
      <c r="A69" s="59"/>
      <c r="B69" s="59"/>
      <c r="C69" s="59"/>
      <c r="D69" s="574"/>
      <c r="E69" s="575"/>
      <c r="F69" s="575"/>
      <c r="G69" s="575"/>
      <c r="H69" s="575"/>
      <c r="I69" s="59"/>
      <c r="J69" s="59"/>
      <c r="K69" s="59"/>
      <c r="L69" s="59"/>
      <c r="M69" s="59"/>
      <c r="N69" s="59"/>
      <c r="O69" s="59"/>
      <c r="P69" s="576"/>
      <c r="Q69" s="576"/>
      <c r="R69" s="576"/>
      <c r="S69" s="576"/>
      <c r="T69" s="577"/>
      <c r="U69" s="577"/>
      <c r="V69" s="577"/>
    </row>
  </sheetData>
  <autoFilter ref="$A$3:$V$68">
    <filterColumn colId="3">
      <filters>
        <filter val="C12A"/>
        <filter val="DATA"/>
        <filter val="ADMN"/>
        <filter val="COL5"/>
        <filter val="COL4"/>
        <filter val="COL3"/>
        <filter val="COL2"/>
        <filter val="C345"/>
        <filter val="COL1"/>
      </filters>
    </filterColumn>
    <sortState ref="A3:V68">
      <sortCondition ref="A3:A68"/>
      <sortCondition descending="1" ref="M3:M68"/>
      <sortCondition ref="D3:D68"/>
    </sortState>
  </autoFilter>
  <mergeCells count="2">
    <mergeCell ref="D1:R1"/>
    <mergeCell ref="P2:R2"/>
  </mergeCells>
  <conditionalFormatting sqref="P3:P14 Q3:Q52 R3:R69 S3 T3:V69 S5:S69 P28:P69 O45 Q54 Q56 Q59:Q69">
    <cfRule type="cellIs" dxfId="0" priority="1" operator="greaterThanOrEqual">
      <formula>"70%"</formula>
    </cfRule>
  </conditionalFormatting>
  <conditionalFormatting sqref="S1 P3:P14 Q3:Q52 R3:R69 S3 S5:S69 P28:P69 T30:V30 T42:V42 O45 Q54 Q56 Q59:Q69">
    <cfRule type="cellIs" dxfId="1" priority="2" operator="between">
      <formula>"49%"</formula>
      <formula>"69%"</formula>
    </cfRule>
  </conditionalFormatting>
  <conditionalFormatting sqref="S1 P3:P14 Q3:Q52 R3:R69 S3 S5:S69 P28:P69 T30:V30 T42:V42 O45 Q54 Q56 Q59:Q69">
    <cfRule type="cellIs" dxfId="2" priority="3" operator="between">
      <formula>"1%"</formula>
      <formula>"50%"</formula>
    </cfRule>
  </conditionalFormatting>
  <conditionalFormatting sqref="P3:P14 Q3:Q52 R3:R69 S3 T3:V69 S5:S69 P28:P69 Q54 Q56 Q59:Q69">
    <cfRule type="cellIs" dxfId="2" priority="4" operator="between">
      <formula>"1%"</formula>
      <formula>"50%"</formula>
    </cfRule>
  </conditionalFormatting>
  <conditionalFormatting sqref="P3:P14 Q3:Q52 R3:R69 S3 T3:V69 S5:S69 P28:P69 Q54 Q56 Q59:Q69">
    <cfRule type="cellIs" dxfId="1" priority="5" operator="between">
      <formula>"49%"</formula>
      <formula>"69%"</formula>
    </cfRule>
  </conditionalFormatting>
  <conditionalFormatting sqref="I3:M3">
    <cfRule type="cellIs" dxfId="3" priority="6" operator="equal">
      <formula>"VERSION"</formula>
    </cfRule>
  </conditionalFormatting>
  <conditionalFormatting sqref="M4:M68 N7:N51 O7 O68">
    <cfRule type="expression" dxfId="1" priority="7">
      <formula>IFERROR(ARRAYFORMULA(VALUE(MID(K4,2,10))) &gt; VALUE(MID(M4,2,10)), FALSE)</formula>
    </cfRule>
  </conditionalFormatting>
  <conditionalFormatting sqref="I3:K69 L3 M3:M68 L5:L69 N7:N51 O7 O68">
    <cfRule type="beginsWith" dxfId="4" priority="8" operator="beginsWith" text="V">
      <formula>LEFT((I3),LEN("V"))=("V")</formula>
    </cfRule>
  </conditionalFormatting>
  <conditionalFormatting sqref="Q6:Q7 Q11:Q13 Q17:Q19 Q42 Q59:Q61">
    <cfRule type="timePeriod" dxfId="12" priority="9" timePeriod="today"/>
  </conditionalFormatting>
  <conditionalFormatting sqref="S8 S44">
    <cfRule type="cellIs" dxfId="5" priority="10" operator="equal">
      <formula>"YASMIN"</formula>
    </cfRule>
  </conditionalFormatting>
  <conditionalFormatting sqref="S8 S44">
    <cfRule type="cellIs" dxfId="6" priority="11" operator="equal">
      <formula>"LETÍCIA"</formula>
    </cfRule>
  </conditionalFormatting>
  <conditionalFormatting sqref="S8 S44">
    <cfRule type="cellIs" dxfId="7" priority="12" operator="equal">
      <formula>"CICI"</formula>
    </cfRule>
  </conditionalFormatting>
  <conditionalFormatting sqref="S8 S44">
    <cfRule type="cellIs" dxfId="1" priority="13" operator="equal">
      <formula>"AIRTON"</formula>
    </cfRule>
  </conditionalFormatting>
  <conditionalFormatting sqref="S8 S44">
    <cfRule type="cellIs" dxfId="8" priority="14" operator="equal">
      <formula>"GUILHERME"</formula>
    </cfRule>
  </conditionalFormatting>
  <conditionalFormatting sqref="M4">
    <cfRule type="notContainsBlanks" dxfId="10" priority="15">
      <formula>LEN(TRIM(M4))&gt;0</formula>
    </cfRule>
  </conditionalFormatting>
  <dataValidations>
    <dataValidation type="list" allowBlank="1" showDropDown="1" showErrorMessage="1" sqref="D8:D51 D68">
      <formula1>"DATA,SITE,GUAR,C345,C12A,PUMP,UTLS,ADMN,COL1,COL2,COL3,COL4,COL5,STIR"</formula1>
    </dataValidation>
    <dataValidation type="list" allowBlank="1" showDropDown="1" showErrorMessage="1" sqref="P48">
      <formula1>"APPROVED,REPROVED,N/A,ANALYSING,OUTDATED MODEL,IMPROPER,NEXT ROUND"</formula1>
    </dataValidation>
    <dataValidation type="list" allowBlank="1" showErrorMessage="1" sqref="O8:O51 O68">
      <formula1>"R22,R24,AWAITING APPROVAL,N/A,NOT PUBLISHED"</formula1>
    </dataValidation>
    <dataValidation type="list" allowBlank="1" showDropDown="1" showErrorMessage="1" sqref="R9:R10 R14:R15 R21 R43:R45 P8:P47 P49:P51">
      <formula1>"APPROVED,REPROVED,N/A,ANALYSING,NOT PUBLISHED,OUTDATED MODEL,NEXT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5.88"/>
    <col customWidth="1" min="2" max="3" width="33.88"/>
    <col customWidth="1" min="4" max="4" width="10.88"/>
    <col customWidth="1" min="5" max="5" width="19.75"/>
    <col customWidth="1" hidden="1" min="6" max="6" width="10.75"/>
    <col customWidth="1" min="7" max="7" width="18.63"/>
    <col customWidth="1" hidden="1" min="8" max="8" width="9.38"/>
    <col customWidth="1" hidden="1" min="9" max="10" width="20.38"/>
    <col customWidth="1" min="11" max="11" width="20.38"/>
    <col customWidth="1" min="12" max="12" width="18.75"/>
    <col customWidth="1" min="13" max="13" width="15.25"/>
    <col customWidth="1" min="14" max="15" width="15.88"/>
    <col customWidth="1" hidden="1" min="16" max="16" width="22.13"/>
    <col customWidth="1" hidden="1" min="17" max="17" width="17.38"/>
    <col customWidth="1" hidden="1" min="18" max="18" width="16.75"/>
    <col customWidth="1" hidden="1" min="19" max="19" width="16.5"/>
    <col customWidth="1" hidden="1" min="20" max="20" width="16.25"/>
    <col customWidth="1" hidden="1" min="21" max="21" width="16.75"/>
    <col customWidth="1" hidden="1" min="22" max="39" width="16.25"/>
    <col customWidth="1" hidden="1" min="40" max="118" width="18.88"/>
    <col customWidth="1" min="119" max="127" width="18.88"/>
    <col customWidth="1" min="128" max="128" width="153.13"/>
    <col customWidth="1" min="129" max="129" width="16.25"/>
    <col customWidth="1" min="130" max="130" width="51.75"/>
  </cols>
  <sheetData>
    <row r="1" ht="111.0" customHeight="1">
      <c r="A1" s="1"/>
      <c r="B1" s="677"/>
      <c r="C1" s="678"/>
      <c r="D1" s="679"/>
      <c r="E1" s="681"/>
      <c r="F1" s="681"/>
      <c r="G1" s="681"/>
      <c r="H1" s="681"/>
      <c r="I1" s="681"/>
      <c r="J1" s="681"/>
      <c r="K1" s="681"/>
      <c r="L1" s="681"/>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c r="AL1" s="681"/>
      <c r="AM1" s="681"/>
      <c r="AN1" s="681"/>
      <c r="AO1" s="681"/>
      <c r="AP1" s="681"/>
      <c r="AQ1" s="681"/>
      <c r="AR1" s="681"/>
      <c r="AS1" s="681"/>
      <c r="AT1" s="681"/>
      <c r="AU1" s="681"/>
      <c r="AV1" s="682"/>
      <c r="AW1" s="1222"/>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1223"/>
      <c r="CI1" s="1223"/>
      <c r="CJ1" s="1223"/>
      <c r="CK1" s="1223"/>
      <c r="CL1" s="1223"/>
      <c r="CM1" s="1223"/>
      <c r="CN1" s="1223"/>
      <c r="CO1" s="1223"/>
      <c r="CP1" s="1223"/>
      <c r="CQ1" s="1223"/>
      <c r="CR1" s="1223"/>
      <c r="CS1" s="1223"/>
      <c r="CT1" s="1223"/>
      <c r="CU1" s="1223"/>
      <c r="CV1" s="1223"/>
      <c r="CW1" s="1223"/>
      <c r="CX1" s="1223"/>
      <c r="CY1" s="1223"/>
      <c r="CZ1" s="1223"/>
      <c r="DA1" s="1223"/>
      <c r="DB1" s="1223"/>
      <c r="DC1" s="1223"/>
      <c r="DD1" s="1223"/>
      <c r="DE1" s="1223"/>
      <c r="DF1" s="1223"/>
      <c r="DG1" s="1223"/>
      <c r="DH1" s="1223"/>
      <c r="DI1" s="1223"/>
      <c r="DJ1" s="1223"/>
      <c r="DK1" s="1223"/>
      <c r="DL1" s="1223"/>
      <c r="DM1" s="1223"/>
      <c r="DN1" s="1223"/>
      <c r="DO1" s="1223"/>
      <c r="DP1" s="1223"/>
      <c r="DQ1" s="1223"/>
      <c r="DR1" s="1223"/>
      <c r="DS1" s="1223"/>
      <c r="DT1" s="1223"/>
      <c r="DU1" s="1223"/>
      <c r="DV1" s="1223"/>
      <c r="DW1" s="1223"/>
      <c r="DX1" s="8"/>
      <c r="DY1" s="8"/>
      <c r="DZ1" s="8"/>
    </row>
    <row r="2">
      <c r="A2" s="9"/>
      <c r="B2" s="683"/>
      <c r="C2" s="684"/>
      <c r="D2" s="684"/>
      <c r="E2" s="684"/>
      <c r="F2" s="685"/>
      <c r="G2" s="684"/>
      <c r="H2" s="685"/>
      <c r="I2" s="686"/>
      <c r="J2" s="686"/>
      <c r="K2" s="686"/>
      <c r="L2" s="684"/>
      <c r="M2" s="687"/>
      <c r="N2" s="684"/>
      <c r="O2" s="684"/>
      <c r="P2" s="1224" t="s">
        <v>2</v>
      </c>
      <c r="Q2" s="1225" t="s">
        <v>8</v>
      </c>
      <c r="R2" s="1226"/>
      <c r="S2" s="1226"/>
      <c r="T2" s="1226"/>
      <c r="U2" s="1226"/>
      <c r="V2" s="1226"/>
      <c r="W2" s="1226"/>
      <c r="X2" s="1226"/>
      <c r="Y2" s="1226"/>
      <c r="Z2" s="1226"/>
      <c r="AA2" s="1226"/>
      <c r="AB2" s="1226"/>
      <c r="AC2" s="1226"/>
      <c r="AD2" s="1226"/>
      <c r="AE2" s="1226"/>
      <c r="AF2" s="1226"/>
      <c r="AG2" s="1226"/>
      <c r="AH2" s="1226"/>
      <c r="AI2" s="1226"/>
      <c r="AJ2" s="1226"/>
      <c r="AK2" s="1226"/>
      <c r="AL2" s="1226"/>
      <c r="AM2" s="1226"/>
      <c r="AN2" s="1226"/>
      <c r="AO2" s="1226"/>
      <c r="AP2" s="1226"/>
      <c r="AQ2" s="1226"/>
      <c r="AR2" s="1226"/>
      <c r="AS2" s="1226"/>
      <c r="AT2" s="1226"/>
      <c r="AU2" s="1226"/>
      <c r="AV2" s="1226"/>
      <c r="AW2" s="1227"/>
      <c r="AX2" s="692"/>
      <c r="AY2" s="692"/>
      <c r="AZ2" s="692"/>
      <c r="BA2" s="692"/>
      <c r="BB2" s="692"/>
      <c r="BC2" s="692"/>
      <c r="BD2" s="692"/>
      <c r="BE2" s="692"/>
      <c r="BF2" s="692"/>
      <c r="BG2" s="692"/>
      <c r="BH2" s="692"/>
      <c r="BI2" s="692"/>
      <c r="BJ2" s="692"/>
      <c r="BK2" s="692"/>
      <c r="BL2" s="692"/>
      <c r="BM2" s="692"/>
      <c r="BN2" s="692"/>
      <c r="BO2" s="692"/>
      <c r="BP2" s="692"/>
      <c r="BQ2" s="692"/>
      <c r="BR2" s="692"/>
      <c r="BS2" s="692"/>
      <c r="BT2" s="692"/>
      <c r="BU2" s="692"/>
      <c r="BV2" s="692"/>
      <c r="BW2" s="692"/>
      <c r="BX2" s="692"/>
      <c r="BY2" s="692"/>
      <c r="BZ2" s="692"/>
      <c r="CA2" s="692"/>
      <c r="CB2" s="692"/>
      <c r="CC2" s="692"/>
      <c r="CD2" s="692"/>
      <c r="CE2" s="692"/>
      <c r="CF2" s="692"/>
      <c r="CG2" s="692"/>
      <c r="CH2" s="1228"/>
      <c r="CI2" s="1228"/>
      <c r="CJ2" s="1228"/>
      <c r="CK2" s="1228"/>
      <c r="CL2" s="1228"/>
      <c r="CM2" s="1228"/>
      <c r="CN2" s="1228"/>
      <c r="CO2" s="1228"/>
      <c r="CP2" s="1228"/>
      <c r="CQ2" s="1228"/>
      <c r="CR2" s="1228"/>
      <c r="CS2" s="1228"/>
      <c r="CT2" s="1228"/>
      <c r="CU2" s="1228"/>
      <c r="CV2" s="1228"/>
      <c r="CW2" s="1228"/>
      <c r="CX2" s="1228"/>
      <c r="CY2" s="1228"/>
      <c r="CZ2" s="1228"/>
      <c r="DA2" s="1228"/>
      <c r="DB2" s="1228"/>
      <c r="DC2" s="1228"/>
      <c r="DD2" s="1228"/>
      <c r="DE2" s="1228"/>
      <c r="DF2" s="1228"/>
      <c r="DG2" s="1228"/>
      <c r="DH2" s="1228"/>
      <c r="DI2" s="1228"/>
      <c r="DJ2" s="1228"/>
      <c r="DK2" s="1228"/>
      <c r="DL2" s="1228"/>
      <c r="DM2" s="1228"/>
      <c r="DN2" s="1228"/>
      <c r="DO2" s="1228"/>
      <c r="DP2" s="1228"/>
      <c r="DQ2" s="1228"/>
      <c r="DR2" s="1228"/>
      <c r="DS2" s="1228"/>
      <c r="DT2" s="1228"/>
      <c r="DU2" s="1228"/>
      <c r="DV2" s="1228"/>
      <c r="DW2" s="1228"/>
      <c r="DX2" s="8"/>
      <c r="DY2" s="8"/>
      <c r="DZ2" s="8"/>
    </row>
    <row r="3" ht="54.0" customHeight="1">
      <c r="A3" s="1229"/>
      <c r="B3" s="1230" t="s">
        <v>9</v>
      </c>
      <c r="C3" s="1231" t="s">
        <v>10</v>
      </c>
      <c r="D3" s="1232" t="s">
        <v>11</v>
      </c>
      <c r="E3" s="1233" t="s">
        <v>12</v>
      </c>
      <c r="F3" s="1234" t="s">
        <v>13</v>
      </c>
      <c r="G3" s="1233" t="s">
        <v>14</v>
      </c>
      <c r="H3" s="1235" t="s">
        <v>13</v>
      </c>
      <c r="I3" s="700" t="s">
        <v>338</v>
      </c>
      <c r="J3" s="700" t="s">
        <v>16</v>
      </c>
      <c r="K3" s="1236" t="s">
        <v>599</v>
      </c>
      <c r="L3" s="1236" t="s">
        <v>600</v>
      </c>
      <c r="M3" s="1237" t="s">
        <v>340</v>
      </c>
      <c r="N3" s="1238" t="s">
        <v>341</v>
      </c>
      <c r="O3" s="997" t="s">
        <v>738</v>
      </c>
      <c r="P3" s="1239" t="s">
        <v>28</v>
      </c>
      <c r="Q3" s="1240" t="s">
        <v>739</v>
      </c>
      <c r="R3" s="1241" t="s">
        <v>740</v>
      </c>
      <c r="S3" s="1242" t="s">
        <v>741</v>
      </c>
      <c r="T3" s="1243" t="s">
        <v>742</v>
      </c>
      <c r="U3" s="1244" t="s">
        <v>743</v>
      </c>
      <c r="V3" s="1245" t="s">
        <v>744</v>
      </c>
      <c r="W3" s="1246" t="s">
        <v>745</v>
      </c>
      <c r="X3" s="1246" t="s">
        <v>746</v>
      </c>
      <c r="Y3" s="1247" t="s">
        <v>747</v>
      </c>
      <c r="Z3" s="1248" t="s">
        <v>748</v>
      </c>
      <c r="AA3" s="1248" t="s">
        <v>749</v>
      </c>
      <c r="AB3" s="1249" t="s">
        <v>750</v>
      </c>
      <c r="AC3" s="1248" t="s">
        <v>751</v>
      </c>
      <c r="AD3" s="1248" t="s">
        <v>752</v>
      </c>
      <c r="AE3" s="1249" t="s">
        <v>753</v>
      </c>
      <c r="AF3" s="1250" t="s">
        <v>754</v>
      </c>
      <c r="AG3" s="1250" t="s">
        <v>755</v>
      </c>
      <c r="AH3" s="1251" t="s">
        <v>756</v>
      </c>
      <c r="AI3" s="1250" t="s">
        <v>757</v>
      </c>
      <c r="AJ3" s="1250" t="s">
        <v>758</v>
      </c>
      <c r="AK3" s="1251" t="s">
        <v>759</v>
      </c>
      <c r="AL3" s="1252" t="s">
        <v>760</v>
      </c>
      <c r="AM3" s="1252" t="s">
        <v>761</v>
      </c>
      <c r="AN3" s="1253" t="s">
        <v>762</v>
      </c>
      <c r="AO3" s="1254" t="s">
        <v>763</v>
      </c>
      <c r="AP3" s="1254" t="s">
        <v>764</v>
      </c>
      <c r="AQ3" s="1255" t="s">
        <v>765</v>
      </c>
      <c r="AR3" s="1256" t="s">
        <v>766</v>
      </c>
      <c r="AS3" s="1256" t="s">
        <v>767</v>
      </c>
      <c r="AT3" s="1257" t="s">
        <v>768</v>
      </c>
      <c r="AU3" s="1258" t="s">
        <v>769</v>
      </c>
      <c r="AV3" s="1258" t="s">
        <v>770</v>
      </c>
      <c r="AW3" s="1259" t="s">
        <v>771</v>
      </c>
      <c r="AX3" s="1258" t="s">
        <v>772</v>
      </c>
      <c r="AY3" s="1258" t="s">
        <v>773</v>
      </c>
      <c r="AZ3" s="1259" t="s">
        <v>774</v>
      </c>
      <c r="BA3" s="1258" t="s">
        <v>775</v>
      </c>
      <c r="BB3" s="1258" t="s">
        <v>776</v>
      </c>
      <c r="BC3" s="1259" t="s">
        <v>777</v>
      </c>
      <c r="BD3" s="1260" t="s">
        <v>778</v>
      </c>
      <c r="BE3" s="1260" t="s">
        <v>779</v>
      </c>
      <c r="BF3" s="1261" t="s">
        <v>780</v>
      </c>
      <c r="BG3" s="1260" t="s">
        <v>781</v>
      </c>
      <c r="BH3" s="1260" t="s">
        <v>782</v>
      </c>
      <c r="BI3" s="1261" t="s">
        <v>783</v>
      </c>
      <c r="BJ3" s="1260" t="s">
        <v>784</v>
      </c>
      <c r="BK3" s="1260" t="s">
        <v>785</v>
      </c>
      <c r="BL3" s="1261" t="s">
        <v>786</v>
      </c>
      <c r="BM3" s="1260" t="s">
        <v>787</v>
      </c>
      <c r="BN3" s="1260" t="s">
        <v>788</v>
      </c>
      <c r="BO3" s="1261" t="s">
        <v>789</v>
      </c>
      <c r="BP3" s="1260" t="s">
        <v>790</v>
      </c>
      <c r="BQ3" s="1260" t="s">
        <v>791</v>
      </c>
      <c r="BR3" s="1261" t="s">
        <v>792</v>
      </c>
      <c r="BS3" s="1260" t="s">
        <v>793</v>
      </c>
      <c r="BT3" s="1260" t="s">
        <v>794</v>
      </c>
      <c r="BU3" s="1261" t="s">
        <v>795</v>
      </c>
      <c r="BV3" s="1260" t="s">
        <v>796</v>
      </c>
      <c r="BW3" s="1260" t="s">
        <v>797</v>
      </c>
      <c r="BX3" s="1261" t="s">
        <v>798</v>
      </c>
      <c r="BY3" s="1260" t="s">
        <v>799</v>
      </c>
      <c r="BZ3" s="1260" t="s">
        <v>800</v>
      </c>
      <c r="CA3" s="1261" t="s">
        <v>801</v>
      </c>
      <c r="CB3" s="1260" t="s">
        <v>802</v>
      </c>
      <c r="CC3" s="1260" t="s">
        <v>803</v>
      </c>
      <c r="CD3" s="1261" t="s">
        <v>804</v>
      </c>
      <c r="CE3" s="1260" t="s">
        <v>805</v>
      </c>
      <c r="CF3" s="1260" t="s">
        <v>806</v>
      </c>
      <c r="CG3" s="1261" t="s">
        <v>807</v>
      </c>
      <c r="CH3" s="1260" t="s">
        <v>808</v>
      </c>
      <c r="CI3" s="1260" t="s">
        <v>809</v>
      </c>
      <c r="CJ3" s="1261" t="s">
        <v>810</v>
      </c>
      <c r="CK3" s="1260" t="s">
        <v>811</v>
      </c>
      <c r="CL3" s="1260" t="s">
        <v>812</v>
      </c>
      <c r="CM3" s="1261" t="s">
        <v>813</v>
      </c>
      <c r="CN3" s="1260" t="s">
        <v>814</v>
      </c>
      <c r="CO3" s="1260" t="s">
        <v>815</v>
      </c>
      <c r="CP3" s="1261" t="s">
        <v>816</v>
      </c>
      <c r="CQ3" s="1260" t="s">
        <v>817</v>
      </c>
      <c r="CR3" s="1260" t="s">
        <v>818</v>
      </c>
      <c r="CS3" s="1261" t="s">
        <v>819</v>
      </c>
      <c r="CT3" s="1260" t="s">
        <v>820</v>
      </c>
      <c r="CU3" s="1260" t="s">
        <v>821</v>
      </c>
      <c r="CV3" s="1261" t="s">
        <v>822</v>
      </c>
      <c r="CW3" s="1260" t="s">
        <v>823</v>
      </c>
      <c r="CX3" s="1260" t="s">
        <v>824</v>
      </c>
      <c r="CY3" s="1261" t="s">
        <v>825</v>
      </c>
      <c r="CZ3" s="1260" t="s">
        <v>826</v>
      </c>
      <c r="DA3" s="1260" t="s">
        <v>827</v>
      </c>
      <c r="DB3" s="1261" t="s">
        <v>828</v>
      </c>
      <c r="DC3" s="1260" t="s">
        <v>829</v>
      </c>
      <c r="DD3" s="1260" t="s">
        <v>830</v>
      </c>
      <c r="DE3" s="1261" t="s">
        <v>831</v>
      </c>
      <c r="DF3" s="1260" t="s">
        <v>832</v>
      </c>
      <c r="DG3" s="1260" t="s">
        <v>833</v>
      </c>
      <c r="DH3" s="1261" t="s">
        <v>834</v>
      </c>
      <c r="DI3" s="1260" t="s">
        <v>835</v>
      </c>
      <c r="DJ3" s="1260" t="s">
        <v>836</v>
      </c>
      <c r="DK3" s="1261" t="s">
        <v>837</v>
      </c>
      <c r="DL3" s="1260" t="s">
        <v>838</v>
      </c>
      <c r="DM3" s="1260" t="s">
        <v>839</v>
      </c>
      <c r="DN3" s="1261" t="s">
        <v>840</v>
      </c>
      <c r="DO3" s="1260" t="s">
        <v>841</v>
      </c>
      <c r="DP3" s="1260" t="s">
        <v>842</v>
      </c>
      <c r="DQ3" s="1261" t="s">
        <v>843</v>
      </c>
      <c r="DR3" s="1260" t="s">
        <v>844</v>
      </c>
      <c r="DS3" s="1260" t="s">
        <v>845</v>
      </c>
      <c r="DT3" s="1261" t="s">
        <v>846</v>
      </c>
      <c r="DU3" s="1260" t="s">
        <v>847</v>
      </c>
      <c r="DV3" s="1260" t="s">
        <v>848</v>
      </c>
      <c r="DW3" s="1261" t="s">
        <v>849</v>
      </c>
      <c r="DX3" s="59"/>
      <c r="DY3" s="59"/>
      <c r="DZ3" s="59"/>
    </row>
    <row r="4" hidden="1">
      <c r="A4" s="1262">
        <v>1.0</v>
      </c>
      <c r="B4" s="1263" t="s">
        <v>82</v>
      </c>
      <c r="C4" s="1264"/>
      <c r="D4" s="1264"/>
      <c r="E4" s="1265"/>
      <c r="F4" s="1264"/>
      <c r="G4" s="1264"/>
      <c r="H4" s="1266"/>
      <c r="I4" s="1266"/>
      <c r="J4" s="1266"/>
      <c r="K4" s="1267"/>
      <c r="L4" s="1264"/>
      <c r="M4" s="1268"/>
      <c r="N4" s="1264"/>
      <c r="O4" s="1264"/>
      <c r="P4" s="1269"/>
      <c r="Q4" s="1264"/>
      <c r="R4" s="1270"/>
      <c r="S4" s="1264"/>
      <c r="T4" s="1265"/>
      <c r="U4" s="1264"/>
      <c r="V4" s="1264"/>
      <c r="W4" s="1271"/>
      <c r="X4" s="1266"/>
      <c r="Y4" s="1272"/>
      <c r="Z4" s="1266"/>
      <c r="AA4" s="1266"/>
      <c r="AB4" s="1273"/>
      <c r="AC4" s="1266"/>
      <c r="AD4" s="1266"/>
      <c r="AE4" s="1273"/>
      <c r="AF4" s="1029"/>
      <c r="AG4" s="1029"/>
      <c r="AH4" s="1029"/>
      <c r="AI4" s="1029"/>
      <c r="AJ4" s="1029"/>
      <c r="AK4" s="1029"/>
      <c r="AL4" s="1029"/>
      <c r="AM4" s="1029"/>
      <c r="AN4" s="1029"/>
      <c r="AO4" s="1029"/>
      <c r="AP4" s="1029"/>
      <c r="AQ4" s="1029"/>
      <c r="AR4" s="1029"/>
      <c r="AS4" s="1029"/>
      <c r="AT4" s="1029"/>
      <c r="AU4" s="1029"/>
      <c r="AV4" s="1029"/>
      <c r="AW4" s="1029"/>
      <c r="AX4" s="1029"/>
      <c r="AY4" s="1029"/>
      <c r="AZ4" s="1029"/>
      <c r="BA4" s="1029"/>
      <c r="BB4" s="1029"/>
      <c r="BC4" s="1029"/>
      <c r="BD4" s="1274"/>
      <c r="BE4" s="1274"/>
      <c r="BF4" s="1274"/>
      <c r="BG4" s="1274"/>
      <c r="BH4" s="1274"/>
      <c r="BI4" s="1274"/>
      <c r="BJ4" s="1274"/>
      <c r="BK4" s="1274"/>
      <c r="BL4" s="1274"/>
      <c r="BM4" s="1274"/>
      <c r="BN4" s="1274"/>
      <c r="BO4" s="1274"/>
      <c r="BP4" s="1274"/>
      <c r="BQ4" s="1274"/>
      <c r="BR4" s="1274"/>
      <c r="BS4" s="1274"/>
      <c r="BT4" s="1274"/>
      <c r="BU4" s="1274"/>
      <c r="BV4" s="1274"/>
      <c r="BW4" s="1274"/>
      <c r="BX4" s="1274"/>
      <c r="BY4" s="1275"/>
      <c r="BZ4" s="1276"/>
      <c r="CA4" s="1277"/>
      <c r="CB4" s="1275"/>
      <c r="CC4" s="1276"/>
      <c r="CD4" s="1275"/>
      <c r="CE4" s="1275"/>
      <c r="CF4" s="1276"/>
      <c r="CG4" s="1275"/>
      <c r="CH4" s="1275"/>
      <c r="CI4" s="1276"/>
      <c r="CJ4" s="1275"/>
      <c r="CK4" s="1275"/>
      <c r="CL4" s="1276"/>
      <c r="CM4" s="1275"/>
      <c r="CN4" s="1275"/>
      <c r="CO4" s="1276"/>
      <c r="CP4" s="1275"/>
      <c r="CQ4" s="1275"/>
      <c r="CR4" s="1276"/>
      <c r="CS4" s="1275"/>
      <c r="CT4" s="1274"/>
      <c r="CU4" s="1274"/>
      <c r="CV4" s="1274"/>
      <c r="CW4" s="1274"/>
      <c r="CX4" s="1274"/>
      <c r="CY4" s="1274"/>
      <c r="CZ4" s="1274"/>
      <c r="DA4" s="1274"/>
      <c r="DB4" s="1274"/>
      <c r="DC4" s="1274"/>
      <c r="DD4" s="1274"/>
      <c r="DE4" s="1274"/>
      <c r="DF4" s="1274"/>
      <c r="DG4" s="1274"/>
      <c r="DH4" s="1274"/>
      <c r="DI4" s="1274"/>
      <c r="DJ4" s="1274"/>
      <c r="DK4" s="1274"/>
      <c r="DL4" s="1274"/>
      <c r="DM4" s="1274"/>
      <c r="DN4" s="1274"/>
      <c r="DO4" s="1274"/>
      <c r="DP4" s="1274"/>
      <c r="DQ4" s="1274"/>
      <c r="DR4" s="1274"/>
      <c r="DS4" s="1274"/>
      <c r="DT4" s="1274"/>
      <c r="DU4" s="1274"/>
      <c r="DV4" s="1274"/>
      <c r="DW4" s="1274"/>
      <c r="DX4" s="68"/>
      <c r="DY4" s="68"/>
      <c r="DZ4" s="68"/>
    </row>
    <row r="5" outlineLevel="1">
      <c r="A5" s="1262">
        <v>5.0</v>
      </c>
      <c r="B5" s="1278" t="s">
        <v>850</v>
      </c>
      <c r="C5" s="1279"/>
      <c r="D5" s="1280" t="s">
        <v>90</v>
      </c>
      <c r="E5" s="1281" t="s">
        <v>465</v>
      </c>
      <c r="F5" s="1282">
        <v>1111.0</v>
      </c>
      <c r="G5" s="1283" t="s">
        <v>86</v>
      </c>
      <c r="H5" s="1283">
        <v>1130.0</v>
      </c>
      <c r="I5" s="1284"/>
      <c r="J5" s="1284"/>
      <c r="K5" s="1032" t="str">
        <f>IFERROR(VLOOKUP(B4:B159,'RELATÓRIO ACC'!B:F,5,FALSE),"NOT PUBLISHED")</f>
        <v>NOT PUBLISHED</v>
      </c>
      <c r="L5" s="1285" t="str">
        <f>IFERROR(VLOOKUP(B4:B159,'RELATÓRIO ACC'!B:P,15,FALSE),"NOT PUBLISHED")</f>
        <v>NOT PUBLISHED</v>
      </c>
      <c r="M5" s="1281" t="s">
        <v>466</v>
      </c>
      <c r="N5" s="1281" t="s">
        <v>466</v>
      </c>
      <c r="O5" s="1286"/>
      <c r="P5" s="1287"/>
      <c r="Q5" s="1281" t="s">
        <v>466</v>
      </c>
      <c r="R5" s="1280" t="s">
        <v>462</v>
      </c>
      <c r="S5" s="1281" t="s">
        <v>466</v>
      </c>
      <c r="T5" s="1032" t="s">
        <v>466</v>
      </c>
      <c r="U5" s="1031" t="s">
        <v>462</v>
      </c>
      <c r="V5" s="1281" t="s">
        <v>466</v>
      </c>
      <c r="W5" s="1288" t="s">
        <v>466</v>
      </c>
      <c r="X5" s="1031" t="s">
        <v>462</v>
      </c>
      <c r="Y5" s="1281" t="s">
        <v>466</v>
      </c>
      <c r="Z5" s="1281" t="s">
        <v>466</v>
      </c>
      <c r="AA5" s="1031" t="s">
        <v>462</v>
      </c>
      <c r="AB5" s="1281" t="s">
        <v>466</v>
      </c>
      <c r="AC5" s="1281" t="s">
        <v>466</v>
      </c>
      <c r="AD5" s="1031" t="s">
        <v>462</v>
      </c>
      <c r="AE5" s="1281" t="s">
        <v>466</v>
      </c>
      <c r="AF5" s="1281" t="s">
        <v>466</v>
      </c>
      <c r="AG5" s="1031" t="s">
        <v>462</v>
      </c>
      <c r="AH5" s="1281" t="s">
        <v>466</v>
      </c>
      <c r="AI5" s="1281" t="s">
        <v>466</v>
      </c>
      <c r="AJ5" s="1031" t="s">
        <v>462</v>
      </c>
      <c r="AK5" s="1281" t="s">
        <v>466</v>
      </c>
      <c r="AL5" s="1281" t="s">
        <v>466</v>
      </c>
      <c r="AM5" s="1031" t="s">
        <v>462</v>
      </c>
      <c r="AN5" s="1281" t="s">
        <v>466</v>
      </c>
      <c r="AO5" s="1281" t="s">
        <v>466</v>
      </c>
      <c r="AP5" s="1031" t="s">
        <v>462</v>
      </c>
      <c r="AQ5" s="1281" t="s">
        <v>466</v>
      </c>
      <c r="AR5" s="1281" t="s">
        <v>466</v>
      </c>
      <c r="AS5" s="1031" t="s">
        <v>462</v>
      </c>
      <c r="AT5" s="1033" t="s">
        <v>466</v>
      </c>
      <c r="AU5" s="1281" t="s">
        <v>466</v>
      </c>
      <c r="AV5" s="1031" t="s">
        <v>462</v>
      </c>
      <c r="AW5" s="1281" t="s">
        <v>466</v>
      </c>
      <c r="AX5" s="1281" t="s">
        <v>466</v>
      </c>
      <c r="AY5" s="1031" t="s">
        <v>462</v>
      </c>
      <c r="AZ5" s="1289" t="s">
        <v>466</v>
      </c>
      <c r="BA5" s="1032" t="s">
        <v>466</v>
      </c>
      <c r="BB5" s="1031" t="s">
        <v>462</v>
      </c>
      <c r="BC5" s="1289" t="s">
        <v>466</v>
      </c>
      <c r="BD5" s="1290" t="s">
        <v>466</v>
      </c>
      <c r="BE5" s="1291" t="s">
        <v>462</v>
      </c>
      <c r="BF5" s="1292" t="s">
        <v>466</v>
      </c>
      <c r="BG5" s="1290" t="s">
        <v>466</v>
      </c>
      <c r="BH5" s="1291" t="s">
        <v>462</v>
      </c>
      <c r="BI5" s="1292" t="s">
        <v>466</v>
      </c>
      <c r="BJ5" s="1290" t="s">
        <v>466</v>
      </c>
      <c r="BK5" s="1291" t="s">
        <v>462</v>
      </c>
      <c r="BL5" s="1292" t="s">
        <v>466</v>
      </c>
      <c r="BM5" s="1293" t="s">
        <v>466</v>
      </c>
      <c r="BN5" s="1291" t="s">
        <v>462</v>
      </c>
      <c r="BO5" s="1293" t="s">
        <v>466</v>
      </c>
      <c r="BP5" s="1293" t="s">
        <v>466</v>
      </c>
      <c r="BQ5" s="1291" t="s">
        <v>462</v>
      </c>
      <c r="BR5" s="1293" t="s">
        <v>466</v>
      </c>
      <c r="BS5" s="1293" t="s">
        <v>466</v>
      </c>
      <c r="BT5" s="1291" t="s">
        <v>462</v>
      </c>
      <c r="BU5" s="1293" t="s">
        <v>466</v>
      </c>
      <c r="BV5" s="1290" t="s">
        <v>466</v>
      </c>
      <c r="BW5" s="1291" t="s">
        <v>462</v>
      </c>
      <c r="BX5" s="1292" t="s">
        <v>466</v>
      </c>
      <c r="BY5" s="1290" t="s">
        <v>466</v>
      </c>
      <c r="BZ5" s="1291" t="s">
        <v>462</v>
      </c>
      <c r="CA5" s="1292" t="s">
        <v>466</v>
      </c>
      <c r="CB5" s="1290" t="s">
        <v>466</v>
      </c>
      <c r="CC5" s="1291" t="s">
        <v>462</v>
      </c>
      <c r="CD5" s="1290" t="s">
        <v>466</v>
      </c>
      <c r="CE5" s="1290" t="s">
        <v>466</v>
      </c>
      <c r="CF5" s="1291" t="s">
        <v>462</v>
      </c>
      <c r="CG5" s="1290" t="s">
        <v>466</v>
      </c>
      <c r="CH5" s="1290" t="s">
        <v>466</v>
      </c>
      <c r="CI5" s="1291" t="s">
        <v>462</v>
      </c>
      <c r="CJ5" s="1290" t="s">
        <v>466</v>
      </c>
      <c r="CK5" s="1290" t="s">
        <v>466</v>
      </c>
      <c r="CL5" s="1291" t="s">
        <v>462</v>
      </c>
      <c r="CM5" s="1290" t="s">
        <v>466</v>
      </c>
      <c r="CN5" s="1290" t="s">
        <v>466</v>
      </c>
      <c r="CO5" s="1291" t="s">
        <v>462</v>
      </c>
      <c r="CP5" s="1290" t="s">
        <v>466</v>
      </c>
      <c r="CQ5" s="1290" t="s">
        <v>466</v>
      </c>
      <c r="CR5" s="1291" t="s">
        <v>462</v>
      </c>
      <c r="CS5" s="1290" t="s">
        <v>466</v>
      </c>
      <c r="CT5" s="1290" t="s">
        <v>466</v>
      </c>
      <c r="CU5" s="1291" t="s">
        <v>462</v>
      </c>
      <c r="CV5" s="1290" t="s">
        <v>466</v>
      </c>
      <c r="CW5" s="1290" t="s">
        <v>466</v>
      </c>
      <c r="CX5" s="1291" t="s">
        <v>462</v>
      </c>
      <c r="CY5" s="1290" t="s">
        <v>466</v>
      </c>
      <c r="CZ5" s="1290" t="s">
        <v>466</v>
      </c>
      <c r="DA5" s="1291" t="s">
        <v>462</v>
      </c>
      <c r="DB5" s="1290" t="s">
        <v>466</v>
      </c>
      <c r="DC5" s="1290" t="s">
        <v>466</v>
      </c>
      <c r="DD5" s="1291" t="s">
        <v>462</v>
      </c>
      <c r="DE5" s="1290" t="s">
        <v>466</v>
      </c>
      <c r="DF5" s="1290" t="s">
        <v>466</v>
      </c>
      <c r="DG5" s="1291" t="s">
        <v>462</v>
      </c>
      <c r="DH5" s="1290" t="s">
        <v>466</v>
      </c>
      <c r="DI5" s="1290" t="s">
        <v>466</v>
      </c>
      <c r="DJ5" s="1291" t="s">
        <v>462</v>
      </c>
      <c r="DK5" s="1290" t="s">
        <v>466</v>
      </c>
      <c r="DL5" s="1290" t="s">
        <v>466</v>
      </c>
      <c r="DM5" s="1290" t="s">
        <v>462</v>
      </c>
      <c r="DN5" s="1290" t="s">
        <v>466</v>
      </c>
      <c r="DO5" s="1290" t="s">
        <v>466</v>
      </c>
      <c r="DP5" s="1290" t="s">
        <v>462</v>
      </c>
      <c r="DQ5" s="1290" t="s">
        <v>466</v>
      </c>
      <c r="DR5" s="1290" t="s">
        <v>466</v>
      </c>
      <c r="DS5" s="1290" t="s">
        <v>462</v>
      </c>
      <c r="DT5" s="1290" t="s">
        <v>466</v>
      </c>
      <c r="DU5" s="1290" t="s">
        <v>466</v>
      </c>
      <c r="DV5" s="1290" t="s">
        <v>462</v>
      </c>
      <c r="DW5" s="1290" t="s">
        <v>466</v>
      </c>
      <c r="DX5" s="68"/>
      <c r="DY5" s="68"/>
      <c r="DZ5" s="68"/>
    </row>
    <row r="6" outlineLevel="1">
      <c r="A6" s="1262">
        <v>7.0</v>
      </c>
      <c r="B6" s="1278" t="s">
        <v>851</v>
      </c>
      <c r="C6" s="1279"/>
      <c r="D6" s="1280" t="s">
        <v>90</v>
      </c>
      <c r="E6" s="1294" t="s">
        <v>469</v>
      </c>
      <c r="F6" s="1280">
        <v>1102.0</v>
      </c>
      <c r="G6" s="1295" t="s">
        <v>86</v>
      </c>
      <c r="H6" s="1295">
        <v>1130.0</v>
      </c>
      <c r="I6" s="1284"/>
      <c r="J6" s="1284"/>
      <c r="K6" s="1032" t="str">
        <f>IFERROR(VLOOKUP(B5:B160,'RELATÓRIO ACC'!B:F,5,FALSE),"NOT PUBLISHED")</f>
        <v>NOT PUBLISHED</v>
      </c>
      <c r="L6" s="1285" t="str">
        <f>IFERROR(VLOOKUP(B5:B160,'RELATÓRIO ACC'!B:P,15,FALSE),"NOT PUBLISHED")</f>
        <v>NOT PUBLISHED</v>
      </c>
      <c r="M6" s="1281" t="s">
        <v>466</v>
      </c>
      <c r="N6" s="1040" t="s">
        <v>466</v>
      </c>
      <c r="O6" s="1286"/>
      <c r="P6" s="1287"/>
      <c r="Q6" s="1296" t="s">
        <v>466</v>
      </c>
      <c r="R6" s="1297" t="s">
        <v>462</v>
      </c>
      <c r="S6" s="1298" t="s">
        <v>466</v>
      </c>
      <c r="T6" s="1299" t="s">
        <v>466</v>
      </c>
      <c r="U6" s="1300" t="s">
        <v>462</v>
      </c>
      <c r="V6" s="1298" t="s">
        <v>466</v>
      </c>
      <c r="W6" s="1299" t="s">
        <v>466</v>
      </c>
      <c r="X6" s="1300" t="s">
        <v>462</v>
      </c>
      <c r="Y6" s="1301" t="s">
        <v>466</v>
      </c>
      <c r="Z6" s="1299" t="s">
        <v>466</v>
      </c>
      <c r="AA6" s="1300" t="s">
        <v>462</v>
      </c>
      <c r="AB6" s="1302" t="s">
        <v>466</v>
      </c>
      <c r="AC6" s="1299" t="s">
        <v>466</v>
      </c>
      <c r="AD6" s="1298" t="s">
        <v>462</v>
      </c>
      <c r="AE6" s="1302" t="s">
        <v>466</v>
      </c>
      <c r="AF6" s="1299" t="s">
        <v>466</v>
      </c>
      <c r="AG6" s="1298" t="s">
        <v>462</v>
      </c>
      <c r="AH6" s="1302" t="s">
        <v>466</v>
      </c>
      <c r="AI6" s="1296" t="s">
        <v>466</v>
      </c>
      <c r="AJ6" s="1298" t="s">
        <v>462</v>
      </c>
      <c r="AK6" s="1302" t="s">
        <v>466</v>
      </c>
      <c r="AL6" s="1281" t="s">
        <v>466</v>
      </c>
      <c r="AM6" s="1040" t="s">
        <v>462</v>
      </c>
      <c r="AN6" s="1289" t="s">
        <v>466</v>
      </c>
      <c r="AO6" s="1281" t="s">
        <v>466</v>
      </c>
      <c r="AP6" s="1040" t="s">
        <v>462</v>
      </c>
      <c r="AQ6" s="1289" t="s">
        <v>466</v>
      </c>
      <c r="AR6" s="1032" t="s">
        <v>466</v>
      </c>
      <c r="AS6" s="1031" t="s">
        <v>462</v>
      </c>
      <c r="AT6" s="1033" t="s">
        <v>466</v>
      </c>
      <c r="AU6" s="1281" t="s">
        <v>466</v>
      </c>
      <c r="AV6" s="1031" t="s">
        <v>462</v>
      </c>
      <c r="AW6" s="1281" t="s">
        <v>466</v>
      </c>
      <c r="AX6" s="1281" t="s">
        <v>466</v>
      </c>
      <c r="AY6" s="1031" t="s">
        <v>462</v>
      </c>
      <c r="AZ6" s="1281" t="s">
        <v>466</v>
      </c>
      <c r="BA6" s="1281" t="s">
        <v>466</v>
      </c>
      <c r="BB6" s="1031" t="s">
        <v>462</v>
      </c>
      <c r="BC6" s="1289" t="s">
        <v>466</v>
      </c>
      <c r="BD6" s="1290" t="s">
        <v>466</v>
      </c>
      <c r="BE6" s="1291" t="s">
        <v>462</v>
      </c>
      <c r="BF6" s="1303" t="s">
        <v>466</v>
      </c>
      <c r="BG6" s="1290" t="s">
        <v>466</v>
      </c>
      <c r="BH6" s="1291" t="s">
        <v>462</v>
      </c>
      <c r="BI6" s="1290" t="s">
        <v>466</v>
      </c>
      <c r="BJ6" s="1290" t="s">
        <v>466</v>
      </c>
      <c r="BK6" s="1291" t="s">
        <v>462</v>
      </c>
      <c r="BL6" s="1290" t="s">
        <v>466</v>
      </c>
      <c r="BM6" s="1293" t="s">
        <v>466</v>
      </c>
      <c r="BN6" s="1291" t="s">
        <v>462</v>
      </c>
      <c r="BO6" s="1293" t="s">
        <v>466</v>
      </c>
      <c r="BP6" s="1293" t="s">
        <v>466</v>
      </c>
      <c r="BQ6" s="1291" t="s">
        <v>462</v>
      </c>
      <c r="BR6" s="1293" t="s">
        <v>466</v>
      </c>
      <c r="BS6" s="1293" t="s">
        <v>466</v>
      </c>
      <c r="BT6" s="1291" t="s">
        <v>462</v>
      </c>
      <c r="BU6" s="1293" t="s">
        <v>466</v>
      </c>
      <c r="BV6" s="1290" t="s">
        <v>466</v>
      </c>
      <c r="BW6" s="1291" t="s">
        <v>462</v>
      </c>
      <c r="BX6" s="1292" t="s">
        <v>466</v>
      </c>
      <c r="BY6" s="1290" t="s">
        <v>466</v>
      </c>
      <c r="BZ6" s="1291" t="s">
        <v>462</v>
      </c>
      <c r="CA6" s="1290" t="s">
        <v>466</v>
      </c>
      <c r="CB6" s="1290" t="s">
        <v>466</v>
      </c>
      <c r="CC6" s="1291" t="s">
        <v>462</v>
      </c>
      <c r="CD6" s="1290" t="s">
        <v>466</v>
      </c>
      <c r="CE6" s="1290" t="s">
        <v>466</v>
      </c>
      <c r="CF6" s="1291" t="s">
        <v>462</v>
      </c>
      <c r="CG6" s="1293" t="s">
        <v>466</v>
      </c>
      <c r="CH6" s="1290" t="s">
        <v>466</v>
      </c>
      <c r="CI6" s="1291" t="s">
        <v>462</v>
      </c>
      <c r="CJ6" s="1293" t="s">
        <v>466</v>
      </c>
      <c r="CK6" s="1290" t="s">
        <v>466</v>
      </c>
      <c r="CL6" s="1291" t="s">
        <v>462</v>
      </c>
      <c r="CM6" s="1293" t="s">
        <v>466</v>
      </c>
      <c r="CN6" s="1290" t="s">
        <v>466</v>
      </c>
      <c r="CO6" s="1291" t="s">
        <v>462</v>
      </c>
      <c r="CP6" s="1293" t="s">
        <v>466</v>
      </c>
      <c r="CQ6" s="1290" t="s">
        <v>466</v>
      </c>
      <c r="CR6" s="1291" t="s">
        <v>462</v>
      </c>
      <c r="CS6" s="1293" t="s">
        <v>466</v>
      </c>
      <c r="CT6" s="1290" t="s">
        <v>466</v>
      </c>
      <c r="CU6" s="1291" t="s">
        <v>462</v>
      </c>
      <c r="CV6" s="1293" t="s">
        <v>466</v>
      </c>
      <c r="CW6" s="1290" t="s">
        <v>466</v>
      </c>
      <c r="CX6" s="1291" t="s">
        <v>462</v>
      </c>
      <c r="CY6" s="1293" t="s">
        <v>466</v>
      </c>
      <c r="CZ6" s="1290" t="s">
        <v>466</v>
      </c>
      <c r="DA6" s="1291" t="s">
        <v>462</v>
      </c>
      <c r="DB6" s="1293" t="s">
        <v>466</v>
      </c>
      <c r="DC6" s="1290" t="s">
        <v>466</v>
      </c>
      <c r="DD6" s="1291" t="s">
        <v>462</v>
      </c>
      <c r="DE6" s="1293" t="s">
        <v>466</v>
      </c>
      <c r="DF6" s="1290" t="s">
        <v>466</v>
      </c>
      <c r="DG6" s="1291" t="s">
        <v>462</v>
      </c>
      <c r="DH6" s="1293" t="s">
        <v>466</v>
      </c>
      <c r="DI6" s="1290" t="s">
        <v>466</v>
      </c>
      <c r="DJ6" s="1291" t="s">
        <v>462</v>
      </c>
      <c r="DK6" s="1290" t="s">
        <v>466</v>
      </c>
      <c r="DL6" s="1290" t="s">
        <v>466</v>
      </c>
      <c r="DM6" s="1291" t="s">
        <v>462</v>
      </c>
      <c r="DN6" s="1290" t="s">
        <v>466</v>
      </c>
      <c r="DO6" s="1290" t="s">
        <v>466</v>
      </c>
      <c r="DP6" s="1291" t="s">
        <v>462</v>
      </c>
      <c r="DQ6" s="1290" t="s">
        <v>466</v>
      </c>
      <c r="DR6" s="1290" t="s">
        <v>466</v>
      </c>
      <c r="DS6" s="1291" t="s">
        <v>462</v>
      </c>
      <c r="DT6" s="1290" t="s">
        <v>466</v>
      </c>
      <c r="DU6" s="1290" t="s">
        <v>466</v>
      </c>
      <c r="DV6" s="1291" t="s">
        <v>462</v>
      </c>
      <c r="DW6" s="1290" t="s">
        <v>466</v>
      </c>
      <c r="DX6" s="68"/>
      <c r="DY6" s="68"/>
      <c r="DZ6" s="68"/>
    </row>
    <row r="7" ht="15.0" customHeight="1" outlineLevel="1">
      <c r="A7" s="1262">
        <v>8.0</v>
      </c>
      <c r="B7" s="1278" t="s">
        <v>852</v>
      </c>
      <c r="C7" s="1279"/>
      <c r="D7" s="1280" t="s">
        <v>90</v>
      </c>
      <c r="E7" s="1294" t="s">
        <v>94</v>
      </c>
      <c r="F7" s="1280">
        <v>1103.0</v>
      </c>
      <c r="G7" s="1295" t="s">
        <v>86</v>
      </c>
      <c r="H7" s="1295">
        <v>1130.0</v>
      </c>
      <c r="I7" s="1284"/>
      <c r="J7" s="1284"/>
      <c r="K7" s="1032" t="str">
        <f>IFERROR(VLOOKUP(B6:B161,'RELATÓRIO ACC'!B:F,5,FALSE),"NOT PUBLISHED")</f>
        <v>NOT PUBLISHED</v>
      </c>
      <c r="L7" s="1285" t="str">
        <f>IFERROR(VLOOKUP(B6:B161,'RELATÓRIO ACC'!B:P,15,FALSE),"NOT PUBLISHED")</f>
        <v>NOT PUBLISHED</v>
      </c>
      <c r="M7" s="1281" t="s">
        <v>466</v>
      </c>
      <c r="N7" s="1304" t="s">
        <v>466</v>
      </c>
      <c r="O7" s="1305"/>
      <c r="P7" s="1287"/>
      <c r="Q7" s="1281" t="s">
        <v>466</v>
      </c>
      <c r="R7" s="1280" t="s">
        <v>462</v>
      </c>
      <c r="S7" s="1306" t="s">
        <v>466</v>
      </c>
      <c r="T7" s="1040" t="s">
        <v>466</v>
      </c>
      <c r="U7" s="1031" t="s">
        <v>462</v>
      </c>
      <c r="V7" s="1040" t="s">
        <v>466</v>
      </c>
      <c r="W7" s="1032" t="s">
        <v>466</v>
      </c>
      <c r="X7" s="1031" t="s">
        <v>462</v>
      </c>
      <c r="Y7" s="1307" t="s">
        <v>466</v>
      </c>
      <c r="Z7" s="1032" t="s">
        <v>466</v>
      </c>
      <c r="AA7" s="1031" t="s">
        <v>462</v>
      </c>
      <c r="AB7" s="1289" t="s">
        <v>466</v>
      </c>
      <c r="AC7" s="1032" t="s">
        <v>466</v>
      </c>
      <c r="AD7" s="1031" t="s">
        <v>462</v>
      </c>
      <c r="AE7" s="1289" t="s">
        <v>466</v>
      </c>
      <c r="AF7" s="1032" t="s">
        <v>466</v>
      </c>
      <c r="AG7" s="1031" t="s">
        <v>462</v>
      </c>
      <c r="AH7" s="1289" t="s">
        <v>466</v>
      </c>
      <c r="AI7" s="1032" t="s">
        <v>466</v>
      </c>
      <c r="AJ7" s="1031" t="s">
        <v>462</v>
      </c>
      <c r="AK7" s="1289" t="s">
        <v>466</v>
      </c>
      <c r="AL7" s="1032" t="s">
        <v>466</v>
      </c>
      <c r="AM7" s="1031" t="s">
        <v>462</v>
      </c>
      <c r="AN7" s="1289" t="s">
        <v>466</v>
      </c>
      <c r="AO7" s="1032" t="s">
        <v>466</v>
      </c>
      <c r="AP7" s="1031" t="s">
        <v>462</v>
      </c>
      <c r="AQ7" s="1289" t="s">
        <v>466</v>
      </c>
      <c r="AR7" s="1032" t="s">
        <v>466</v>
      </c>
      <c r="AS7" s="1031" t="s">
        <v>462</v>
      </c>
      <c r="AT7" s="1289" t="s">
        <v>466</v>
      </c>
      <c r="AU7" s="1032" t="s">
        <v>466</v>
      </c>
      <c r="AV7" s="1031" t="s">
        <v>462</v>
      </c>
      <c r="AW7" s="1289" t="s">
        <v>466</v>
      </c>
      <c r="AX7" s="1032" t="s">
        <v>466</v>
      </c>
      <c r="AY7" s="1031" t="s">
        <v>462</v>
      </c>
      <c r="AZ7" s="1289" t="s">
        <v>466</v>
      </c>
      <c r="BA7" s="1281" t="s">
        <v>466</v>
      </c>
      <c r="BB7" s="1031" t="s">
        <v>462</v>
      </c>
      <c r="BC7" s="1289" t="s">
        <v>466</v>
      </c>
      <c r="BD7" s="1290" t="s">
        <v>466</v>
      </c>
      <c r="BE7" s="1291" t="s">
        <v>462</v>
      </c>
      <c r="BF7" s="1303" t="s">
        <v>466</v>
      </c>
      <c r="BG7" s="1290" t="s">
        <v>466</v>
      </c>
      <c r="BH7" s="1291" t="s">
        <v>462</v>
      </c>
      <c r="BI7" s="1290" t="s">
        <v>466</v>
      </c>
      <c r="BJ7" s="1290" t="s">
        <v>466</v>
      </c>
      <c r="BK7" s="1291" t="s">
        <v>462</v>
      </c>
      <c r="BL7" s="1290" t="s">
        <v>466</v>
      </c>
      <c r="BM7" s="1290" t="s">
        <v>466</v>
      </c>
      <c r="BN7" s="1291" t="s">
        <v>462</v>
      </c>
      <c r="BO7" s="1290" t="s">
        <v>466</v>
      </c>
      <c r="BP7" s="1290" t="s">
        <v>466</v>
      </c>
      <c r="BQ7" s="1291" t="s">
        <v>462</v>
      </c>
      <c r="BR7" s="1290" t="s">
        <v>466</v>
      </c>
      <c r="BS7" s="1290" t="s">
        <v>466</v>
      </c>
      <c r="BT7" s="1291" t="s">
        <v>462</v>
      </c>
      <c r="BU7" s="1290" t="s">
        <v>466</v>
      </c>
      <c r="BV7" s="1290" t="s">
        <v>466</v>
      </c>
      <c r="BW7" s="1291" t="s">
        <v>462</v>
      </c>
      <c r="BX7" s="1290" t="s">
        <v>466</v>
      </c>
      <c r="BY7" s="1290" t="s">
        <v>466</v>
      </c>
      <c r="BZ7" s="1291" t="s">
        <v>462</v>
      </c>
      <c r="CA7" s="1290" t="s">
        <v>466</v>
      </c>
      <c r="CB7" s="1290" t="s">
        <v>466</v>
      </c>
      <c r="CC7" s="1291" t="s">
        <v>462</v>
      </c>
      <c r="CD7" s="1290" t="s">
        <v>466</v>
      </c>
      <c r="CE7" s="1290" t="s">
        <v>466</v>
      </c>
      <c r="CF7" s="1291" t="s">
        <v>462</v>
      </c>
      <c r="CG7" s="1293" t="s">
        <v>466</v>
      </c>
      <c r="CH7" s="1290" t="s">
        <v>466</v>
      </c>
      <c r="CI7" s="1291" t="s">
        <v>462</v>
      </c>
      <c r="CJ7" s="1293" t="s">
        <v>466</v>
      </c>
      <c r="CK7" s="1290" t="s">
        <v>466</v>
      </c>
      <c r="CL7" s="1291" t="s">
        <v>462</v>
      </c>
      <c r="CM7" s="1293" t="s">
        <v>466</v>
      </c>
      <c r="CN7" s="1290" t="s">
        <v>466</v>
      </c>
      <c r="CO7" s="1291" t="s">
        <v>462</v>
      </c>
      <c r="CP7" s="1293" t="s">
        <v>466</v>
      </c>
      <c r="CQ7" s="1290" t="s">
        <v>466</v>
      </c>
      <c r="CR7" s="1291" t="s">
        <v>462</v>
      </c>
      <c r="CS7" s="1293" t="s">
        <v>466</v>
      </c>
      <c r="CT7" s="1290" t="s">
        <v>466</v>
      </c>
      <c r="CU7" s="1291" t="s">
        <v>462</v>
      </c>
      <c r="CV7" s="1293" t="s">
        <v>466</v>
      </c>
      <c r="CW7" s="1290" t="s">
        <v>466</v>
      </c>
      <c r="CX7" s="1291" t="s">
        <v>462</v>
      </c>
      <c r="CY7" s="1293" t="s">
        <v>466</v>
      </c>
      <c r="CZ7" s="1290" t="s">
        <v>466</v>
      </c>
      <c r="DA7" s="1291" t="s">
        <v>462</v>
      </c>
      <c r="DB7" s="1293" t="s">
        <v>466</v>
      </c>
      <c r="DC7" s="1290" t="s">
        <v>466</v>
      </c>
      <c r="DD7" s="1291" t="s">
        <v>462</v>
      </c>
      <c r="DE7" s="1293" t="s">
        <v>466</v>
      </c>
      <c r="DF7" s="1290" t="s">
        <v>466</v>
      </c>
      <c r="DG7" s="1291" t="s">
        <v>462</v>
      </c>
      <c r="DH7" s="1293" t="s">
        <v>466</v>
      </c>
      <c r="DI7" s="1290" t="s">
        <v>466</v>
      </c>
      <c r="DJ7" s="1291" t="s">
        <v>462</v>
      </c>
      <c r="DK7" s="1293" t="s">
        <v>466</v>
      </c>
      <c r="DL7" s="1290" t="s">
        <v>466</v>
      </c>
      <c r="DM7" s="1291" t="s">
        <v>462</v>
      </c>
      <c r="DN7" s="1293" t="s">
        <v>466</v>
      </c>
      <c r="DO7" s="1290" t="s">
        <v>466</v>
      </c>
      <c r="DP7" s="1291" t="s">
        <v>462</v>
      </c>
      <c r="DQ7" s="1293" t="s">
        <v>466</v>
      </c>
      <c r="DR7" s="1290" t="s">
        <v>466</v>
      </c>
      <c r="DS7" s="1291" t="s">
        <v>462</v>
      </c>
      <c r="DT7" s="1293" t="s">
        <v>466</v>
      </c>
      <c r="DU7" s="1290" t="s">
        <v>466</v>
      </c>
      <c r="DV7" s="1291" t="s">
        <v>462</v>
      </c>
      <c r="DW7" s="1293" t="s">
        <v>466</v>
      </c>
      <c r="DX7" s="68"/>
      <c r="DY7" s="68"/>
      <c r="DZ7" s="68"/>
    </row>
    <row r="8" ht="15.0" customHeight="1" outlineLevel="1">
      <c r="A8" s="1262">
        <v>17.0</v>
      </c>
      <c r="B8" s="1278" t="s">
        <v>853</v>
      </c>
      <c r="C8" s="1279"/>
      <c r="D8" s="1280" t="s">
        <v>90</v>
      </c>
      <c r="E8" s="1294" t="s">
        <v>114</v>
      </c>
      <c r="F8" s="1282">
        <v>1106.0</v>
      </c>
      <c r="G8" s="1295" t="s">
        <v>288</v>
      </c>
      <c r="H8" s="1283">
        <v>0.0</v>
      </c>
      <c r="I8" s="1284"/>
      <c r="J8" s="1284"/>
      <c r="K8" s="1032" t="str">
        <f>IFERROR(VLOOKUP(B7:B162,'RELATÓRIO ACC'!B:F,5,FALSE),"NOT PUBLISHED")</f>
        <v>NOT PUBLISHED</v>
      </c>
      <c r="L8" s="1285" t="str">
        <f>IFERROR(VLOOKUP(B7:B162,'RELATÓRIO ACC'!B:P,15,FALSE),"NOT PUBLISHED")</f>
        <v>NOT PUBLISHED</v>
      </c>
      <c r="M8" s="1281" t="s">
        <v>466</v>
      </c>
      <c r="N8" s="1281" t="s">
        <v>466</v>
      </c>
      <c r="O8" s="1286"/>
      <c r="P8" s="1287"/>
      <c r="Q8" s="1281" t="s">
        <v>466</v>
      </c>
      <c r="R8" s="1280" t="s">
        <v>462</v>
      </c>
      <c r="S8" s="1281" t="s">
        <v>466</v>
      </c>
      <c r="T8" s="1032" t="s">
        <v>466</v>
      </c>
      <c r="U8" s="1031" t="s">
        <v>462</v>
      </c>
      <c r="V8" s="1281" t="s">
        <v>466</v>
      </c>
      <c r="W8" s="1032" t="s">
        <v>466</v>
      </c>
      <c r="X8" s="1031" t="s">
        <v>462</v>
      </c>
      <c r="Y8" s="1281" t="s">
        <v>466</v>
      </c>
      <c r="Z8" s="1032" t="s">
        <v>466</v>
      </c>
      <c r="AA8" s="1031" t="s">
        <v>462</v>
      </c>
      <c r="AB8" s="1281" t="s">
        <v>466</v>
      </c>
      <c r="AC8" s="1032" t="s">
        <v>466</v>
      </c>
      <c r="AD8" s="1031" t="s">
        <v>462</v>
      </c>
      <c r="AE8" s="1281" t="s">
        <v>466</v>
      </c>
      <c r="AF8" s="1032" t="s">
        <v>466</v>
      </c>
      <c r="AG8" s="1031" t="s">
        <v>462</v>
      </c>
      <c r="AH8" s="1281" t="s">
        <v>466</v>
      </c>
      <c r="AI8" s="1032" t="s">
        <v>466</v>
      </c>
      <c r="AJ8" s="1031" t="s">
        <v>462</v>
      </c>
      <c r="AK8" s="1281" t="s">
        <v>466</v>
      </c>
      <c r="AL8" s="1032" t="s">
        <v>466</v>
      </c>
      <c r="AM8" s="1031" t="s">
        <v>462</v>
      </c>
      <c r="AN8" s="1281" t="s">
        <v>466</v>
      </c>
      <c r="AO8" s="1032" t="s">
        <v>466</v>
      </c>
      <c r="AP8" s="1031" t="s">
        <v>462</v>
      </c>
      <c r="AQ8" s="1281" t="s">
        <v>466</v>
      </c>
      <c r="AR8" s="1032" t="s">
        <v>466</v>
      </c>
      <c r="AS8" s="1031" t="s">
        <v>462</v>
      </c>
      <c r="AT8" s="1281" t="s">
        <v>466</v>
      </c>
      <c r="AU8" s="1032" t="s">
        <v>466</v>
      </c>
      <c r="AV8" s="1031" t="s">
        <v>462</v>
      </c>
      <c r="AW8" s="1281" t="s">
        <v>466</v>
      </c>
      <c r="AX8" s="1032" t="s">
        <v>466</v>
      </c>
      <c r="AY8" s="1031" t="s">
        <v>462</v>
      </c>
      <c r="AZ8" s="1281" t="s">
        <v>466</v>
      </c>
      <c r="BA8" s="1032" t="s">
        <v>466</v>
      </c>
      <c r="BB8" s="1031" t="s">
        <v>462</v>
      </c>
      <c r="BC8" s="1281" t="s">
        <v>466</v>
      </c>
      <c r="BD8" s="1290" t="s">
        <v>466</v>
      </c>
      <c r="BE8" s="1291" t="s">
        <v>462</v>
      </c>
      <c r="BF8" s="1303" t="s">
        <v>466</v>
      </c>
      <c r="BG8" s="1290" t="s">
        <v>466</v>
      </c>
      <c r="BH8" s="1291" t="s">
        <v>462</v>
      </c>
      <c r="BI8" s="1303" t="s">
        <v>466</v>
      </c>
      <c r="BJ8" s="1290" t="s">
        <v>466</v>
      </c>
      <c r="BK8" s="1291" t="s">
        <v>462</v>
      </c>
      <c r="BL8" s="1303" t="s">
        <v>466</v>
      </c>
      <c r="BM8" s="1290" t="s">
        <v>466</v>
      </c>
      <c r="BN8" s="1291" t="s">
        <v>462</v>
      </c>
      <c r="BO8" s="1303" t="s">
        <v>466</v>
      </c>
      <c r="BP8" s="1290" t="s">
        <v>466</v>
      </c>
      <c r="BQ8" s="1291" t="s">
        <v>462</v>
      </c>
      <c r="BR8" s="1303" t="s">
        <v>466</v>
      </c>
      <c r="BS8" s="1290" t="s">
        <v>466</v>
      </c>
      <c r="BT8" s="1291" t="s">
        <v>462</v>
      </c>
      <c r="BU8" s="1303" t="s">
        <v>466</v>
      </c>
      <c r="BV8" s="1290" t="s">
        <v>466</v>
      </c>
      <c r="BW8" s="1291" t="s">
        <v>462</v>
      </c>
      <c r="BX8" s="1303" t="s">
        <v>466</v>
      </c>
      <c r="BY8" s="1290" t="s">
        <v>466</v>
      </c>
      <c r="BZ8" s="1291" t="s">
        <v>462</v>
      </c>
      <c r="CA8" s="1303" t="s">
        <v>466</v>
      </c>
      <c r="CB8" s="1290" t="s">
        <v>466</v>
      </c>
      <c r="CC8" s="1291" t="s">
        <v>462</v>
      </c>
      <c r="CD8" s="1303" t="s">
        <v>466</v>
      </c>
      <c r="CE8" s="1290" t="s">
        <v>466</v>
      </c>
      <c r="CF8" s="1291" t="s">
        <v>462</v>
      </c>
      <c r="CG8" s="1303" t="s">
        <v>466</v>
      </c>
      <c r="CH8" s="1290" t="s">
        <v>466</v>
      </c>
      <c r="CI8" s="1291" t="s">
        <v>462</v>
      </c>
      <c r="CJ8" s="1303" t="s">
        <v>466</v>
      </c>
      <c r="CK8" s="1290" t="s">
        <v>466</v>
      </c>
      <c r="CL8" s="1291" t="s">
        <v>462</v>
      </c>
      <c r="CM8" s="1303" t="s">
        <v>466</v>
      </c>
      <c r="CN8" s="1290" t="s">
        <v>466</v>
      </c>
      <c r="CO8" s="1291" t="s">
        <v>462</v>
      </c>
      <c r="CP8" s="1303" t="s">
        <v>466</v>
      </c>
      <c r="CQ8" s="1290" t="s">
        <v>466</v>
      </c>
      <c r="CR8" s="1291" t="s">
        <v>462</v>
      </c>
      <c r="CS8" s="1303" t="s">
        <v>466</v>
      </c>
      <c r="CT8" s="1290" t="s">
        <v>466</v>
      </c>
      <c r="CU8" s="1291" t="s">
        <v>462</v>
      </c>
      <c r="CV8" s="1303" t="s">
        <v>466</v>
      </c>
      <c r="CW8" s="1290" t="s">
        <v>466</v>
      </c>
      <c r="CX8" s="1291" t="s">
        <v>462</v>
      </c>
      <c r="CY8" s="1303" t="s">
        <v>466</v>
      </c>
      <c r="CZ8" s="1290" t="s">
        <v>466</v>
      </c>
      <c r="DA8" s="1291" t="s">
        <v>462</v>
      </c>
      <c r="DB8" s="1303" t="s">
        <v>466</v>
      </c>
      <c r="DC8" s="1290" t="s">
        <v>466</v>
      </c>
      <c r="DD8" s="1291" t="s">
        <v>462</v>
      </c>
      <c r="DE8" s="1303" t="s">
        <v>466</v>
      </c>
      <c r="DF8" s="1290" t="s">
        <v>466</v>
      </c>
      <c r="DG8" s="1291" t="s">
        <v>462</v>
      </c>
      <c r="DH8" s="1303" t="s">
        <v>466</v>
      </c>
      <c r="DI8" s="1290" t="s">
        <v>466</v>
      </c>
      <c r="DJ8" s="1291" t="s">
        <v>462</v>
      </c>
      <c r="DK8" s="1303" t="s">
        <v>466</v>
      </c>
      <c r="DL8" s="1290" t="s">
        <v>466</v>
      </c>
      <c r="DM8" s="1291" t="s">
        <v>462</v>
      </c>
      <c r="DN8" s="1303" t="s">
        <v>466</v>
      </c>
      <c r="DO8" s="1290" t="s">
        <v>466</v>
      </c>
      <c r="DP8" s="1291" t="s">
        <v>462</v>
      </c>
      <c r="DQ8" s="1303" t="s">
        <v>466</v>
      </c>
      <c r="DR8" s="1290" t="s">
        <v>466</v>
      </c>
      <c r="DS8" s="1291" t="s">
        <v>462</v>
      </c>
      <c r="DT8" s="1303" t="s">
        <v>466</v>
      </c>
      <c r="DU8" s="1290" t="s">
        <v>466</v>
      </c>
      <c r="DV8" s="1291" t="s">
        <v>462</v>
      </c>
      <c r="DW8" s="1303" t="s">
        <v>466</v>
      </c>
      <c r="DX8" s="135"/>
      <c r="DY8" s="135"/>
      <c r="DZ8" s="135"/>
    </row>
    <row r="9" ht="15.0" customHeight="1" outlineLevel="1">
      <c r="A9" s="1262">
        <v>19.0</v>
      </c>
      <c r="B9" s="1278" t="s">
        <v>120</v>
      </c>
      <c r="C9" s="1279"/>
      <c r="D9" s="1280" t="s">
        <v>90</v>
      </c>
      <c r="E9" s="1294" t="s">
        <v>118</v>
      </c>
      <c r="F9" s="1308">
        <v>1107.0</v>
      </c>
      <c r="G9" s="1294" t="s">
        <v>119</v>
      </c>
      <c r="H9" s="1283">
        <v>0.0</v>
      </c>
      <c r="I9" s="1284"/>
      <c r="J9" s="1284"/>
      <c r="K9" s="1032" t="str">
        <f>IFERROR(VLOOKUP(B8:B163,'RELATÓRIO ACC'!B:F,5,FALSE),"NOT PUBLISHED")</f>
        <v>NOT PUBLISHED</v>
      </c>
      <c r="L9" s="1285" t="str">
        <f>IFERROR(VLOOKUP(B8:B163,'RELATÓRIO ACC'!B:P,15,FALSE),"NOT PUBLISHED")</f>
        <v>NOT PUBLISHED</v>
      </c>
      <c r="M9" s="1281" t="s">
        <v>466</v>
      </c>
      <c r="N9" s="1309" t="s">
        <v>466</v>
      </c>
      <c r="O9" s="1310"/>
      <c r="P9" s="1287"/>
      <c r="Q9" s="1281" t="s">
        <v>466</v>
      </c>
      <c r="R9" s="1280" t="s">
        <v>462</v>
      </c>
      <c r="S9" s="1311" t="s">
        <v>466</v>
      </c>
      <c r="T9" s="1032" t="s">
        <v>466</v>
      </c>
      <c r="U9" s="1031" t="s">
        <v>462</v>
      </c>
      <c r="V9" s="1306" t="s">
        <v>466</v>
      </c>
      <c r="W9" s="1032" t="s">
        <v>466</v>
      </c>
      <c r="X9" s="1031" t="s">
        <v>462</v>
      </c>
      <c r="Y9" s="1307" t="s">
        <v>466</v>
      </c>
      <c r="Z9" s="1032" t="s">
        <v>466</v>
      </c>
      <c r="AA9" s="1031" t="s">
        <v>462</v>
      </c>
      <c r="AB9" s="1289" t="s">
        <v>466</v>
      </c>
      <c r="AC9" s="1032" t="s">
        <v>466</v>
      </c>
      <c r="AD9" s="1031" t="s">
        <v>462</v>
      </c>
      <c r="AE9" s="1312" t="s">
        <v>466</v>
      </c>
      <c r="AF9" s="1281" t="s">
        <v>466</v>
      </c>
      <c r="AG9" s="1031" t="s">
        <v>462</v>
      </c>
      <c r="AH9" s="1311" t="s">
        <v>466</v>
      </c>
      <c r="AI9" s="1281" t="s">
        <v>466</v>
      </c>
      <c r="AJ9" s="1031" t="s">
        <v>462</v>
      </c>
      <c r="AK9" s="1311" t="s">
        <v>466</v>
      </c>
      <c r="AL9" s="1281" t="s">
        <v>466</v>
      </c>
      <c r="AM9" s="1031" t="s">
        <v>462</v>
      </c>
      <c r="AN9" s="1281" t="s">
        <v>466</v>
      </c>
      <c r="AO9" s="1281" t="s">
        <v>466</v>
      </c>
      <c r="AP9" s="1031" t="s">
        <v>462</v>
      </c>
      <c r="AQ9" s="1281" t="s">
        <v>466</v>
      </c>
      <c r="AR9" s="1032" t="s">
        <v>466</v>
      </c>
      <c r="AS9" s="1031" t="s">
        <v>462</v>
      </c>
      <c r="AT9" s="1281" t="s">
        <v>466</v>
      </c>
      <c r="AU9" s="1032" t="s">
        <v>466</v>
      </c>
      <c r="AV9" s="1031" t="s">
        <v>462</v>
      </c>
      <c r="AW9" s="1281" t="s">
        <v>466</v>
      </c>
      <c r="AX9" s="1032" t="s">
        <v>466</v>
      </c>
      <c r="AY9" s="1031" t="s">
        <v>462</v>
      </c>
      <c r="AZ9" s="1281" t="s">
        <v>466</v>
      </c>
      <c r="BA9" s="1032" t="s">
        <v>466</v>
      </c>
      <c r="BB9" s="1031" t="s">
        <v>462</v>
      </c>
      <c r="BC9" s="1281" t="s">
        <v>466</v>
      </c>
      <c r="BD9" s="1290" t="s">
        <v>466</v>
      </c>
      <c r="BE9" s="1291" t="s">
        <v>462</v>
      </c>
      <c r="BF9" s="1303" t="s">
        <v>466</v>
      </c>
      <c r="BG9" s="1290" t="s">
        <v>466</v>
      </c>
      <c r="BH9" s="1291" t="s">
        <v>462</v>
      </c>
      <c r="BI9" s="1303" t="s">
        <v>466</v>
      </c>
      <c r="BJ9" s="1290" t="s">
        <v>466</v>
      </c>
      <c r="BK9" s="1291" t="s">
        <v>462</v>
      </c>
      <c r="BL9" s="1303" t="s">
        <v>466</v>
      </c>
      <c r="BM9" s="1290" t="s">
        <v>466</v>
      </c>
      <c r="BN9" s="1291" t="s">
        <v>462</v>
      </c>
      <c r="BO9" s="1303" t="s">
        <v>466</v>
      </c>
      <c r="BP9" s="1290" t="s">
        <v>466</v>
      </c>
      <c r="BQ9" s="1291" t="s">
        <v>462</v>
      </c>
      <c r="BR9" s="1303" t="s">
        <v>466</v>
      </c>
      <c r="BS9" s="1290" t="s">
        <v>466</v>
      </c>
      <c r="BT9" s="1291" t="s">
        <v>462</v>
      </c>
      <c r="BU9" s="1303" t="s">
        <v>466</v>
      </c>
      <c r="BV9" s="1290" t="s">
        <v>466</v>
      </c>
      <c r="BW9" s="1291" t="s">
        <v>462</v>
      </c>
      <c r="BX9" s="1303" t="s">
        <v>466</v>
      </c>
      <c r="BY9" s="1290" t="s">
        <v>466</v>
      </c>
      <c r="BZ9" s="1291" t="s">
        <v>462</v>
      </c>
      <c r="CA9" s="1303" t="s">
        <v>466</v>
      </c>
      <c r="CB9" s="1290" t="s">
        <v>466</v>
      </c>
      <c r="CC9" s="1291" t="s">
        <v>462</v>
      </c>
      <c r="CD9" s="1303" t="s">
        <v>466</v>
      </c>
      <c r="CE9" s="1290" t="s">
        <v>466</v>
      </c>
      <c r="CF9" s="1291" t="s">
        <v>462</v>
      </c>
      <c r="CG9" s="1303" t="s">
        <v>466</v>
      </c>
      <c r="CH9" s="1290" t="s">
        <v>466</v>
      </c>
      <c r="CI9" s="1291" t="s">
        <v>462</v>
      </c>
      <c r="CJ9" s="1303" t="s">
        <v>466</v>
      </c>
      <c r="CK9" s="1290" t="s">
        <v>466</v>
      </c>
      <c r="CL9" s="1291" t="s">
        <v>462</v>
      </c>
      <c r="CM9" s="1303" t="s">
        <v>466</v>
      </c>
      <c r="CN9" s="1290" t="s">
        <v>466</v>
      </c>
      <c r="CO9" s="1291" t="s">
        <v>462</v>
      </c>
      <c r="CP9" s="1303" t="s">
        <v>466</v>
      </c>
      <c r="CQ9" s="1290" t="s">
        <v>466</v>
      </c>
      <c r="CR9" s="1291" t="s">
        <v>462</v>
      </c>
      <c r="CS9" s="1303" t="s">
        <v>466</v>
      </c>
      <c r="CT9" s="1290" t="s">
        <v>466</v>
      </c>
      <c r="CU9" s="1291" t="s">
        <v>462</v>
      </c>
      <c r="CV9" s="1303" t="s">
        <v>466</v>
      </c>
      <c r="CW9" s="1290" t="s">
        <v>466</v>
      </c>
      <c r="CX9" s="1291" t="s">
        <v>462</v>
      </c>
      <c r="CY9" s="1303" t="s">
        <v>466</v>
      </c>
      <c r="CZ9" s="1290" t="s">
        <v>466</v>
      </c>
      <c r="DA9" s="1291" t="s">
        <v>462</v>
      </c>
      <c r="DB9" s="1303" t="s">
        <v>466</v>
      </c>
      <c r="DC9" s="1290" t="s">
        <v>466</v>
      </c>
      <c r="DD9" s="1291" t="s">
        <v>462</v>
      </c>
      <c r="DE9" s="1303" t="s">
        <v>466</v>
      </c>
      <c r="DF9" s="1290" t="s">
        <v>466</v>
      </c>
      <c r="DG9" s="1291" t="s">
        <v>462</v>
      </c>
      <c r="DH9" s="1303" t="s">
        <v>466</v>
      </c>
      <c r="DI9" s="1290" t="s">
        <v>466</v>
      </c>
      <c r="DJ9" s="1291" t="s">
        <v>462</v>
      </c>
      <c r="DK9" s="1303" t="s">
        <v>466</v>
      </c>
      <c r="DL9" s="1290" t="s">
        <v>466</v>
      </c>
      <c r="DM9" s="1291" t="s">
        <v>462</v>
      </c>
      <c r="DN9" s="1303" t="s">
        <v>466</v>
      </c>
      <c r="DO9" s="1290" t="s">
        <v>466</v>
      </c>
      <c r="DP9" s="1291" t="s">
        <v>462</v>
      </c>
      <c r="DQ9" s="1303" t="s">
        <v>466</v>
      </c>
      <c r="DR9" s="1290" t="s">
        <v>466</v>
      </c>
      <c r="DS9" s="1291" t="s">
        <v>462</v>
      </c>
      <c r="DT9" s="1303" t="s">
        <v>466</v>
      </c>
      <c r="DU9" s="1290" t="s">
        <v>466</v>
      </c>
      <c r="DV9" s="1291" t="s">
        <v>462</v>
      </c>
      <c r="DW9" s="1303" t="s">
        <v>466</v>
      </c>
      <c r="DX9" s="68"/>
      <c r="DY9" s="68"/>
      <c r="DZ9" s="68"/>
    </row>
    <row r="10" outlineLevel="1">
      <c r="A10" s="1262">
        <v>28.0</v>
      </c>
      <c r="B10" s="1278" t="s">
        <v>149</v>
      </c>
      <c r="C10" s="1279"/>
      <c r="D10" s="1280" t="s">
        <v>90</v>
      </c>
      <c r="E10" s="1294" t="s">
        <v>151</v>
      </c>
      <c r="F10" s="1282">
        <v>0.0</v>
      </c>
      <c r="G10" s="1283" t="s">
        <v>115</v>
      </c>
      <c r="H10" s="1313"/>
      <c r="I10" s="1284"/>
      <c r="J10" s="1284"/>
      <c r="K10" s="1032" t="str">
        <f>IFERROR(VLOOKUP(B9:B164,'RELATÓRIO ACC'!B:F,5,FALSE),"NOT PUBLISHED")</f>
        <v>NOT PUBLISHED</v>
      </c>
      <c r="L10" s="1285" t="str">
        <f>IFERROR(VLOOKUP(B9:B164,'RELATÓRIO ACC'!B:P,15,FALSE),"NOT PUBLISHED")</f>
        <v>NOT PUBLISHED</v>
      </c>
      <c r="M10" s="1281" t="s">
        <v>466</v>
      </c>
      <c r="N10" s="1281" t="s">
        <v>466</v>
      </c>
      <c r="O10" s="1286"/>
      <c r="P10" s="1287"/>
      <c r="Q10" s="1281" t="s">
        <v>466</v>
      </c>
      <c r="R10" s="1280" t="s">
        <v>462</v>
      </c>
      <c r="S10" s="1281" t="s">
        <v>466</v>
      </c>
      <c r="T10" s="1032" t="s">
        <v>466</v>
      </c>
      <c r="U10" s="1280" t="s">
        <v>462</v>
      </c>
      <c r="V10" s="1281" t="s">
        <v>466</v>
      </c>
      <c r="W10" s="1032" t="s">
        <v>466</v>
      </c>
      <c r="X10" s="1031" t="s">
        <v>462</v>
      </c>
      <c r="Y10" s="1281" t="s">
        <v>466</v>
      </c>
      <c r="Z10" s="1032" t="s">
        <v>466</v>
      </c>
      <c r="AA10" s="1031" t="s">
        <v>462</v>
      </c>
      <c r="AB10" s="1281" t="s">
        <v>466</v>
      </c>
      <c r="AC10" s="1032" t="s">
        <v>466</v>
      </c>
      <c r="AD10" s="1031" t="s">
        <v>462</v>
      </c>
      <c r="AE10" s="1281" t="s">
        <v>466</v>
      </c>
      <c r="AF10" s="1032" t="s">
        <v>466</v>
      </c>
      <c r="AG10" s="1031" t="s">
        <v>462</v>
      </c>
      <c r="AH10" s="1281" t="s">
        <v>466</v>
      </c>
      <c r="AI10" s="1032" t="s">
        <v>466</v>
      </c>
      <c r="AJ10" s="1031" t="s">
        <v>462</v>
      </c>
      <c r="AK10" s="1281" t="s">
        <v>466</v>
      </c>
      <c r="AL10" s="1032" t="s">
        <v>466</v>
      </c>
      <c r="AM10" s="1031" t="s">
        <v>462</v>
      </c>
      <c r="AN10" s="1281" t="s">
        <v>466</v>
      </c>
      <c r="AO10" s="1032" t="s">
        <v>466</v>
      </c>
      <c r="AP10" s="1031" t="s">
        <v>462</v>
      </c>
      <c r="AQ10" s="1281" t="s">
        <v>466</v>
      </c>
      <c r="AR10" s="1032" t="s">
        <v>466</v>
      </c>
      <c r="AS10" s="1031" t="s">
        <v>462</v>
      </c>
      <c r="AT10" s="1281" t="s">
        <v>466</v>
      </c>
      <c r="AU10" s="1032" t="s">
        <v>466</v>
      </c>
      <c r="AV10" s="1031" t="s">
        <v>462</v>
      </c>
      <c r="AW10" s="1281" t="s">
        <v>466</v>
      </c>
      <c r="AX10" s="1032" t="s">
        <v>466</v>
      </c>
      <c r="AY10" s="1031" t="s">
        <v>462</v>
      </c>
      <c r="AZ10" s="1281" t="s">
        <v>466</v>
      </c>
      <c r="BA10" s="1032" t="s">
        <v>466</v>
      </c>
      <c r="BB10" s="1031" t="s">
        <v>462</v>
      </c>
      <c r="BC10" s="1281" t="s">
        <v>466</v>
      </c>
      <c r="BD10" s="1290" t="s">
        <v>466</v>
      </c>
      <c r="BE10" s="1291" t="s">
        <v>462</v>
      </c>
      <c r="BF10" s="1303" t="s">
        <v>466</v>
      </c>
      <c r="BG10" s="1290" t="s">
        <v>466</v>
      </c>
      <c r="BH10" s="1291" t="s">
        <v>462</v>
      </c>
      <c r="BI10" s="1303" t="s">
        <v>466</v>
      </c>
      <c r="BJ10" s="1290" t="s">
        <v>466</v>
      </c>
      <c r="BK10" s="1291" t="s">
        <v>462</v>
      </c>
      <c r="BL10" s="1303" t="s">
        <v>466</v>
      </c>
      <c r="BM10" s="1290" t="s">
        <v>466</v>
      </c>
      <c r="BN10" s="1291" t="s">
        <v>462</v>
      </c>
      <c r="BO10" s="1303" t="s">
        <v>466</v>
      </c>
      <c r="BP10" s="1290" t="s">
        <v>466</v>
      </c>
      <c r="BQ10" s="1291" t="s">
        <v>462</v>
      </c>
      <c r="BR10" s="1303" t="s">
        <v>466</v>
      </c>
      <c r="BS10" s="1290" t="s">
        <v>466</v>
      </c>
      <c r="BT10" s="1291" t="s">
        <v>462</v>
      </c>
      <c r="BU10" s="1303" t="s">
        <v>466</v>
      </c>
      <c r="BV10" s="1290" t="s">
        <v>466</v>
      </c>
      <c r="BW10" s="1291" t="s">
        <v>462</v>
      </c>
      <c r="BX10" s="1303" t="s">
        <v>466</v>
      </c>
      <c r="BY10" s="1290" t="s">
        <v>466</v>
      </c>
      <c r="BZ10" s="1291" t="s">
        <v>462</v>
      </c>
      <c r="CA10" s="1303" t="s">
        <v>466</v>
      </c>
      <c r="CB10" s="1290" t="s">
        <v>466</v>
      </c>
      <c r="CC10" s="1291" t="s">
        <v>462</v>
      </c>
      <c r="CD10" s="1303" t="s">
        <v>466</v>
      </c>
      <c r="CE10" s="1290" t="s">
        <v>466</v>
      </c>
      <c r="CF10" s="1291" t="s">
        <v>462</v>
      </c>
      <c r="CG10" s="1303" t="s">
        <v>466</v>
      </c>
      <c r="CH10" s="1290" t="s">
        <v>466</v>
      </c>
      <c r="CI10" s="1291" t="s">
        <v>462</v>
      </c>
      <c r="CJ10" s="1303" t="s">
        <v>466</v>
      </c>
      <c r="CK10" s="1290" t="s">
        <v>466</v>
      </c>
      <c r="CL10" s="1291" t="s">
        <v>462</v>
      </c>
      <c r="CM10" s="1303" t="s">
        <v>466</v>
      </c>
      <c r="CN10" s="1290" t="s">
        <v>466</v>
      </c>
      <c r="CO10" s="1291" t="s">
        <v>462</v>
      </c>
      <c r="CP10" s="1303" t="s">
        <v>466</v>
      </c>
      <c r="CQ10" s="1290" t="s">
        <v>466</v>
      </c>
      <c r="CR10" s="1291" t="s">
        <v>462</v>
      </c>
      <c r="CS10" s="1303" t="s">
        <v>466</v>
      </c>
      <c r="CT10" s="1290" t="s">
        <v>466</v>
      </c>
      <c r="CU10" s="1291" t="s">
        <v>462</v>
      </c>
      <c r="CV10" s="1303" t="s">
        <v>466</v>
      </c>
      <c r="CW10" s="1290" t="s">
        <v>466</v>
      </c>
      <c r="CX10" s="1291" t="s">
        <v>462</v>
      </c>
      <c r="CY10" s="1303" t="s">
        <v>466</v>
      </c>
      <c r="CZ10" s="1290" t="s">
        <v>466</v>
      </c>
      <c r="DA10" s="1291" t="s">
        <v>462</v>
      </c>
      <c r="DB10" s="1303" t="s">
        <v>466</v>
      </c>
      <c r="DC10" s="1290" t="s">
        <v>466</v>
      </c>
      <c r="DD10" s="1291" t="s">
        <v>462</v>
      </c>
      <c r="DE10" s="1303" t="s">
        <v>466</v>
      </c>
      <c r="DF10" s="1290" t="s">
        <v>466</v>
      </c>
      <c r="DG10" s="1291" t="s">
        <v>462</v>
      </c>
      <c r="DH10" s="1303" t="s">
        <v>466</v>
      </c>
      <c r="DI10" s="1290" t="s">
        <v>466</v>
      </c>
      <c r="DJ10" s="1291" t="s">
        <v>462</v>
      </c>
      <c r="DK10" s="1303" t="s">
        <v>466</v>
      </c>
      <c r="DL10" s="1290" t="s">
        <v>466</v>
      </c>
      <c r="DM10" s="1291" t="s">
        <v>462</v>
      </c>
      <c r="DN10" s="1303" t="s">
        <v>466</v>
      </c>
      <c r="DO10" s="1290" t="s">
        <v>466</v>
      </c>
      <c r="DP10" s="1291" t="s">
        <v>462</v>
      </c>
      <c r="DQ10" s="1303" t="s">
        <v>466</v>
      </c>
      <c r="DR10" s="1290" t="s">
        <v>466</v>
      </c>
      <c r="DS10" s="1291" t="s">
        <v>462</v>
      </c>
      <c r="DT10" s="1303" t="s">
        <v>466</v>
      </c>
      <c r="DU10" s="1290" t="s">
        <v>466</v>
      </c>
      <c r="DV10" s="1291" t="s">
        <v>462</v>
      </c>
      <c r="DW10" s="1303" t="s">
        <v>466</v>
      </c>
      <c r="DX10" s="68"/>
      <c r="DY10" s="68"/>
      <c r="DZ10" s="68"/>
    </row>
    <row r="11" ht="15.0" customHeight="1" outlineLevel="1">
      <c r="A11" s="1262">
        <v>29.0</v>
      </c>
      <c r="B11" s="1278" t="s">
        <v>152</v>
      </c>
      <c r="C11" s="1279"/>
      <c r="D11" s="1280" t="s">
        <v>90</v>
      </c>
      <c r="E11" s="1294" t="s">
        <v>115</v>
      </c>
      <c r="F11" s="1282">
        <v>0.0</v>
      </c>
      <c r="G11" s="1283" t="s">
        <v>115</v>
      </c>
      <c r="H11" s="1313"/>
      <c r="I11" s="1284"/>
      <c r="J11" s="1284"/>
      <c r="K11" s="1032" t="str">
        <f>IFERROR(VLOOKUP(B10:B165,'RELATÓRIO ACC'!B:F,5,FALSE),"NOT PUBLISHED")</f>
        <v>NOT PUBLISHED</v>
      </c>
      <c r="L11" s="1285" t="str">
        <f>IFERROR(VLOOKUP(B10:B165,'RELATÓRIO ACC'!B:P,15,FALSE),"NOT PUBLISHED")</f>
        <v>NOT PUBLISHED</v>
      </c>
      <c r="M11" s="1281" t="s">
        <v>466</v>
      </c>
      <c r="N11" s="1206" t="s">
        <v>466</v>
      </c>
      <c r="O11" s="1310"/>
      <c r="P11" s="1287"/>
      <c r="Q11" s="1281" t="s">
        <v>466</v>
      </c>
      <c r="R11" s="1280" t="s">
        <v>462</v>
      </c>
      <c r="S11" s="1281" t="s">
        <v>466</v>
      </c>
      <c r="T11" s="1032" t="s">
        <v>466</v>
      </c>
      <c r="U11" s="1280" t="s">
        <v>462</v>
      </c>
      <c r="V11" s="1281" t="s">
        <v>466</v>
      </c>
      <c r="W11" s="1032" t="s">
        <v>466</v>
      </c>
      <c r="X11" s="1031" t="s">
        <v>462</v>
      </c>
      <c r="Y11" s="1281" t="s">
        <v>466</v>
      </c>
      <c r="Z11" s="1032" t="s">
        <v>466</v>
      </c>
      <c r="AA11" s="1031" t="s">
        <v>462</v>
      </c>
      <c r="AB11" s="1281" t="s">
        <v>466</v>
      </c>
      <c r="AC11" s="1032" t="s">
        <v>466</v>
      </c>
      <c r="AD11" s="1031" t="s">
        <v>462</v>
      </c>
      <c r="AE11" s="1311" t="s">
        <v>466</v>
      </c>
      <c r="AF11" s="1032" t="s">
        <v>466</v>
      </c>
      <c r="AG11" s="1031" t="s">
        <v>462</v>
      </c>
      <c r="AH11" s="1281" t="s">
        <v>466</v>
      </c>
      <c r="AI11" s="1032" t="s">
        <v>466</v>
      </c>
      <c r="AJ11" s="1031" t="s">
        <v>462</v>
      </c>
      <c r="AK11" s="1281" t="s">
        <v>466</v>
      </c>
      <c r="AL11" s="1032" t="s">
        <v>466</v>
      </c>
      <c r="AM11" s="1031" t="s">
        <v>462</v>
      </c>
      <c r="AN11" s="1281" t="s">
        <v>466</v>
      </c>
      <c r="AO11" s="1032" t="s">
        <v>466</v>
      </c>
      <c r="AP11" s="1031" t="s">
        <v>462</v>
      </c>
      <c r="AQ11" s="1281" t="s">
        <v>466</v>
      </c>
      <c r="AR11" s="1032" t="s">
        <v>466</v>
      </c>
      <c r="AS11" s="1031" t="s">
        <v>462</v>
      </c>
      <c r="AT11" s="1281" t="s">
        <v>466</v>
      </c>
      <c r="AU11" s="1032" t="s">
        <v>466</v>
      </c>
      <c r="AV11" s="1031" t="s">
        <v>462</v>
      </c>
      <c r="AW11" s="1281" t="s">
        <v>466</v>
      </c>
      <c r="AX11" s="1032" t="s">
        <v>466</v>
      </c>
      <c r="AY11" s="1031" t="s">
        <v>462</v>
      </c>
      <c r="AZ11" s="1281" t="s">
        <v>466</v>
      </c>
      <c r="BA11" s="1032" t="s">
        <v>466</v>
      </c>
      <c r="BB11" s="1031" t="s">
        <v>462</v>
      </c>
      <c r="BC11" s="1281" t="s">
        <v>466</v>
      </c>
      <c r="BD11" s="1290" t="s">
        <v>466</v>
      </c>
      <c r="BE11" s="1291" t="s">
        <v>462</v>
      </c>
      <c r="BF11" s="1303" t="s">
        <v>466</v>
      </c>
      <c r="BG11" s="1290" t="s">
        <v>466</v>
      </c>
      <c r="BH11" s="1291" t="s">
        <v>462</v>
      </c>
      <c r="BI11" s="1303" t="s">
        <v>466</v>
      </c>
      <c r="BJ11" s="1290" t="s">
        <v>466</v>
      </c>
      <c r="BK11" s="1291" t="s">
        <v>462</v>
      </c>
      <c r="BL11" s="1303" t="s">
        <v>466</v>
      </c>
      <c r="BM11" s="1290" t="s">
        <v>466</v>
      </c>
      <c r="BN11" s="1291" t="s">
        <v>462</v>
      </c>
      <c r="BO11" s="1303" t="s">
        <v>466</v>
      </c>
      <c r="BP11" s="1290" t="s">
        <v>466</v>
      </c>
      <c r="BQ11" s="1291" t="s">
        <v>462</v>
      </c>
      <c r="BR11" s="1303" t="s">
        <v>466</v>
      </c>
      <c r="BS11" s="1290" t="s">
        <v>466</v>
      </c>
      <c r="BT11" s="1291" t="s">
        <v>462</v>
      </c>
      <c r="BU11" s="1303" t="s">
        <v>466</v>
      </c>
      <c r="BV11" s="1290" t="s">
        <v>466</v>
      </c>
      <c r="BW11" s="1291" t="s">
        <v>462</v>
      </c>
      <c r="BX11" s="1303" t="s">
        <v>466</v>
      </c>
      <c r="BY11" s="1290" t="s">
        <v>466</v>
      </c>
      <c r="BZ11" s="1291" t="s">
        <v>462</v>
      </c>
      <c r="CA11" s="1303" t="s">
        <v>466</v>
      </c>
      <c r="CB11" s="1290" t="s">
        <v>466</v>
      </c>
      <c r="CC11" s="1291" t="s">
        <v>462</v>
      </c>
      <c r="CD11" s="1303" t="s">
        <v>466</v>
      </c>
      <c r="CE11" s="1290" t="s">
        <v>466</v>
      </c>
      <c r="CF11" s="1291" t="s">
        <v>462</v>
      </c>
      <c r="CG11" s="1290" t="s">
        <v>466</v>
      </c>
      <c r="CH11" s="1290" t="s">
        <v>466</v>
      </c>
      <c r="CI11" s="1291" t="s">
        <v>462</v>
      </c>
      <c r="CJ11" s="1290" t="s">
        <v>466</v>
      </c>
      <c r="CK11" s="1290" t="s">
        <v>466</v>
      </c>
      <c r="CL11" s="1291" t="s">
        <v>462</v>
      </c>
      <c r="CM11" s="1290" t="s">
        <v>466</v>
      </c>
      <c r="CN11" s="1290" t="s">
        <v>466</v>
      </c>
      <c r="CO11" s="1291" t="s">
        <v>462</v>
      </c>
      <c r="CP11" s="1290" t="s">
        <v>466</v>
      </c>
      <c r="CQ11" s="1290" t="s">
        <v>466</v>
      </c>
      <c r="CR11" s="1291" t="s">
        <v>462</v>
      </c>
      <c r="CS11" s="1290" t="s">
        <v>466</v>
      </c>
      <c r="CT11" s="1290" t="s">
        <v>466</v>
      </c>
      <c r="CU11" s="1291" t="s">
        <v>462</v>
      </c>
      <c r="CV11" s="1290" t="s">
        <v>466</v>
      </c>
      <c r="CW11" s="1290" t="s">
        <v>466</v>
      </c>
      <c r="CX11" s="1291" t="s">
        <v>462</v>
      </c>
      <c r="CY11" s="1290" t="s">
        <v>466</v>
      </c>
      <c r="CZ11" s="1290" t="s">
        <v>466</v>
      </c>
      <c r="DA11" s="1291" t="s">
        <v>462</v>
      </c>
      <c r="DB11" s="1290" t="s">
        <v>466</v>
      </c>
      <c r="DC11" s="1290" t="s">
        <v>466</v>
      </c>
      <c r="DD11" s="1291" t="s">
        <v>462</v>
      </c>
      <c r="DE11" s="1290" t="s">
        <v>466</v>
      </c>
      <c r="DF11" s="1290" t="s">
        <v>466</v>
      </c>
      <c r="DG11" s="1291" t="s">
        <v>462</v>
      </c>
      <c r="DH11" s="1290" t="s">
        <v>466</v>
      </c>
      <c r="DI11" s="1290" t="s">
        <v>466</v>
      </c>
      <c r="DJ11" s="1291" t="s">
        <v>462</v>
      </c>
      <c r="DK11" s="1290" t="s">
        <v>466</v>
      </c>
      <c r="DL11" s="1290" t="s">
        <v>466</v>
      </c>
      <c r="DM11" s="1291" t="s">
        <v>462</v>
      </c>
      <c r="DN11" s="1290" t="s">
        <v>466</v>
      </c>
      <c r="DO11" s="1290" t="s">
        <v>466</v>
      </c>
      <c r="DP11" s="1291" t="s">
        <v>462</v>
      </c>
      <c r="DQ11" s="1290" t="s">
        <v>466</v>
      </c>
      <c r="DR11" s="1290" t="s">
        <v>466</v>
      </c>
      <c r="DS11" s="1291" t="s">
        <v>462</v>
      </c>
      <c r="DT11" s="1290" t="s">
        <v>466</v>
      </c>
      <c r="DU11" s="1290" t="s">
        <v>466</v>
      </c>
      <c r="DV11" s="1291" t="s">
        <v>462</v>
      </c>
      <c r="DW11" s="1290" t="s">
        <v>466</v>
      </c>
      <c r="DX11" s="68"/>
      <c r="DY11" s="68"/>
      <c r="DZ11" s="68"/>
    </row>
    <row r="12" ht="15.0" customHeight="1" outlineLevel="1">
      <c r="A12" s="1262">
        <v>85.0</v>
      </c>
      <c r="B12" s="1278" t="s">
        <v>267</v>
      </c>
      <c r="C12" s="1279"/>
      <c r="D12" s="1280" t="s">
        <v>90</v>
      </c>
      <c r="E12" s="1294" t="s">
        <v>269</v>
      </c>
      <c r="F12" s="1282">
        <v>0.0</v>
      </c>
      <c r="G12" s="1295" t="s">
        <v>115</v>
      </c>
      <c r="H12" s="1283">
        <v>0.0</v>
      </c>
      <c r="I12" s="1284"/>
      <c r="J12" s="1284"/>
      <c r="K12" s="1032" t="str">
        <f>IFERROR(VLOOKUP(B11:B164,'RELATÓRIO ACC'!B:F,5,FALSE),"NOT PUBLISHED")</f>
        <v>NOT PUBLISHED</v>
      </c>
      <c r="L12" s="1285" t="str">
        <f>IFERROR(VLOOKUP(B11:B164,'RELATÓRIO ACC'!B:P,15,FALSE),"NOT PUBLISHED")</f>
        <v>NOT PUBLISHED</v>
      </c>
      <c r="M12" s="1281" t="s">
        <v>466</v>
      </c>
      <c r="N12" s="1040" t="s">
        <v>466</v>
      </c>
      <c r="O12" s="1032"/>
      <c r="P12" s="1287"/>
      <c r="Q12" s="1281" t="s">
        <v>466</v>
      </c>
      <c r="R12" s="1280" t="s">
        <v>462</v>
      </c>
      <c r="S12" s="1040" t="s">
        <v>466</v>
      </c>
      <c r="T12" s="1032" t="s">
        <v>466</v>
      </c>
      <c r="U12" s="1031" t="s">
        <v>462</v>
      </c>
      <c r="V12" s="1040" t="s">
        <v>466</v>
      </c>
      <c r="W12" s="1032" t="s">
        <v>466</v>
      </c>
      <c r="X12" s="1031" t="s">
        <v>462</v>
      </c>
      <c r="Y12" s="1307" t="s">
        <v>466</v>
      </c>
      <c r="Z12" s="1032" t="s">
        <v>466</v>
      </c>
      <c r="AA12" s="1031" t="s">
        <v>462</v>
      </c>
      <c r="AB12" s="1289" t="s">
        <v>466</v>
      </c>
      <c r="AC12" s="1032" t="s">
        <v>466</v>
      </c>
      <c r="AD12" s="1031" t="s">
        <v>462</v>
      </c>
      <c r="AE12" s="1289" t="s">
        <v>466</v>
      </c>
      <c r="AF12" s="1032" t="s">
        <v>466</v>
      </c>
      <c r="AG12" s="1031" t="s">
        <v>462</v>
      </c>
      <c r="AH12" s="1289" t="s">
        <v>466</v>
      </c>
      <c r="AI12" s="1032" t="s">
        <v>466</v>
      </c>
      <c r="AJ12" s="1031" t="s">
        <v>462</v>
      </c>
      <c r="AK12" s="1289" t="s">
        <v>466</v>
      </c>
      <c r="AL12" s="1032" t="s">
        <v>466</v>
      </c>
      <c r="AM12" s="1031" t="s">
        <v>462</v>
      </c>
      <c r="AN12" s="1289" t="s">
        <v>466</v>
      </c>
      <c r="AO12" s="1032" t="s">
        <v>466</v>
      </c>
      <c r="AP12" s="1031" t="s">
        <v>462</v>
      </c>
      <c r="AQ12" s="1289" t="s">
        <v>466</v>
      </c>
      <c r="AR12" s="1032" t="s">
        <v>466</v>
      </c>
      <c r="AS12" s="1031" t="s">
        <v>462</v>
      </c>
      <c r="AT12" s="1289" t="s">
        <v>466</v>
      </c>
      <c r="AU12" s="1032" t="s">
        <v>466</v>
      </c>
      <c r="AV12" s="1031" t="s">
        <v>462</v>
      </c>
      <c r="AW12" s="1289" t="s">
        <v>466</v>
      </c>
      <c r="AX12" s="1032" t="s">
        <v>466</v>
      </c>
      <c r="AY12" s="1031" t="s">
        <v>462</v>
      </c>
      <c r="AZ12" s="1289" t="s">
        <v>466</v>
      </c>
      <c r="BA12" s="1032" t="s">
        <v>466</v>
      </c>
      <c r="BB12" s="1031" t="s">
        <v>462</v>
      </c>
      <c r="BC12" s="1289" t="s">
        <v>466</v>
      </c>
      <c r="BD12" s="1290" t="s">
        <v>466</v>
      </c>
      <c r="BE12" s="1291" t="s">
        <v>462</v>
      </c>
      <c r="BF12" s="1292" t="s">
        <v>466</v>
      </c>
      <c r="BG12" s="1290" t="s">
        <v>466</v>
      </c>
      <c r="BH12" s="1291" t="s">
        <v>462</v>
      </c>
      <c r="BI12" s="1292" t="s">
        <v>466</v>
      </c>
      <c r="BJ12" s="1290" t="s">
        <v>466</v>
      </c>
      <c r="BK12" s="1291" t="s">
        <v>462</v>
      </c>
      <c r="BL12" s="1292" t="s">
        <v>466</v>
      </c>
      <c r="BM12" s="1290" t="s">
        <v>466</v>
      </c>
      <c r="BN12" s="1291" t="s">
        <v>462</v>
      </c>
      <c r="BO12" s="1292" t="s">
        <v>466</v>
      </c>
      <c r="BP12" s="1290" t="s">
        <v>466</v>
      </c>
      <c r="BQ12" s="1291" t="s">
        <v>462</v>
      </c>
      <c r="BR12" s="1292" t="s">
        <v>466</v>
      </c>
      <c r="BS12" s="1290" t="s">
        <v>466</v>
      </c>
      <c r="BT12" s="1291" t="s">
        <v>462</v>
      </c>
      <c r="BU12" s="1292" t="s">
        <v>466</v>
      </c>
      <c r="BV12" s="1290" t="s">
        <v>466</v>
      </c>
      <c r="BW12" s="1291" t="s">
        <v>462</v>
      </c>
      <c r="BX12" s="1292" t="s">
        <v>466</v>
      </c>
      <c r="BY12" s="1290" t="s">
        <v>466</v>
      </c>
      <c r="BZ12" s="1291" t="s">
        <v>462</v>
      </c>
      <c r="CA12" s="1292" t="s">
        <v>466</v>
      </c>
      <c r="CB12" s="1290" t="s">
        <v>466</v>
      </c>
      <c r="CC12" s="1291" t="s">
        <v>462</v>
      </c>
      <c r="CD12" s="1292" t="s">
        <v>466</v>
      </c>
      <c r="CE12" s="1290" t="s">
        <v>466</v>
      </c>
      <c r="CF12" s="1291" t="s">
        <v>462</v>
      </c>
      <c r="CG12" s="1292" t="s">
        <v>466</v>
      </c>
      <c r="CH12" s="1290" t="s">
        <v>466</v>
      </c>
      <c r="CI12" s="1291" t="s">
        <v>462</v>
      </c>
      <c r="CJ12" s="1292" t="s">
        <v>466</v>
      </c>
      <c r="CK12" s="1290" t="s">
        <v>466</v>
      </c>
      <c r="CL12" s="1291" t="s">
        <v>462</v>
      </c>
      <c r="CM12" s="1292" t="s">
        <v>466</v>
      </c>
      <c r="CN12" s="1290" t="s">
        <v>466</v>
      </c>
      <c r="CO12" s="1291" t="s">
        <v>462</v>
      </c>
      <c r="CP12" s="1292" t="s">
        <v>466</v>
      </c>
      <c r="CQ12" s="1290" t="s">
        <v>466</v>
      </c>
      <c r="CR12" s="1291" t="s">
        <v>462</v>
      </c>
      <c r="CS12" s="1292" t="s">
        <v>466</v>
      </c>
      <c r="CT12" s="1290" t="s">
        <v>466</v>
      </c>
      <c r="CU12" s="1291" t="s">
        <v>462</v>
      </c>
      <c r="CV12" s="1292" t="s">
        <v>466</v>
      </c>
      <c r="CW12" s="1290" t="s">
        <v>466</v>
      </c>
      <c r="CX12" s="1291" t="s">
        <v>462</v>
      </c>
      <c r="CY12" s="1292" t="s">
        <v>466</v>
      </c>
      <c r="CZ12" s="1290" t="s">
        <v>466</v>
      </c>
      <c r="DA12" s="1291" t="s">
        <v>462</v>
      </c>
      <c r="DB12" s="1292" t="s">
        <v>466</v>
      </c>
      <c r="DC12" s="1290" t="s">
        <v>466</v>
      </c>
      <c r="DD12" s="1291" t="s">
        <v>462</v>
      </c>
      <c r="DE12" s="1292" t="s">
        <v>466</v>
      </c>
      <c r="DF12" s="1290" t="s">
        <v>466</v>
      </c>
      <c r="DG12" s="1291" t="s">
        <v>462</v>
      </c>
      <c r="DH12" s="1292" t="s">
        <v>466</v>
      </c>
      <c r="DI12" s="1290" t="s">
        <v>466</v>
      </c>
      <c r="DJ12" s="1291" t="s">
        <v>462</v>
      </c>
      <c r="DK12" s="1292" t="s">
        <v>466</v>
      </c>
      <c r="DL12" s="1290" t="s">
        <v>466</v>
      </c>
      <c r="DM12" s="1291" t="s">
        <v>462</v>
      </c>
      <c r="DN12" s="1292" t="s">
        <v>466</v>
      </c>
      <c r="DO12" s="1290" t="s">
        <v>466</v>
      </c>
      <c r="DP12" s="1291" t="s">
        <v>462</v>
      </c>
      <c r="DQ12" s="1292" t="s">
        <v>466</v>
      </c>
      <c r="DR12" s="1290" t="s">
        <v>466</v>
      </c>
      <c r="DS12" s="1291" t="s">
        <v>462</v>
      </c>
      <c r="DT12" s="1292" t="s">
        <v>466</v>
      </c>
      <c r="DU12" s="1290" t="s">
        <v>466</v>
      </c>
      <c r="DV12" s="1291" t="s">
        <v>462</v>
      </c>
      <c r="DW12" s="1292" t="s">
        <v>466</v>
      </c>
      <c r="DX12" s="135"/>
      <c r="DY12" s="135"/>
      <c r="DZ12" s="135"/>
    </row>
    <row r="13" ht="15.0" customHeight="1" outlineLevel="1">
      <c r="A13" s="1262">
        <v>90.0</v>
      </c>
      <c r="B13" s="1278" t="s">
        <v>278</v>
      </c>
      <c r="C13" s="1279"/>
      <c r="D13" s="1280" t="s">
        <v>90</v>
      </c>
      <c r="E13" s="1294" t="s">
        <v>115</v>
      </c>
      <c r="F13" s="1282">
        <v>0.0</v>
      </c>
      <c r="G13" s="1295" t="s">
        <v>115</v>
      </c>
      <c r="H13" s="1283">
        <v>0.0</v>
      </c>
      <c r="I13" s="1284"/>
      <c r="J13" s="1284"/>
      <c r="K13" s="1032" t="str">
        <f>IFERROR(VLOOKUP(B12:B165,'RELATÓRIO ACC'!B:F,5,FALSE),"NOT PUBLISHED")</f>
        <v>NOT PUBLISHED</v>
      </c>
      <c r="L13" s="1285" t="str">
        <f>IFERROR(VLOOKUP(B12:B165,'RELATÓRIO ACC'!B:P,15,FALSE),"NOT PUBLISHED")</f>
        <v>NOT PUBLISHED</v>
      </c>
      <c r="M13" s="1281" t="s">
        <v>466</v>
      </c>
      <c r="N13" s="1309" t="s">
        <v>466</v>
      </c>
      <c r="O13" s="1314"/>
      <c r="P13" s="1287"/>
      <c r="Q13" s="1281" t="s">
        <v>466</v>
      </c>
      <c r="R13" s="1280" t="s">
        <v>462</v>
      </c>
      <c r="S13" s="1311" t="s">
        <v>466</v>
      </c>
      <c r="T13" s="1032" t="s">
        <v>466</v>
      </c>
      <c r="U13" s="1031" t="s">
        <v>462</v>
      </c>
      <c r="V13" s="1069" t="s">
        <v>466</v>
      </c>
      <c r="W13" s="1032" t="s">
        <v>466</v>
      </c>
      <c r="X13" s="1031" t="s">
        <v>462</v>
      </c>
      <c r="Y13" s="1032" t="s">
        <v>466</v>
      </c>
      <c r="Z13" s="1032" t="s">
        <v>466</v>
      </c>
      <c r="AA13" s="1031" t="s">
        <v>462</v>
      </c>
      <c r="AB13" s="1069" t="s">
        <v>466</v>
      </c>
      <c r="AC13" s="1032" t="s">
        <v>466</v>
      </c>
      <c r="AD13" s="1031" t="s">
        <v>462</v>
      </c>
      <c r="AE13" s="1289" t="s">
        <v>466</v>
      </c>
      <c r="AF13" s="1032" t="s">
        <v>466</v>
      </c>
      <c r="AG13" s="1031" t="s">
        <v>462</v>
      </c>
      <c r="AH13" s="1289" t="s">
        <v>466</v>
      </c>
      <c r="AI13" s="1032" t="s">
        <v>466</v>
      </c>
      <c r="AJ13" s="1040" t="s">
        <v>462</v>
      </c>
      <c r="AK13" s="1289" t="s">
        <v>466</v>
      </c>
      <c r="AL13" s="1032" t="s">
        <v>466</v>
      </c>
      <c r="AM13" s="1031" t="s">
        <v>462</v>
      </c>
      <c r="AN13" s="1289" t="s">
        <v>466</v>
      </c>
      <c r="AO13" s="1032" t="s">
        <v>466</v>
      </c>
      <c r="AP13" s="1031" t="s">
        <v>462</v>
      </c>
      <c r="AQ13" s="1289" t="s">
        <v>466</v>
      </c>
      <c r="AR13" s="1032" t="s">
        <v>466</v>
      </c>
      <c r="AS13" s="1031" t="s">
        <v>462</v>
      </c>
      <c r="AT13" s="1289" t="s">
        <v>466</v>
      </c>
      <c r="AU13" s="1032" t="s">
        <v>466</v>
      </c>
      <c r="AV13" s="1031" t="s">
        <v>462</v>
      </c>
      <c r="AW13" s="1289" t="s">
        <v>466</v>
      </c>
      <c r="AX13" s="1032" t="s">
        <v>466</v>
      </c>
      <c r="AY13" s="1031" t="s">
        <v>462</v>
      </c>
      <c r="AZ13" s="1289" t="s">
        <v>466</v>
      </c>
      <c r="BA13" s="1032" t="s">
        <v>466</v>
      </c>
      <c r="BB13" s="1031" t="s">
        <v>462</v>
      </c>
      <c r="BC13" s="1289" t="s">
        <v>466</v>
      </c>
      <c r="BD13" s="1290" t="s">
        <v>466</v>
      </c>
      <c r="BE13" s="1291" t="s">
        <v>462</v>
      </c>
      <c r="BF13" s="1292" t="s">
        <v>466</v>
      </c>
      <c r="BG13" s="1290" t="s">
        <v>466</v>
      </c>
      <c r="BH13" s="1291" t="s">
        <v>462</v>
      </c>
      <c r="BI13" s="1292" t="s">
        <v>466</v>
      </c>
      <c r="BJ13" s="1290" t="s">
        <v>466</v>
      </c>
      <c r="BK13" s="1291" t="s">
        <v>462</v>
      </c>
      <c r="BL13" s="1292" t="s">
        <v>466</v>
      </c>
      <c r="BM13" s="1290" t="s">
        <v>466</v>
      </c>
      <c r="BN13" s="1291" t="s">
        <v>462</v>
      </c>
      <c r="BO13" s="1292" t="s">
        <v>466</v>
      </c>
      <c r="BP13" s="1290" t="s">
        <v>466</v>
      </c>
      <c r="BQ13" s="1291" t="s">
        <v>462</v>
      </c>
      <c r="BR13" s="1292" t="s">
        <v>466</v>
      </c>
      <c r="BS13" s="1290" t="s">
        <v>466</v>
      </c>
      <c r="BT13" s="1291" t="s">
        <v>462</v>
      </c>
      <c r="BU13" s="1292" t="s">
        <v>466</v>
      </c>
      <c r="BV13" s="1290" t="s">
        <v>466</v>
      </c>
      <c r="BW13" s="1291" t="s">
        <v>462</v>
      </c>
      <c r="BX13" s="1292" t="s">
        <v>466</v>
      </c>
      <c r="BY13" s="1290" t="s">
        <v>466</v>
      </c>
      <c r="BZ13" s="1291" t="s">
        <v>462</v>
      </c>
      <c r="CA13" s="1292" t="s">
        <v>466</v>
      </c>
      <c r="CB13" s="1290" t="s">
        <v>466</v>
      </c>
      <c r="CC13" s="1291" t="s">
        <v>462</v>
      </c>
      <c r="CD13" s="1292" t="s">
        <v>466</v>
      </c>
      <c r="CE13" s="1290" t="s">
        <v>466</v>
      </c>
      <c r="CF13" s="1291" t="s">
        <v>462</v>
      </c>
      <c r="CG13" s="1292" t="s">
        <v>466</v>
      </c>
      <c r="CH13" s="1290" t="s">
        <v>466</v>
      </c>
      <c r="CI13" s="1291" t="s">
        <v>462</v>
      </c>
      <c r="CJ13" s="1292" t="s">
        <v>466</v>
      </c>
      <c r="CK13" s="1290" t="s">
        <v>466</v>
      </c>
      <c r="CL13" s="1291" t="s">
        <v>462</v>
      </c>
      <c r="CM13" s="1292" t="s">
        <v>466</v>
      </c>
      <c r="CN13" s="1290" t="s">
        <v>466</v>
      </c>
      <c r="CO13" s="1291" t="s">
        <v>462</v>
      </c>
      <c r="CP13" s="1292" t="s">
        <v>466</v>
      </c>
      <c r="CQ13" s="1290" t="s">
        <v>466</v>
      </c>
      <c r="CR13" s="1291" t="s">
        <v>462</v>
      </c>
      <c r="CS13" s="1292" t="s">
        <v>466</v>
      </c>
      <c r="CT13" s="1290" t="s">
        <v>466</v>
      </c>
      <c r="CU13" s="1291" t="s">
        <v>462</v>
      </c>
      <c r="CV13" s="1292" t="s">
        <v>466</v>
      </c>
      <c r="CW13" s="1290" t="s">
        <v>466</v>
      </c>
      <c r="CX13" s="1291" t="s">
        <v>462</v>
      </c>
      <c r="CY13" s="1292" t="s">
        <v>466</v>
      </c>
      <c r="CZ13" s="1290" t="s">
        <v>466</v>
      </c>
      <c r="DA13" s="1291" t="s">
        <v>462</v>
      </c>
      <c r="DB13" s="1292" t="s">
        <v>466</v>
      </c>
      <c r="DC13" s="1290" t="s">
        <v>466</v>
      </c>
      <c r="DD13" s="1291" t="s">
        <v>462</v>
      </c>
      <c r="DE13" s="1292" t="s">
        <v>466</v>
      </c>
      <c r="DF13" s="1290" t="s">
        <v>466</v>
      </c>
      <c r="DG13" s="1291" t="s">
        <v>462</v>
      </c>
      <c r="DH13" s="1292" t="s">
        <v>466</v>
      </c>
      <c r="DI13" s="1290" t="s">
        <v>466</v>
      </c>
      <c r="DJ13" s="1291" t="s">
        <v>462</v>
      </c>
      <c r="DK13" s="1292" t="s">
        <v>466</v>
      </c>
      <c r="DL13" s="1290" t="s">
        <v>466</v>
      </c>
      <c r="DM13" s="1291" t="s">
        <v>462</v>
      </c>
      <c r="DN13" s="1292" t="s">
        <v>466</v>
      </c>
      <c r="DO13" s="1290" t="s">
        <v>466</v>
      </c>
      <c r="DP13" s="1291" t="s">
        <v>462</v>
      </c>
      <c r="DQ13" s="1292" t="s">
        <v>466</v>
      </c>
      <c r="DR13" s="1290" t="s">
        <v>466</v>
      </c>
      <c r="DS13" s="1291" t="s">
        <v>462</v>
      </c>
      <c r="DT13" s="1292" t="s">
        <v>466</v>
      </c>
      <c r="DU13" s="1290" t="s">
        <v>466</v>
      </c>
      <c r="DV13" s="1291" t="s">
        <v>462</v>
      </c>
      <c r="DW13" s="1292" t="s">
        <v>466</v>
      </c>
      <c r="DX13" s="68"/>
      <c r="DY13" s="68"/>
      <c r="DZ13" s="68"/>
    </row>
    <row r="14" ht="15.0" customHeight="1" outlineLevel="1">
      <c r="A14" s="1262">
        <v>99.0</v>
      </c>
      <c r="B14" s="1278" t="s">
        <v>301</v>
      </c>
      <c r="C14" s="1279"/>
      <c r="D14" s="1280" t="s">
        <v>90</v>
      </c>
      <c r="E14" s="1294" t="s">
        <v>303</v>
      </c>
      <c r="F14" s="1280">
        <v>1122.0</v>
      </c>
      <c r="G14" s="1295" t="s">
        <v>288</v>
      </c>
      <c r="H14" s="1283">
        <v>0.0</v>
      </c>
      <c r="I14" s="1284"/>
      <c r="J14" s="1284"/>
      <c r="K14" s="1032" t="str">
        <f>IFERROR(VLOOKUP(B13:B166,'RELATÓRIO ACC'!B:F,5,FALSE),"NOT PUBLISHED")</f>
        <v>NOT PUBLISHED</v>
      </c>
      <c r="L14" s="1285" t="str">
        <f>IFERROR(VLOOKUP(B13:B166,'RELATÓRIO ACC'!B:P,15,FALSE),"NOT PUBLISHED")</f>
        <v>NOT PUBLISHED</v>
      </c>
      <c r="M14" s="1281" t="s">
        <v>466</v>
      </c>
      <c r="N14" s="1281" t="s">
        <v>466</v>
      </c>
      <c r="O14" s="1032"/>
      <c r="P14" s="1315"/>
      <c r="Q14" s="1296" t="s">
        <v>466</v>
      </c>
      <c r="R14" s="1297" t="s">
        <v>462</v>
      </c>
      <c r="S14" s="1296" t="s">
        <v>466</v>
      </c>
      <c r="T14" s="1299" t="s">
        <v>466</v>
      </c>
      <c r="U14" s="1300" t="s">
        <v>462</v>
      </c>
      <c r="V14" s="1296" t="s">
        <v>466</v>
      </c>
      <c r="W14" s="1316" t="s">
        <v>466</v>
      </c>
      <c r="X14" s="1300" t="s">
        <v>462</v>
      </c>
      <c r="Y14" s="1296" t="s">
        <v>466</v>
      </c>
      <c r="Z14" s="1296" t="s">
        <v>466</v>
      </c>
      <c r="AA14" s="1300" t="s">
        <v>462</v>
      </c>
      <c r="AB14" s="1296" t="s">
        <v>466</v>
      </c>
      <c r="AC14" s="1296" t="s">
        <v>466</v>
      </c>
      <c r="AD14" s="1300" t="s">
        <v>462</v>
      </c>
      <c r="AE14" s="1296" t="s">
        <v>466</v>
      </c>
      <c r="AF14" s="1296" t="s">
        <v>466</v>
      </c>
      <c r="AG14" s="1300" t="s">
        <v>462</v>
      </c>
      <c r="AH14" s="1296" t="s">
        <v>466</v>
      </c>
      <c r="AI14" s="1296" t="s">
        <v>466</v>
      </c>
      <c r="AJ14" s="1300" t="s">
        <v>462</v>
      </c>
      <c r="AK14" s="1296" t="s">
        <v>466</v>
      </c>
      <c r="AL14" s="1281" t="s">
        <v>466</v>
      </c>
      <c r="AM14" s="1031" t="s">
        <v>462</v>
      </c>
      <c r="AN14" s="1281" t="s">
        <v>466</v>
      </c>
      <c r="AO14" s="1281" t="s">
        <v>466</v>
      </c>
      <c r="AP14" s="1031" t="s">
        <v>462</v>
      </c>
      <c r="AQ14" s="1281" t="s">
        <v>466</v>
      </c>
      <c r="AR14" s="1281" t="s">
        <v>466</v>
      </c>
      <c r="AS14" s="1031" t="s">
        <v>462</v>
      </c>
      <c r="AT14" s="1281" t="s">
        <v>466</v>
      </c>
      <c r="AU14" s="1281" t="s">
        <v>466</v>
      </c>
      <c r="AV14" s="1031" t="s">
        <v>462</v>
      </c>
      <c r="AW14" s="1281" t="s">
        <v>466</v>
      </c>
      <c r="AX14" s="1281" t="s">
        <v>466</v>
      </c>
      <c r="AY14" s="1031" t="s">
        <v>462</v>
      </c>
      <c r="AZ14" s="1281" t="s">
        <v>466</v>
      </c>
      <c r="BA14" s="1281" t="s">
        <v>466</v>
      </c>
      <c r="BB14" s="1031" t="s">
        <v>462</v>
      </c>
      <c r="BC14" s="1281" t="s">
        <v>466</v>
      </c>
      <c r="BD14" s="1303" t="s">
        <v>466</v>
      </c>
      <c r="BE14" s="1291" t="s">
        <v>462</v>
      </c>
      <c r="BF14" s="1303" t="s">
        <v>466</v>
      </c>
      <c r="BG14" s="1303" t="s">
        <v>466</v>
      </c>
      <c r="BH14" s="1291" t="s">
        <v>462</v>
      </c>
      <c r="BI14" s="1303" t="s">
        <v>466</v>
      </c>
      <c r="BJ14" s="1303" t="s">
        <v>466</v>
      </c>
      <c r="BK14" s="1291" t="s">
        <v>462</v>
      </c>
      <c r="BL14" s="1303" t="s">
        <v>466</v>
      </c>
      <c r="BM14" s="1303" t="s">
        <v>466</v>
      </c>
      <c r="BN14" s="1291" t="s">
        <v>462</v>
      </c>
      <c r="BO14" s="1303" t="s">
        <v>466</v>
      </c>
      <c r="BP14" s="1303" t="s">
        <v>466</v>
      </c>
      <c r="BQ14" s="1291" t="s">
        <v>462</v>
      </c>
      <c r="BR14" s="1303" t="s">
        <v>466</v>
      </c>
      <c r="BS14" s="1303" t="s">
        <v>466</v>
      </c>
      <c r="BT14" s="1291" t="s">
        <v>462</v>
      </c>
      <c r="BU14" s="1303" t="s">
        <v>466</v>
      </c>
      <c r="BV14" s="1303" t="s">
        <v>466</v>
      </c>
      <c r="BW14" s="1291" t="s">
        <v>462</v>
      </c>
      <c r="BX14" s="1303" t="s">
        <v>466</v>
      </c>
      <c r="BY14" s="1303" t="s">
        <v>466</v>
      </c>
      <c r="BZ14" s="1291" t="s">
        <v>462</v>
      </c>
      <c r="CA14" s="1303" t="s">
        <v>466</v>
      </c>
      <c r="CB14" s="1303" t="s">
        <v>466</v>
      </c>
      <c r="CC14" s="1291" t="s">
        <v>462</v>
      </c>
      <c r="CD14" s="1303" t="s">
        <v>466</v>
      </c>
      <c r="CE14" s="1303" t="s">
        <v>466</v>
      </c>
      <c r="CF14" s="1291" t="s">
        <v>462</v>
      </c>
      <c r="CG14" s="1303" t="s">
        <v>466</v>
      </c>
      <c r="CH14" s="1303" t="s">
        <v>466</v>
      </c>
      <c r="CI14" s="1291" t="s">
        <v>462</v>
      </c>
      <c r="CJ14" s="1303" t="s">
        <v>466</v>
      </c>
      <c r="CK14" s="1303" t="s">
        <v>466</v>
      </c>
      <c r="CL14" s="1291" t="s">
        <v>462</v>
      </c>
      <c r="CM14" s="1303" t="s">
        <v>466</v>
      </c>
      <c r="CN14" s="1303" t="s">
        <v>466</v>
      </c>
      <c r="CO14" s="1291" t="s">
        <v>462</v>
      </c>
      <c r="CP14" s="1303" t="s">
        <v>466</v>
      </c>
      <c r="CQ14" s="1303" t="s">
        <v>466</v>
      </c>
      <c r="CR14" s="1291" t="s">
        <v>462</v>
      </c>
      <c r="CS14" s="1303" t="s">
        <v>466</v>
      </c>
      <c r="CT14" s="1303" t="s">
        <v>466</v>
      </c>
      <c r="CU14" s="1291" t="s">
        <v>462</v>
      </c>
      <c r="CV14" s="1303" t="s">
        <v>466</v>
      </c>
      <c r="CW14" s="1303" t="s">
        <v>466</v>
      </c>
      <c r="CX14" s="1291" t="s">
        <v>462</v>
      </c>
      <c r="CY14" s="1303" t="s">
        <v>466</v>
      </c>
      <c r="CZ14" s="1303" t="s">
        <v>466</v>
      </c>
      <c r="DA14" s="1291" t="s">
        <v>462</v>
      </c>
      <c r="DB14" s="1303" t="s">
        <v>466</v>
      </c>
      <c r="DC14" s="1303" t="s">
        <v>466</v>
      </c>
      <c r="DD14" s="1291" t="s">
        <v>462</v>
      </c>
      <c r="DE14" s="1303" t="s">
        <v>466</v>
      </c>
      <c r="DF14" s="1303" t="s">
        <v>466</v>
      </c>
      <c r="DG14" s="1291" t="s">
        <v>462</v>
      </c>
      <c r="DH14" s="1303" t="s">
        <v>466</v>
      </c>
      <c r="DI14" s="1303" t="s">
        <v>466</v>
      </c>
      <c r="DJ14" s="1291" t="s">
        <v>462</v>
      </c>
      <c r="DK14" s="1303" t="s">
        <v>466</v>
      </c>
      <c r="DL14" s="1303" t="s">
        <v>466</v>
      </c>
      <c r="DM14" s="1291" t="s">
        <v>462</v>
      </c>
      <c r="DN14" s="1303" t="s">
        <v>466</v>
      </c>
      <c r="DO14" s="1303" t="s">
        <v>466</v>
      </c>
      <c r="DP14" s="1291" t="s">
        <v>462</v>
      </c>
      <c r="DQ14" s="1303" t="s">
        <v>466</v>
      </c>
      <c r="DR14" s="1303" t="s">
        <v>466</v>
      </c>
      <c r="DS14" s="1291" t="s">
        <v>462</v>
      </c>
      <c r="DT14" s="1303" t="s">
        <v>466</v>
      </c>
      <c r="DU14" s="1303" t="s">
        <v>466</v>
      </c>
      <c r="DV14" s="1291" t="s">
        <v>462</v>
      </c>
      <c r="DW14" s="1303" t="s">
        <v>466</v>
      </c>
      <c r="DX14" s="68"/>
      <c r="DY14" s="68"/>
      <c r="DZ14" s="68"/>
    </row>
    <row r="15" ht="15.0" customHeight="1" outlineLevel="1">
      <c r="A15" s="1262">
        <v>101.0</v>
      </c>
      <c r="B15" s="1278" t="s">
        <v>306</v>
      </c>
      <c r="C15" s="1279"/>
      <c r="D15" s="1280" t="s">
        <v>90</v>
      </c>
      <c r="E15" s="1294" t="s">
        <v>308</v>
      </c>
      <c r="F15" s="1280">
        <v>1123.0</v>
      </c>
      <c r="G15" s="1295" t="s">
        <v>288</v>
      </c>
      <c r="H15" s="1283">
        <v>0.0</v>
      </c>
      <c r="I15" s="1284"/>
      <c r="J15" s="1284"/>
      <c r="K15" s="1032" t="str">
        <f>IFERROR(VLOOKUP(B14:B167,'RELATÓRIO ACC'!B:F,5,FALSE),"NOT PUBLISHED")</f>
        <v>NOT PUBLISHED</v>
      </c>
      <c r="L15" s="1285" t="str">
        <f>IFERROR(VLOOKUP(B14:B167,'RELATÓRIO ACC'!B:P,15,FALSE),"NOT PUBLISHED")</f>
        <v>NOT PUBLISHED</v>
      </c>
      <c r="M15" s="1281" t="s">
        <v>466</v>
      </c>
      <c r="N15" s="1040" t="s">
        <v>466</v>
      </c>
      <c r="O15" s="1032"/>
      <c r="P15" s="1315"/>
      <c r="Q15" s="1296" t="s">
        <v>466</v>
      </c>
      <c r="R15" s="1297" t="s">
        <v>462</v>
      </c>
      <c r="S15" s="1298" t="s">
        <v>466</v>
      </c>
      <c r="T15" s="1299" t="s">
        <v>466</v>
      </c>
      <c r="U15" s="1300" t="s">
        <v>462</v>
      </c>
      <c r="V15" s="1298" t="s">
        <v>466</v>
      </c>
      <c r="W15" s="1316" t="s">
        <v>466</v>
      </c>
      <c r="X15" s="1300" t="s">
        <v>462</v>
      </c>
      <c r="Y15" s="1296" t="s">
        <v>466</v>
      </c>
      <c r="Z15" s="1296" t="s">
        <v>466</v>
      </c>
      <c r="AA15" s="1300" t="s">
        <v>462</v>
      </c>
      <c r="AB15" s="1296" t="s">
        <v>466</v>
      </c>
      <c r="AC15" s="1296" t="s">
        <v>466</v>
      </c>
      <c r="AD15" s="1298" t="s">
        <v>462</v>
      </c>
      <c r="AE15" s="1302" t="s">
        <v>466</v>
      </c>
      <c r="AF15" s="1299" t="s">
        <v>466</v>
      </c>
      <c r="AG15" s="1300" t="s">
        <v>462</v>
      </c>
      <c r="AH15" s="1302" t="s">
        <v>466</v>
      </c>
      <c r="AI15" s="1299" t="s">
        <v>466</v>
      </c>
      <c r="AJ15" s="1300" t="s">
        <v>462</v>
      </c>
      <c r="AK15" s="1302" t="s">
        <v>466</v>
      </c>
      <c r="AL15" s="1032" t="s">
        <v>466</v>
      </c>
      <c r="AM15" s="1031" t="s">
        <v>462</v>
      </c>
      <c r="AN15" s="1289" t="s">
        <v>466</v>
      </c>
      <c r="AO15" s="1032" t="s">
        <v>466</v>
      </c>
      <c r="AP15" s="1031" t="s">
        <v>462</v>
      </c>
      <c r="AQ15" s="1289" t="s">
        <v>466</v>
      </c>
      <c r="AR15" s="1032" t="s">
        <v>466</v>
      </c>
      <c r="AS15" s="1031" t="s">
        <v>462</v>
      </c>
      <c r="AT15" s="1289" t="s">
        <v>466</v>
      </c>
      <c r="AU15" s="1032" t="s">
        <v>466</v>
      </c>
      <c r="AV15" s="1031" t="s">
        <v>462</v>
      </c>
      <c r="AW15" s="1289" t="s">
        <v>466</v>
      </c>
      <c r="AX15" s="1032" t="s">
        <v>466</v>
      </c>
      <c r="AY15" s="1031" t="s">
        <v>462</v>
      </c>
      <c r="AZ15" s="1289" t="s">
        <v>466</v>
      </c>
      <c r="BA15" s="1032" t="s">
        <v>466</v>
      </c>
      <c r="BB15" s="1031" t="s">
        <v>462</v>
      </c>
      <c r="BC15" s="1289" t="s">
        <v>466</v>
      </c>
      <c r="BD15" s="1290" t="s">
        <v>466</v>
      </c>
      <c r="BE15" s="1291" t="s">
        <v>462</v>
      </c>
      <c r="BF15" s="1292" t="s">
        <v>466</v>
      </c>
      <c r="BG15" s="1290" t="s">
        <v>466</v>
      </c>
      <c r="BH15" s="1291" t="s">
        <v>462</v>
      </c>
      <c r="BI15" s="1292" t="s">
        <v>466</v>
      </c>
      <c r="BJ15" s="1290" t="s">
        <v>466</v>
      </c>
      <c r="BK15" s="1291" t="s">
        <v>462</v>
      </c>
      <c r="BL15" s="1292" t="s">
        <v>466</v>
      </c>
      <c r="BM15" s="1290" t="s">
        <v>466</v>
      </c>
      <c r="BN15" s="1291" t="s">
        <v>462</v>
      </c>
      <c r="BO15" s="1292" t="s">
        <v>466</v>
      </c>
      <c r="BP15" s="1290" t="s">
        <v>466</v>
      </c>
      <c r="BQ15" s="1291" t="s">
        <v>462</v>
      </c>
      <c r="BR15" s="1292" t="s">
        <v>466</v>
      </c>
      <c r="BS15" s="1290" t="s">
        <v>466</v>
      </c>
      <c r="BT15" s="1291" t="s">
        <v>462</v>
      </c>
      <c r="BU15" s="1292" t="s">
        <v>466</v>
      </c>
      <c r="BV15" s="1290" t="s">
        <v>466</v>
      </c>
      <c r="BW15" s="1291" t="s">
        <v>462</v>
      </c>
      <c r="BX15" s="1292" t="s">
        <v>466</v>
      </c>
      <c r="BY15" s="1290" t="s">
        <v>466</v>
      </c>
      <c r="BZ15" s="1291" t="s">
        <v>462</v>
      </c>
      <c r="CA15" s="1292" t="s">
        <v>466</v>
      </c>
      <c r="CB15" s="1290" t="s">
        <v>466</v>
      </c>
      <c r="CC15" s="1291" t="s">
        <v>462</v>
      </c>
      <c r="CD15" s="1292" t="s">
        <v>466</v>
      </c>
      <c r="CE15" s="1290" t="s">
        <v>466</v>
      </c>
      <c r="CF15" s="1291" t="s">
        <v>462</v>
      </c>
      <c r="CG15" s="1292" t="s">
        <v>466</v>
      </c>
      <c r="CH15" s="1290" t="s">
        <v>466</v>
      </c>
      <c r="CI15" s="1291" t="s">
        <v>462</v>
      </c>
      <c r="CJ15" s="1292" t="s">
        <v>466</v>
      </c>
      <c r="CK15" s="1290" t="s">
        <v>466</v>
      </c>
      <c r="CL15" s="1291" t="s">
        <v>462</v>
      </c>
      <c r="CM15" s="1292" t="s">
        <v>466</v>
      </c>
      <c r="CN15" s="1290" t="s">
        <v>466</v>
      </c>
      <c r="CO15" s="1291" t="s">
        <v>462</v>
      </c>
      <c r="CP15" s="1292" t="s">
        <v>466</v>
      </c>
      <c r="CQ15" s="1290" t="s">
        <v>466</v>
      </c>
      <c r="CR15" s="1291" t="s">
        <v>462</v>
      </c>
      <c r="CS15" s="1292" t="s">
        <v>466</v>
      </c>
      <c r="CT15" s="1290" t="s">
        <v>466</v>
      </c>
      <c r="CU15" s="1291" t="s">
        <v>462</v>
      </c>
      <c r="CV15" s="1292" t="s">
        <v>466</v>
      </c>
      <c r="CW15" s="1290" t="s">
        <v>466</v>
      </c>
      <c r="CX15" s="1291" t="s">
        <v>462</v>
      </c>
      <c r="CY15" s="1292" t="s">
        <v>466</v>
      </c>
      <c r="CZ15" s="1290" t="s">
        <v>466</v>
      </c>
      <c r="DA15" s="1291" t="s">
        <v>462</v>
      </c>
      <c r="DB15" s="1292" t="s">
        <v>466</v>
      </c>
      <c r="DC15" s="1290" t="s">
        <v>466</v>
      </c>
      <c r="DD15" s="1291" t="s">
        <v>462</v>
      </c>
      <c r="DE15" s="1292" t="s">
        <v>466</v>
      </c>
      <c r="DF15" s="1290" t="s">
        <v>466</v>
      </c>
      <c r="DG15" s="1291" t="s">
        <v>462</v>
      </c>
      <c r="DH15" s="1292" t="s">
        <v>466</v>
      </c>
      <c r="DI15" s="1290" t="s">
        <v>466</v>
      </c>
      <c r="DJ15" s="1291" t="s">
        <v>462</v>
      </c>
      <c r="DK15" s="1292" t="s">
        <v>466</v>
      </c>
      <c r="DL15" s="1290" t="s">
        <v>466</v>
      </c>
      <c r="DM15" s="1291" t="s">
        <v>462</v>
      </c>
      <c r="DN15" s="1292" t="s">
        <v>466</v>
      </c>
      <c r="DO15" s="1290" t="s">
        <v>466</v>
      </c>
      <c r="DP15" s="1291" t="s">
        <v>462</v>
      </c>
      <c r="DQ15" s="1292" t="s">
        <v>466</v>
      </c>
      <c r="DR15" s="1290" t="s">
        <v>466</v>
      </c>
      <c r="DS15" s="1291" t="s">
        <v>462</v>
      </c>
      <c r="DT15" s="1292" t="s">
        <v>466</v>
      </c>
      <c r="DU15" s="1290" t="s">
        <v>466</v>
      </c>
      <c r="DV15" s="1291" t="s">
        <v>462</v>
      </c>
      <c r="DW15" s="1292" t="s">
        <v>466</v>
      </c>
      <c r="DX15" s="68"/>
      <c r="DY15" s="68"/>
      <c r="DZ15" s="68"/>
    </row>
    <row r="16" ht="15.0" customHeight="1" outlineLevel="1">
      <c r="A16" s="1262">
        <v>103.0</v>
      </c>
      <c r="B16" s="1278" t="s">
        <v>311</v>
      </c>
      <c r="C16" s="1279"/>
      <c r="D16" s="1280" t="s">
        <v>90</v>
      </c>
      <c r="E16" s="1294" t="s">
        <v>100</v>
      </c>
      <c r="F16" s="1280">
        <v>1104.0</v>
      </c>
      <c r="G16" s="1295" t="s">
        <v>101</v>
      </c>
      <c r="H16" s="1295">
        <v>1127.0</v>
      </c>
      <c r="I16" s="1284"/>
      <c r="J16" s="1284"/>
      <c r="K16" s="1032" t="str">
        <f>IFERROR(VLOOKUP(B15:B168,'RELATÓRIO ACC'!B:F,5,FALSE),"NOT PUBLISHED")</f>
        <v>NOT PUBLISHED</v>
      </c>
      <c r="L16" s="1285" t="str">
        <f>IFERROR(VLOOKUP(B15:B168,'RELATÓRIO ACC'!B:P,15,FALSE),"NOT PUBLISHED")</f>
        <v>NOT PUBLISHED</v>
      </c>
      <c r="M16" s="1281" t="s">
        <v>466</v>
      </c>
      <c r="N16" s="1281" t="s">
        <v>466</v>
      </c>
      <c r="O16" s="1031"/>
      <c r="P16" s="1287"/>
      <c r="Q16" s="1296" t="s">
        <v>466</v>
      </c>
      <c r="R16" s="1297" t="s">
        <v>462</v>
      </c>
      <c r="S16" s="1296" t="s">
        <v>466</v>
      </c>
      <c r="T16" s="1299" t="s">
        <v>466</v>
      </c>
      <c r="U16" s="1300" t="s">
        <v>462</v>
      </c>
      <c r="V16" s="1296" t="s">
        <v>466</v>
      </c>
      <c r="W16" s="1299" t="s">
        <v>466</v>
      </c>
      <c r="X16" s="1300" t="s">
        <v>462</v>
      </c>
      <c r="Y16" s="1296" t="s">
        <v>466</v>
      </c>
      <c r="Z16" s="1299" t="s">
        <v>466</v>
      </c>
      <c r="AA16" s="1300" t="s">
        <v>462</v>
      </c>
      <c r="AB16" s="1296" t="s">
        <v>466</v>
      </c>
      <c r="AC16" s="1299" t="s">
        <v>466</v>
      </c>
      <c r="AD16" s="1300" t="s">
        <v>462</v>
      </c>
      <c r="AE16" s="1296" t="s">
        <v>466</v>
      </c>
      <c r="AF16" s="1299" t="s">
        <v>466</v>
      </c>
      <c r="AG16" s="1300" t="s">
        <v>462</v>
      </c>
      <c r="AH16" s="1296" t="s">
        <v>466</v>
      </c>
      <c r="AI16" s="1296" t="s">
        <v>466</v>
      </c>
      <c r="AJ16" s="1300" t="s">
        <v>462</v>
      </c>
      <c r="AK16" s="1296" t="s">
        <v>466</v>
      </c>
      <c r="AL16" s="1281" t="s">
        <v>466</v>
      </c>
      <c r="AM16" s="1031" t="s">
        <v>462</v>
      </c>
      <c r="AN16" s="1281" t="s">
        <v>466</v>
      </c>
      <c r="AO16" s="1281" t="s">
        <v>466</v>
      </c>
      <c r="AP16" s="1031" t="s">
        <v>462</v>
      </c>
      <c r="AQ16" s="1281" t="s">
        <v>466</v>
      </c>
      <c r="AR16" s="1281" t="s">
        <v>466</v>
      </c>
      <c r="AS16" s="1031" t="s">
        <v>462</v>
      </c>
      <c r="AT16" s="1281" t="s">
        <v>466</v>
      </c>
      <c r="AU16" s="1281" t="s">
        <v>466</v>
      </c>
      <c r="AV16" s="1031" t="s">
        <v>462</v>
      </c>
      <c r="AW16" s="1281" t="s">
        <v>466</v>
      </c>
      <c r="AX16" s="1281" t="s">
        <v>466</v>
      </c>
      <c r="AY16" s="1031" t="s">
        <v>462</v>
      </c>
      <c r="AZ16" s="1281" t="s">
        <v>466</v>
      </c>
      <c r="BA16" s="1281" t="s">
        <v>466</v>
      </c>
      <c r="BB16" s="1031" t="s">
        <v>462</v>
      </c>
      <c r="BC16" s="1281" t="s">
        <v>466</v>
      </c>
      <c r="BD16" s="1303" t="s">
        <v>466</v>
      </c>
      <c r="BE16" s="1291" t="s">
        <v>462</v>
      </c>
      <c r="BF16" s="1303" t="s">
        <v>466</v>
      </c>
      <c r="BG16" s="1303" t="s">
        <v>466</v>
      </c>
      <c r="BH16" s="1291" t="s">
        <v>462</v>
      </c>
      <c r="BI16" s="1303" t="s">
        <v>466</v>
      </c>
      <c r="BJ16" s="1303" t="s">
        <v>466</v>
      </c>
      <c r="BK16" s="1291" t="s">
        <v>462</v>
      </c>
      <c r="BL16" s="1303" t="s">
        <v>466</v>
      </c>
      <c r="BM16" s="1303" t="s">
        <v>466</v>
      </c>
      <c r="BN16" s="1291" t="s">
        <v>462</v>
      </c>
      <c r="BO16" s="1303" t="s">
        <v>466</v>
      </c>
      <c r="BP16" s="1303" t="s">
        <v>466</v>
      </c>
      <c r="BQ16" s="1291" t="s">
        <v>462</v>
      </c>
      <c r="BR16" s="1303" t="s">
        <v>466</v>
      </c>
      <c r="BS16" s="1303" t="s">
        <v>466</v>
      </c>
      <c r="BT16" s="1291" t="s">
        <v>462</v>
      </c>
      <c r="BU16" s="1303" t="s">
        <v>466</v>
      </c>
      <c r="BV16" s="1303" t="s">
        <v>466</v>
      </c>
      <c r="BW16" s="1291" t="s">
        <v>462</v>
      </c>
      <c r="BX16" s="1303" t="s">
        <v>466</v>
      </c>
      <c r="BY16" s="1303" t="s">
        <v>466</v>
      </c>
      <c r="BZ16" s="1291" t="s">
        <v>462</v>
      </c>
      <c r="CA16" s="1303" t="s">
        <v>466</v>
      </c>
      <c r="CB16" s="1303" t="s">
        <v>466</v>
      </c>
      <c r="CC16" s="1291" t="s">
        <v>462</v>
      </c>
      <c r="CD16" s="1303" t="s">
        <v>466</v>
      </c>
      <c r="CE16" s="1303" t="s">
        <v>466</v>
      </c>
      <c r="CF16" s="1291" t="s">
        <v>462</v>
      </c>
      <c r="CG16" s="1292" t="s">
        <v>466</v>
      </c>
      <c r="CH16" s="1290" t="s">
        <v>466</v>
      </c>
      <c r="CI16" s="1291" t="s">
        <v>462</v>
      </c>
      <c r="CJ16" s="1292" t="s">
        <v>466</v>
      </c>
      <c r="CK16" s="1290" t="s">
        <v>466</v>
      </c>
      <c r="CL16" s="1291" t="s">
        <v>462</v>
      </c>
      <c r="CM16" s="1292" t="s">
        <v>466</v>
      </c>
      <c r="CN16" s="1290" t="s">
        <v>466</v>
      </c>
      <c r="CO16" s="1291" t="s">
        <v>462</v>
      </c>
      <c r="CP16" s="1292" t="s">
        <v>466</v>
      </c>
      <c r="CQ16" s="1290" t="s">
        <v>466</v>
      </c>
      <c r="CR16" s="1291" t="s">
        <v>462</v>
      </c>
      <c r="CS16" s="1292" t="s">
        <v>466</v>
      </c>
      <c r="CT16" s="1290" t="s">
        <v>466</v>
      </c>
      <c r="CU16" s="1291" t="s">
        <v>462</v>
      </c>
      <c r="CV16" s="1292" t="s">
        <v>466</v>
      </c>
      <c r="CW16" s="1290" t="s">
        <v>466</v>
      </c>
      <c r="CX16" s="1291" t="s">
        <v>462</v>
      </c>
      <c r="CY16" s="1292" t="s">
        <v>466</v>
      </c>
      <c r="CZ16" s="1290" t="s">
        <v>466</v>
      </c>
      <c r="DA16" s="1291" t="s">
        <v>462</v>
      </c>
      <c r="DB16" s="1292" t="s">
        <v>466</v>
      </c>
      <c r="DC16" s="1290" t="s">
        <v>466</v>
      </c>
      <c r="DD16" s="1291" t="s">
        <v>462</v>
      </c>
      <c r="DE16" s="1292" t="s">
        <v>466</v>
      </c>
      <c r="DF16" s="1290" t="s">
        <v>466</v>
      </c>
      <c r="DG16" s="1291" t="s">
        <v>462</v>
      </c>
      <c r="DH16" s="1292" t="s">
        <v>466</v>
      </c>
      <c r="DI16" s="1290" t="s">
        <v>466</v>
      </c>
      <c r="DJ16" s="1291" t="s">
        <v>462</v>
      </c>
      <c r="DK16" s="1292" t="s">
        <v>466</v>
      </c>
      <c r="DL16" s="1290" t="s">
        <v>466</v>
      </c>
      <c r="DM16" s="1291" t="s">
        <v>462</v>
      </c>
      <c r="DN16" s="1292" t="s">
        <v>466</v>
      </c>
      <c r="DO16" s="1290" t="s">
        <v>466</v>
      </c>
      <c r="DP16" s="1291" t="s">
        <v>462</v>
      </c>
      <c r="DQ16" s="1292" t="s">
        <v>466</v>
      </c>
      <c r="DR16" s="1290" t="s">
        <v>466</v>
      </c>
      <c r="DS16" s="1291" t="s">
        <v>462</v>
      </c>
      <c r="DT16" s="1292" t="s">
        <v>466</v>
      </c>
      <c r="DU16" s="1290" t="s">
        <v>466</v>
      </c>
      <c r="DV16" s="1291" t="s">
        <v>462</v>
      </c>
      <c r="DW16" s="1292" t="s">
        <v>466</v>
      </c>
      <c r="DX16" s="68"/>
      <c r="DY16" s="68"/>
      <c r="DZ16" s="68"/>
    </row>
    <row r="17" ht="15.0" customHeight="1" outlineLevel="1">
      <c r="A17" s="1262">
        <v>104.0</v>
      </c>
      <c r="B17" s="1278" t="s">
        <v>313</v>
      </c>
      <c r="C17" s="1279"/>
      <c r="D17" s="1280" t="s">
        <v>90</v>
      </c>
      <c r="E17" s="1294" t="s">
        <v>315</v>
      </c>
      <c r="F17" s="1280">
        <v>1124.0</v>
      </c>
      <c r="G17" s="1295" t="s">
        <v>115</v>
      </c>
      <c r="H17" s="1283">
        <v>0.0</v>
      </c>
      <c r="I17" s="1284"/>
      <c r="J17" s="1284"/>
      <c r="K17" s="1032" t="str">
        <f>IFERROR(VLOOKUP(B16:B169,'RELATÓRIO ACC'!B:F,5,FALSE),"NOT PUBLISHED")</f>
        <v>NOT PUBLISHED</v>
      </c>
      <c r="L17" s="1285" t="str">
        <f>IFERROR(VLOOKUP(B16:B169,'RELATÓRIO ACC'!B:P,15,FALSE),"NOT PUBLISHED")</f>
        <v>NOT PUBLISHED</v>
      </c>
      <c r="M17" s="1281" t="s">
        <v>466</v>
      </c>
      <c r="N17" s="1281" t="s">
        <v>466</v>
      </c>
      <c r="O17" s="1031"/>
      <c r="P17" s="1287"/>
      <c r="Q17" s="1296" t="s">
        <v>466</v>
      </c>
      <c r="R17" s="1297" t="s">
        <v>462</v>
      </c>
      <c r="S17" s="1296" t="s">
        <v>466</v>
      </c>
      <c r="T17" s="1299" t="s">
        <v>466</v>
      </c>
      <c r="U17" s="1300" t="s">
        <v>462</v>
      </c>
      <c r="V17" s="1296" t="s">
        <v>466</v>
      </c>
      <c r="W17" s="1299" t="s">
        <v>466</v>
      </c>
      <c r="X17" s="1300" t="s">
        <v>462</v>
      </c>
      <c r="Y17" s="1296" t="s">
        <v>466</v>
      </c>
      <c r="Z17" s="1299" t="s">
        <v>466</v>
      </c>
      <c r="AA17" s="1300" t="s">
        <v>462</v>
      </c>
      <c r="AB17" s="1296" t="s">
        <v>466</v>
      </c>
      <c r="AC17" s="1299" t="s">
        <v>466</v>
      </c>
      <c r="AD17" s="1300" t="s">
        <v>462</v>
      </c>
      <c r="AE17" s="1296" t="s">
        <v>466</v>
      </c>
      <c r="AF17" s="1299" t="s">
        <v>466</v>
      </c>
      <c r="AG17" s="1300" t="s">
        <v>462</v>
      </c>
      <c r="AH17" s="1296" t="s">
        <v>466</v>
      </c>
      <c r="AI17" s="1299" t="s">
        <v>466</v>
      </c>
      <c r="AJ17" s="1300" t="s">
        <v>462</v>
      </c>
      <c r="AK17" s="1296" t="s">
        <v>466</v>
      </c>
      <c r="AL17" s="1032" t="s">
        <v>466</v>
      </c>
      <c r="AM17" s="1031" t="s">
        <v>462</v>
      </c>
      <c r="AN17" s="1281" t="s">
        <v>466</v>
      </c>
      <c r="AO17" s="1032" t="s">
        <v>466</v>
      </c>
      <c r="AP17" s="1031" t="s">
        <v>462</v>
      </c>
      <c r="AQ17" s="1281" t="s">
        <v>466</v>
      </c>
      <c r="AR17" s="1032" t="s">
        <v>466</v>
      </c>
      <c r="AS17" s="1031" t="s">
        <v>462</v>
      </c>
      <c r="AT17" s="1281" t="s">
        <v>466</v>
      </c>
      <c r="AU17" s="1032" t="s">
        <v>466</v>
      </c>
      <c r="AV17" s="1031" t="s">
        <v>462</v>
      </c>
      <c r="AW17" s="1281" t="s">
        <v>466</v>
      </c>
      <c r="AX17" s="1032" t="s">
        <v>466</v>
      </c>
      <c r="AY17" s="1031" t="s">
        <v>462</v>
      </c>
      <c r="AZ17" s="1281" t="s">
        <v>466</v>
      </c>
      <c r="BA17" s="1032" t="s">
        <v>466</v>
      </c>
      <c r="BB17" s="1031" t="s">
        <v>462</v>
      </c>
      <c r="BC17" s="1281" t="s">
        <v>466</v>
      </c>
      <c r="BD17" s="1290" t="s">
        <v>466</v>
      </c>
      <c r="BE17" s="1291" t="s">
        <v>462</v>
      </c>
      <c r="BF17" s="1303" t="s">
        <v>466</v>
      </c>
      <c r="BG17" s="1290" t="s">
        <v>466</v>
      </c>
      <c r="BH17" s="1291" t="s">
        <v>462</v>
      </c>
      <c r="BI17" s="1303" t="s">
        <v>466</v>
      </c>
      <c r="BJ17" s="1290" t="s">
        <v>466</v>
      </c>
      <c r="BK17" s="1291" t="s">
        <v>462</v>
      </c>
      <c r="BL17" s="1303" t="s">
        <v>466</v>
      </c>
      <c r="BM17" s="1290" t="s">
        <v>466</v>
      </c>
      <c r="BN17" s="1291" t="s">
        <v>462</v>
      </c>
      <c r="BO17" s="1303" t="s">
        <v>466</v>
      </c>
      <c r="BP17" s="1290" t="s">
        <v>466</v>
      </c>
      <c r="BQ17" s="1291" t="s">
        <v>462</v>
      </c>
      <c r="BR17" s="1303" t="s">
        <v>466</v>
      </c>
      <c r="BS17" s="1290" t="s">
        <v>466</v>
      </c>
      <c r="BT17" s="1291" t="s">
        <v>462</v>
      </c>
      <c r="BU17" s="1303" t="s">
        <v>466</v>
      </c>
      <c r="BV17" s="1290" t="s">
        <v>466</v>
      </c>
      <c r="BW17" s="1291" t="s">
        <v>462</v>
      </c>
      <c r="BX17" s="1303" t="s">
        <v>466</v>
      </c>
      <c r="BY17" s="1290" t="s">
        <v>466</v>
      </c>
      <c r="BZ17" s="1291" t="s">
        <v>462</v>
      </c>
      <c r="CA17" s="1303" t="s">
        <v>466</v>
      </c>
      <c r="CB17" s="1290" t="s">
        <v>466</v>
      </c>
      <c r="CC17" s="1291" t="s">
        <v>462</v>
      </c>
      <c r="CD17" s="1303" t="s">
        <v>466</v>
      </c>
      <c r="CE17" s="1290" t="s">
        <v>466</v>
      </c>
      <c r="CF17" s="1291" t="s">
        <v>462</v>
      </c>
      <c r="CG17" s="1292" t="s">
        <v>466</v>
      </c>
      <c r="CH17" s="1290" t="s">
        <v>466</v>
      </c>
      <c r="CI17" s="1291" t="s">
        <v>462</v>
      </c>
      <c r="CJ17" s="1292" t="s">
        <v>466</v>
      </c>
      <c r="CK17" s="1290" t="s">
        <v>466</v>
      </c>
      <c r="CL17" s="1291" t="s">
        <v>462</v>
      </c>
      <c r="CM17" s="1292" t="s">
        <v>466</v>
      </c>
      <c r="CN17" s="1290" t="s">
        <v>466</v>
      </c>
      <c r="CO17" s="1291" t="s">
        <v>462</v>
      </c>
      <c r="CP17" s="1292" t="s">
        <v>466</v>
      </c>
      <c r="CQ17" s="1290" t="s">
        <v>466</v>
      </c>
      <c r="CR17" s="1291" t="s">
        <v>462</v>
      </c>
      <c r="CS17" s="1292" t="s">
        <v>466</v>
      </c>
      <c r="CT17" s="1290" t="s">
        <v>466</v>
      </c>
      <c r="CU17" s="1291" t="s">
        <v>462</v>
      </c>
      <c r="CV17" s="1292" t="s">
        <v>466</v>
      </c>
      <c r="CW17" s="1290" t="s">
        <v>466</v>
      </c>
      <c r="CX17" s="1291" t="s">
        <v>462</v>
      </c>
      <c r="CY17" s="1292" t="s">
        <v>466</v>
      </c>
      <c r="CZ17" s="1290" t="s">
        <v>466</v>
      </c>
      <c r="DA17" s="1291" t="s">
        <v>462</v>
      </c>
      <c r="DB17" s="1292" t="s">
        <v>466</v>
      </c>
      <c r="DC17" s="1290" t="s">
        <v>466</v>
      </c>
      <c r="DD17" s="1291" t="s">
        <v>462</v>
      </c>
      <c r="DE17" s="1292" t="s">
        <v>466</v>
      </c>
      <c r="DF17" s="1290" t="s">
        <v>466</v>
      </c>
      <c r="DG17" s="1291" t="s">
        <v>462</v>
      </c>
      <c r="DH17" s="1292" t="s">
        <v>466</v>
      </c>
      <c r="DI17" s="1290" t="s">
        <v>466</v>
      </c>
      <c r="DJ17" s="1291" t="s">
        <v>462</v>
      </c>
      <c r="DK17" s="1292" t="s">
        <v>466</v>
      </c>
      <c r="DL17" s="1290" t="s">
        <v>466</v>
      </c>
      <c r="DM17" s="1291" t="s">
        <v>462</v>
      </c>
      <c r="DN17" s="1292" t="s">
        <v>466</v>
      </c>
      <c r="DO17" s="1290" t="s">
        <v>466</v>
      </c>
      <c r="DP17" s="1291" t="s">
        <v>462</v>
      </c>
      <c r="DQ17" s="1292" t="s">
        <v>466</v>
      </c>
      <c r="DR17" s="1290" t="s">
        <v>466</v>
      </c>
      <c r="DS17" s="1291" t="s">
        <v>462</v>
      </c>
      <c r="DT17" s="1292" t="s">
        <v>466</v>
      </c>
      <c r="DU17" s="1290" t="s">
        <v>466</v>
      </c>
      <c r="DV17" s="1291" t="s">
        <v>462</v>
      </c>
      <c r="DW17" s="1292" t="s">
        <v>466</v>
      </c>
      <c r="DX17" s="135"/>
      <c r="DY17" s="135"/>
      <c r="DZ17" s="135"/>
    </row>
    <row r="18" ht="15.0" customHeight="1" outlineLevel="1">
      <c r="A18" s="1262">
        <v>98.0</v>
      </c>
      <c r="B18" s="1278" t="s">
        <v>299</v>
      </c>
      <c r="C18" s="1279"/>
      <c r="D18" s="1280" t="s">
        <v>90</v>
      </c>
      <c r="E18" s="138" t="s">
        <v>298</v>
      </c>
      <c r="F18" s="1317"/>
      <c r="G18" s="147" t="s">
        <v>298</v>
      </c>
      <c r="H18" s="1313"/>
      <c r="I18" s="1284"/>
      <c r="J18" s="1284"/>
      <c r="K18" s="1032" t="str">
        <f>IFERROR(VLOOKUP(B17:B170,'RELATÓRIO ACC'!B:F,5,FALSE),"NOT PUBLISHED")</f>
        <v>V2</v>
      </c>
      <c r="L18" s="1285" t="str">
        <f>IFERROR(VLOOKUP(B17:B170,'RELATÓRIO ACC'!B:P,15,FALSE),"NOT PUBLISHED")</f>
        <v>26/05/2026</v>
      </c>
      <c r="M18" s="1318" t="s">
        <v>596</v>
      </c>
      <c r="N18" s="1319">
        <v>45803.0</v>
      </c>
      <c r="O18" s="1042" t="s">
        <v>472</v>
      </c>
      <c r="P18" s="1287"/>
      <c r="Q18" s="1296" t="s">
        <v>466</v>
      </c>
      <c r="R18" s="1300" t="s">
        <v>462</v>
      </c>
      <c r="S18" s="1296" t="s">
        <v>466</v>
      </c>
      <c r="T18" s="1299" t="s">
        <v>466</v>
      </c>
      <c r="U18" s="1300" t="s">
        <v>462</v>
      </c>
      <c r="V18" s="1296" t="s">
        <v>466</v>
      </c>
      <c r="W18" s="1299" t="s">
        <v>466</v>
      </c>
      <c r="X18" s="1300" t="s">
        <v>462</v>
      </c>
      <c r="Y18" s="1296" t="s">
        <v>466</v>
      </c>
      <c r="Z18" s="1299" t="s">
        <v>466</v>
      </c>
      <c r="AA18" s="1300" t="s">
        <v>462</v>
      </c>
      <c r="AB18" s="1296" t="s">
        <v>466</v>
      </c>
      <c r="AC18" s="1299" t="s">
        <v>466</v>
      </c>
      <c r="AD18" s="1300" t="s">
        <v>462</v>
      </c>
      <c r="AE18" s="1296" t="s">
        <v>466</v>
      </c>
      <c r="AF18" s="1299" t="s">
        <v>466</v>
      </c>
      <c r="AG18" s="1300" t="s">
        <v>462</v>
      </c>
      <c r="AH18" s="1296" t="s">
        <v>466</v>
      </c>
      <c r="AI18" s="1299" t="s">
        <v>466</v>
      </c>
      <c r="AJ18" s="1300" t="s">
        <v>462</v>
      </c>
      <c r="AK18" s="1296" t="s">
        <v>466</v>
      </c>
      <c r="AL18" s="1032" t="s">
        <v>466</v>
      </c>
      <c r="AM18" s="1031" t="s">
        <v>462</v>
      </c>
      <c r="AN18" s="1281" t="s">
        <v>466</v>
      </c>
      <c r="AO18" s="1032" t="s">
        <v>466</v>
      </c>
      <c r="AP18" s="1031" t="s">
        <v>462</v>
      </c>
      <c r="AQ18" s="1281" t="s">
        <v>466</v>
      </c>
      <c r="AR18" s="1032" t="s">
        <v>466</v>
      </c>
      <c r="AS18" s="1031" t="s">
        <v>462</v>
      </c>
      <c r="AT18" s="1281" t="s">
        <v>466</v>
      </c>
      <c r="AU18" s="1032" t="s">
        <v>466</v>
      </c>
      <c r="AV18" s="1031" t="s">
        <v>462</v>
      </c>
      <c r="AW18" s="1281" t="s">
        <v>466</v>
      </c>
      <c r="AX18" s="1032" t="s">
        <v>466</v>
      </c>
      <c r="AY18" s="1031" t="s">
        <v>462</v>
      </c>
      <c r="AZ18" s="1281" t="s">
        <v>466</v>
      </c>
      <c r="BA18" s="1032" t="s">
        <v>466</v>
      </c>
      <c r="BB18" s="1031" t="s">
        <v>462</v>
      </c>
      <c r="BC18" s="1281" t="s">
        <v>466</v>
      </c>
      <c r="BD18" s="1290" t="s">
        <v>466</v>
      </c>
      <c r="BE18" s="1291" t="s">
        <v>462</v>
      </c>
      <c r="BF18" s="1303" t="s">
        <v>466</v>
      </c>
      <c r="BG18" s="1290" t="s">
        <v>466</v>
      </c>
      <c r="BH18" s="1291" t="s">
        <v>462</v>
      </c>
      <c r="BI18" s="1303" t="s">
        <v>466</v>
      </c>
      <c r="BJ18" s="1290" t="s">
        <v>466</v>
      </c>
      <c r="BK18" s="1291" t="s">
        <v>462</v>
      </c>
      <c r="BL18" s="1303" t="s">
        <v>466</v>
      </c>
      <c r="BM18" s="1290" t="s">
        <v>466</v>
      </c>
      <c r="BN18" s="1291" t="s">
        <v>462</v>
      </c>
      <c r="BO18" s="1303" t="s">
        <v>466</v>
      </c>
      <c r="BP18" s="1290" t="s">
        <v>466</v>
      </c>
      <c r="BQ18" s="1291" t="s">
        <v>462</v>
      </c>
      <c r="BR18" s="1303" t="s">
        <v>466</v>
      </c>
      <c r="BS18" s="1290" t="s">
        <v>466</v>
      </c>
      <c r="BT18" s="1291" t="s">
        <v>462</v>
      </c>
      <c r="BU18" s="1303" t="s">
        <v>466</v>
      </c>
      <c r="BV18" s="1290" t="s">
        <v>466</v>
      </c>
      <c r="BW18" s="1291" t="s">
        <v>462</v>
      </c>
      <c r="BX18" s="1303" t="s">
        <v>466</v>
      </c>
      <c r="BY18" s="1290" t="s">
        <v>466</v>
      </c>
      <c r="BZ18" s="1291" t="s">
        <v>462</v>
      </c>
      <c r="CA18" s="1303" t="s">
        <v>466</v>
      </c>
      <c r="CB18" s="1290" t="s">
        <v>466</v>
      </c>
      <c r="CC18" s="1291" t="s">
        <v>462</v>
      </c>
      <c r="CD18" s="1303" t="s">
        <v>466</v>
      </c>
      <c r="CE18" s="1290" t="s">
        <v>466</v>
      </c>
      <c r="CF18" s="1291" t="s">
        <v>462</v>
      </c>
      <c r="CG18" s="1303" t="s">
        <v>466</v>
      </c>
      <c r="CH18" s="1290" t="s">
        <v>466</v>
      </c>
      <c r="CI18" s="1291" t="s">
        <v>462</v>
      </c>
      <c r="CJ18" s="1303" t="s">
        <v>466</v>
      </c>
      <c r="CK18" s="1290" t="s">
        <v>466</v>
      </c>
      <c r="CL18" s="1291" t="s">
        <v>462</v>
      </c>
      <c r="CM18" s="1303" t="s">
        <v>466</v>
      </c>
      <c r="CN18" s="1290" t="s">
        <v>466</v>
      </c>
      <c r="CO18" s="1291" t="s">
        <v>462</v>
      </c>
      <c r="CP18" s="1303" t="s">
        <v>466</v>
      </c>
      <c r="CQ18" s="1290" t="s">
        <v>466</v>
      </c>
      <c r="CR18" s="1291" t="s">
        <v>462</v>
      </c>
      <c r="CS18" s="1290" t="s">
        <v>466</v>
      </c>
      <c r="CT18" s="1290" t="s">
        <v>462</v>
      </c>
      <c r="CU18" s="1291" t="s">
        <v>462</v>
      </c>
      <c r="CV18" s="1290" t="s">
        <v>462</v>
      </c>
      <c r="CW18" s="1290" t="s">
        <v>462</v>
      </c>
      <c r="CX18" s="1291" t="s">
        <v>462</v>
      </c>
      <c r="CY18" s="1290" t="s">
        <v>462</v>
      </c>
      <c r="CZ18" s="1290" t="s">
        <v>462</v>
      </c>
      <c r="DA18" s="1291" t="s">
        <v>462</v>
      </c>
      <c r="DB18" s="1290" t="s">
        <v>462</v>
      </c>
      <c r="DC18" s="740" t="s">
        <v>474</v>
      </c>
      <c r="DD18" s="1291" t="s">
        <v>462</v>
      </c>
      <c r="DE18" s="764">
        <v>0.0</v>
      </c>
      <c r="DF18" s="755" t="s">
        <v>474</v>
      </c>
      <c r="DG18" s="1291" t="s">
        <v>462</v>
      </c>
      <c r="DH18" s="755" t="s">
        <v>474</v>
      </c>
      <c r="DI18" s="755" t="s">
        <v>474</v>
      </c>
      <c r="DJ18" s="1291" t="s">
        <v>462</v>
      </c>
      <c r="DK18" s="755" t="s">
        <v>474</v>
      </c>
      <c r="DL18" s="755" t="s">
        <v>477</v>
      </c>
      <c r="DM18" s="1320" t="s">
        <v>596</v>
      </c>
      <c r="DN18" s="764">
        <v>0.8</v>
      </c>
      <c r="DO18" s="755" t="s">
        <v>478</v>
      </c>
      <c r="DP18" s="1320" t="s">
        <v>596</v>
      </c>
      <c r="DQ18" s="755" t="s">
        <v>478</v>
      </c>
      <c r="DR18" s="755" t="s">
        <v>478</v>
      </c>
      <c r="DS18" s="1320" t="s">
        <v>596</v>
      </c>
      <c r="DT18" s="755" t="s">
        <v>478</v>
      </c>
      <c r="DU18" s="755" t="s">
        <v>478</v>
      </c>
      <c r="DV18" s="1320" t="s">
        <v>596</v>
      </c>
      <c r="DW18" s="755" t="s">
        <v>478</v>
      </c>
      <c r="DX18" s="68"/>
      <c r="DY18" s="68"/>
      <c r="DZ18" s="68"/>
    </row>
    <row r="19" ht="15.0" customHeight="1" outlineLevel="1">
      <c r="A19" s="1262">
        <v>31.0</v>
      </c>
      <c r="B19" s="1278" t="s">
        <v>158</v>
      </c>
      <c r="C19" s="1278" t="s">
        <v>159</v>
      </c>
      <c r="D19" s="1321" t="s">
        <v>90</v>
      </c>
      <c r="E19" s="1294" t="s">
        <v>156</v>
      </c>
      <c r="F19" s="1282">
        <v>0.0</v>
      </c>
      <c r="G19" s="1283" t="s">
        <v>157</v>
      </c>
      <c r="H19" s="1313"/>
      <c r="I19" s="1322" t="str">
        <f>IFERROR(VLOOKUP(C16:C165,'R22 RELATÓRIO ACC'!B:F,5,FALSE),"NOT PUBLISHED")</f>
        <v>V2</v>
      </c>
      <c r="J19" s="1322" t="str">
        <f>IFERROR(VLOOKUP(C16:C165,'R22 RELATÓRIO ACC'!B:P,15,FALSE),"NOT PUBLISHED")</f>
        <v>29/04/2026</v>
      </c>
      <c r="K19" s="1032" t="str">
        <f>IFERROR(VLOOKUP(B18:B173,'RELATÓRIO ACC'!B:F,5,FALSE),"NOT PUBLISHED")</f>
        <v>V1</v>
      </c>
      <c r="L19" s="1285" t="str">
        <f>IFERROR(VLOOKUP(B18:B173,'RELATÓRIO ACC'!B:P,15,FALSE),"NOT PUBLISHED")</f>
        <v>12/06/2026</v>
      </c>
      <c r="M19" s="1323" t="s">
        <v>470</v>
      </c>
      <c r="N19" s="1324">
        <v>46185.0</v>
      </c>
      <c r="O19" s="1042" t="s">
        <v>472</v>
      </c>
      <c r="P19" s="1287"/>
      <c r="Q19" s="1281" t="s">
        <v>466</v>
      </c>
      <c r="R19" s="1280" t="s">
        <v>462</v>
      </c>
      <c r="S19" s="1281" t="s">
        <v>466</v>
      </c>
      <c r="T19" s="1032" t="s">
        <v>466</v>
      </c>
      <c r="U19" s="1280" t="s">
        <v>462</v>
      </c>
      <c r="V19" s="1281" t="s">
        <v>466</v>
      </c>
      <c r="W19" s="1032" t="s">
        <v>466</v>
      </c>
      <c r="X19" s="1031" t="s">
        <v>462</v>
      </c>
      <c r="Y19" s="1281" t="s">
        <v>466</v>
      </c>
      <c r="Z19" s="1032" t="s">
        <v>466</v>
      </c>
      <c r="AA19" s="1031" t="s">
        <v>462</v>
      </c>
      <c r="AB19" s="1281" t="s">
        <v>466</v>
      </c>
      <c r="AC19" s="1032" t="s">
        <v>466</v>
      </c>
      <c r="AD19" s="1031" t="s">
        <v>462</v>
      </c>
      <c r="AE19" s="1281" t="s">
        <v>466</v>
      </c>
      <c r="AF19" s="1032" t="s">
        <v>466</v>
      </c>
      <c r="AG19" s="1031" t="s">
        <v>462</v>
      </c>
      <c r="AH19" s="1281" t="s">
        <v>466</v>
      </c>
      <c r="AI19" s="1032" t="s">
        <v>466</v>
      </c>
      <c r="AJ19" s="1031" t="s">
        <v>462</v>
      </c>
      <c r="AK19" s="1281" t="s">
        <v>466</v>
      </c>
      <c r="AL19" s="1032" t="s">
        <v>466</v>
      </c>
      <c r="AM19" s="1031" t="s">
        <v>462</v>
      </c>
      <c r="AN19" s="1281" t="s">
        <v>466</v>
      </c>
      <c r="AO19" s="1034" t="s">
        <v>474</v>
      </c>
      <c r="AP19" s="1031" t="s">
        <v>462</v>
      </c>
      <c r="AQ19" s="1325" t="s">
        <v>474</v>
      </c>
      <c r="AR19" s="746" t="s">
        <v>477</v>
      </c>
      <c r="AS19" s="766" t="s">
        <v>476</v>
      </c>
      <c r="AT19" s="1326">
        <v>0.77</v>
      </c>
      <c r="AU19" s="758" t="s">
        <v>478</v>
      </c>
      <c r="AV19" s="1327" t="s">
        <v>476</v>
      </c>
      <c r="AW19" s="1328" t="s">
        <v>478</v>
      </c>
      <c r="AX19" s="758" t="s">
        <v>478</v>
      </c>
      <c r="AY19" s="1327" t="s">
        <v>476</v>
      </c>
      <c r="AZ19" s="1328" t="s">
        <v>478</v>
      </c>
      <c r="BA19" s="758" t="s">
        <v>478</v>
      </c>
      <c r="BB19" s="1327" t="s">
        <v>476</v>
      </c>
      <c r="BC19" s="1328" t="s">
        <v>478</v>
      </c>
      <c r="BD19" s="1329" t="s">
        <v>478</v>
      </c>
      <c r="BE19" s="1330" t="s">
        <v>476</v>
      </c>
      <c r="BF19" s="1331" t="s">
        <v>478</v>
      </c>
      <c r="BG19" s="1329" t="s">
        <v>478</v>
      </c>
      <c r="BH19" s="1330" t="s">
        <v>476</v>
      </c>
      <c r="BI19" s="1331" t="s">
        <v>478</v>
      </c>
      <c r="BJ19" s="1329" t="s">
        <v>478</v>
      </c>
      <c r="BK19" s="1330" t="s">
        <v>476</v>
      </c>
      <c r="BL19" s="1331" t="s">
        <v>478</v>
      </c>
      <c r="BM19" s="1329" t="s">
        <v>478</v>
      </c>
      <c r="BN19" s="1330" t="s">
        <v>476</v>
      </c>
      <c r="BO19" s="1331" t="s">
        <v>478</v>
      </c>
      <c r="BP19" s="1329" t="s">
        <v>478</v>
      </c>
      <c r="BQ19" s="1330" t="s">
        <v>476</v>
      </c>
      <c r="BR19" s="1331" t="s">
        <v>478</v>
      </c>
      <c r="BS19" s="1329" t="s">
        <v>478</v>
      </c>
      <c r="BT19" s="1330" t="s">
        <v>476</v>
      </c>
      <c r="BU19" s="1331" t="s">
        <v>478</v>
      </c>
      <c r="BV19" s="1329" t="s">
        <v>478</v>
      </c>
      <c r="BW19" s="1330" t="s">
        <v>476</v>
      </c>
      <c r="BX19" s="1331" t="s">
        <v>478</v>
      </c>
      <c r="BY19" s="1332" t="s">
        <v>474</v>
      </c>
      <c r="BZ19" s="1330" t="s">
        <v>476</v>
      </c>
      <c r="CA19" s="1333" t="s">
        <v>474</v>
      </c>
      <c r="CB19" s="755" t="s">
        <v>474</v>
      </c>
      <c r="CC19" s="1330" t="s">
        <v>476</v>
      </c>
      <c r="CD19" s="1195" t="s">
        <v>474</v>
      </c>
      <c r="CE19" s="755" t="s">
        <v>474</v>
      </c>
      <c r="CF19" s="1330"/>
      <c r="CG19" s="1195" t="s">
        <v>474</v>
      </c>
      <c r="CH19" s="1048" t="s">
        <v>474</v>
      </c>
      <c r="CI19" s="1334"/>
      <c r="CJ19" s="1335" t="s">
        <v>474</v>
      </c>
      <c r="CK19" s="1048" t="s">
        <v>474</v>
      </c>
      <c r="CL19" s="1334"/>
      <c r="CM19" s="1335" t="s">
        <v>474</v>
      </c>
      <c r="CN19" s="1048" t="s">
        <v>474</v>
      </c>
      <c r="CO19" s="1334"/>
      <c r="CP19" s="1335" t="s">
        <v>474</v>
      </c>
      <c r="CQ19" s="755" t="s">
        <v>477</v>
      </c>
      <c r="CR19" s="1334"/>
      <c r="CS19" s="1152">
        <v>0.49</v>
      </c>
      <c r="CT19" s="755" t="s">
        <v>478</v>
      </c>
      <c r="CU19" s="1334"/>
      <c r="CV19" s="755" t="s">
        <v>478</v>
      </c>
      <c r="CW19" s="755" t="s">
        <v>474</v>
      </c>
      <c r="CX19" s="1334"/>
      <c r="CY19" s="755" t="s">
        <v>474</v>
      </c>
      <c r="CZ19" s="755" t="s">
        <v>475</v>
      </c>
      <c r="DA19" s="1334"/>
      <c r="DB19" s="755" t="s">
        <v>475</v>
      </c>
      <c r="DC19" s="755" t="s">
        <v>478</v>
      </c>
      <c r="DD19" s="1334"/>
      <c r="DE19" s="755" t="s">
        <v>478</v>
      </c>
      <c r="DF19" s="755" t="s">
        <v>475</v>
      </c>
      <c r="DG19" s="1334"/>
      <c r="DH19" s="755" t="s">
        <v>475</v>
      </c>
      <c r="DI19" s="755" t="s">
        <v>478</v>
      </c>
      <c r="DJ19" s="1334"/>
      <c r="DK19" s="755" t="s">
        <v>478</v>
      </c>
      <c r="DL19" s="755" t="s">
        <v>478</v>
      </c>
      <c r="DM19" s="1334"/>
      <c r="DN19" s="755" t="s">
        <v>478</v>
      </c>
      <c r="DO19" s="755" t="s">
        <v>478</v>
      </c>
      <c r="DP19" s="1334"/>
      <c r="DQ19" s="755" t="s">
        <v>478</v>
      </c>
      <c r="DR19" s="755" t="s">
        <v>478</v>
      </c>
      <c r="DS19" s="1334"/>
      <c r="DT19" s="755" t="s">
        <v>478</v>
      </c>
      <c r="DU19" s="755" t="s">
        <v>478</v>
      </c>
      <c r="DV19" s="1334"/>
      <c r="DW19" s="755" t="s">
        <v>478</v>
      </c>
      <c r="DX19" s="68"/>
      <c r="DY19" s="68"/>
      <c r="DZ19" s="68"/>
    </row>
    <row r="20" ht="15.0" hidden="1" customHeight="1">
      <c r="A20" s="1262">
        <v>33.0</v>
      </c>
      <c r="B20" s="1336" t="s">
        <v>166</v>
      </c>
      <c r="C20" s="1337"/>
      <c r="D20" s="1337"/>
      <c r="E20" s="1337"/>
      <c r="F20" s="1338"/>
      <c r="G20" s="1338"/>
      <c r="H20" s="1339"/>
      <c r="I20" s="1337"/>
      <c r="J20" s="1337"/>
      <c r="K20" s="1340"/>
      <c r="L20" s="1341"/>
      <c r="M20" s="1337"/>
      <c r="N20" s="1337"/>
      <c r="O20" s="73"/>
      <c r="P20" s="1342"/>
      <c r="Q20" s="1343"/>
      <c r="R20" s="1344"/>
      <c r="S20" s="1345"/>
      <c r="T20" s="1346"/>
      <c r="U20" s="1344"/>
      <c r="V20" s="1345"/>
      <c r="W20" s="1347"/>
      <c r="X20" s="1055"/>
      <c r="Y20" s="1348"/>
      <c r="Z20" s="1055"/>
      <c r="AA20" s="1055"/>
      <c r="AB20" s="1349"/>
      <c r="AC20" s="1055"/>
      <c r="AD20" s="1055"/>
      <c r="AE20" s="1349"/>
      <c r="AF20" s="1055"/>
      <c r="AG20" s="1055"/>
      <c r="AH20" s="1349"/>
      <c r="AI20" s="1055"/>
      <c r="AJ20" s="1055"/>
      <c r="AK20" s="1055"/>
      <c r="AL20" s="1055"/>
      <c r="AM20" s="1055"/>
      <c r="AN20" s="1055"/>
      <c r="AO20" s="1055"/>
      <c r="AP20" s="1055"/>
      <c r="AQ20" s="1055"/>
      <c r="AR20" s="1055"/>
      <c r="AS20" s="1055"/>
      <c r="AT20" s="1055"/>
      <c r="AU20" s="1055"/>
      <c r="AV20" s="1055"/>
      <c r="AW20" s="1055"/>
      <c r="AX20" s="1055"/>
      <c r="AY20" s="1055"/>
      <c r="AZ20" s="1055"/>
      <c r="BA20" s="1055"/>
      <c r="BB20" s="1055"/>
      <c r="BC20" s="1055"/>
      <c r="BD20" s="1350"/>
      <c r="BE20" s="1350"/>
      <c r="BF20" s="1350"/>
      <c r="BG20" s="1350"/>
      <c r="BH20" s="1350"/>
      <c r="BI20" s="1350"/>
      <c r="BJ20" s="1350"/>
      <c r="BK20" s="1350"/>
      <c r="BL20" s="1350"/>
      <c r="BM20" s="1350"/>
      <c r="BN20" s="1350"/>
      <c r="BO20" s="1350"/>
      <c r="BP20" s="1350"/>
      <c r="BQ20" s="1350"/>
      <c r="BR20" s="1350"/>
      <c r="BS20" s="1350"/>
      <c r="BT20" s="1350"/>
      <c r="BU20" s="1350"/>
      <c r="BV20" s="1350"/>
      <c r="BW20" s="1350"/>
      <c r="BX20" s="1350"/>
      <c r="BY20" s="1350"/>
      <c r="BZ20" s="1350"/>
      <c r="CA20" s="1350"/>
      <c r="CB20" s="1350"/>
      <c r="CC20" s="1350"/>
      <c r="CD20" s="1350"/>
      <c r="CE20" s="1350"/>
      <c r="CF20" s="1350"/>
      <c r="CG20" s="1350"/>
      <c r="CH20" s="1350"/>
      <c r="CI20" s="1350"/>
      <c r="CJ20" s="1350"/>
      <c r="CK20" s="1350"/>
      <c r="CL20" s="1350"/>
      <c r="CM20" s="1350"/>
      <c r="CN20" s="1350"/>
      <c r="CO20" s="1350"/>
      <c r="CP20" s="1350"/>
      <c r="CQ20" s="1350"/>
      <c r="CR20" s="1350"/>
      <c r="CS20" s="1350"/>
      <c r="CT20" s="1350"/>
      <c r="CU20" s="1350"/>
      <c r="CV20" s="1350"/>
      <c r="CW20" s="1350"/>
      <c r="CX20" s="1350"/>
      <c r="CY20" s="1350"/>
      <c r="CZ20" s="1350"/>
      <c r="DA20" s="1350"/>
      <c r="DB20" s="1350"/>
      <c r="DC20" s="1350"/>
      <c r="DD20" s="1350"/>
      <c r="DE20" s="1350"/>
      <c r="DF20" s="1350"/>
      <c r="DG20" s="1350"/>
      <c r="DH20" s="1350"/>
      <c r="DI20" s="1350"/>
      <c r="DJ20" s="1350"/>
      <c r="DK20" s="1350"/>
      <c r="DL20" s="1350"/>
      <c r="DM20" s="1350"/>
      <c r="DN20" s="1350"/>
      <c r="DO20" s="1350"/>
      <c r="DP20" s="1350"/>
      <c r="DQ20" s="1350"/>
      <c r="DR20" s="1350"/>
      <c r="DS20" s="1350"/>
      <c r="DT20" s="1350"/>
      <c r="DU20" s="1350"/>
      <c r="DV20" s="1350"/>
      <c r="DW20" s="1350"/>
      <c r="DX20" s="186"/>
      <c r="DY20" s="186"/>
      <c r="DZ20" s="186"/>
    </row>
    <row r="21" ht="15.0" customHeight="1" outlineLevel="1">
      <c r="A21" s="1262">
        <v>58.0</v>
      </c>
      <c r="B21" s="747" t="s">
        <v>217</v>
      </c>
      <c r="C21" s="747" t="s">
        <v>217</v>
      </c>
      <c r="D21" s="1280" t="s">
        <v>90</v>
      </c>
      <c r="E21" s="1351" t="s">
        <v>218</v>
      </c>
      <c r="F21" s="1280">
        <v>1115.0</v>
      </c>
      <c r="G21" s="1352" t="s">
        <v>218</v>
      </c>
      <c r="H21" s="1295"/>
      <c r="I21" s="1322" t="str">
        <f>IFERROR(VLOOKUP(C18:C167,'R22 RELATÓRIO ACC'!B:F,5,FALSE),"NOT PUBLISHED")</f>
        <v>V2</v>
      </c>
      <c r="J21" s="1322" t="str">
        <f>IFERROR(VLOOKUP(C18:C167,'R22 RELATÓRIO ACC'!B:P,15,FALSE),"NOT PUBLISHED")</f>
        <v>07/05/2026</v>
      </c>
      <c r="K21" s="1353" t="str">
        <f>IFERROR(VLOOKUP(B20:B174,'RELATÓRIO ACC'!B:F,5,FALSE),"NOT PUBLISHED")</f>
        <v>V5</v>
      </c>
      <c r="L21" s="1285" t="str">
        <f>IFERROR(VLOOKUP(B20:B174,'RELATÓRIO ACC'!B:P,15,FALSE),"NOT PUBLISHED")</f>
        <v>08/07/2026</v>
      </c>
      <c r="M21" s="141" t="s">
        <v>479</v>
      </c>
      <c r="N21" s="1038">
        <v>46205.0</v>
      </c>
      <c r="O21" s="1042" t="s">
        <v>472</v>
      </c>
      <c r="P21" s="1354" t="s">
        <v>473</v>
      </c>
      <c r="Q21" s="1281" t="s">
        <v>466</v>
      </c>
      <c r="R21" s="1031" t="s">
        <v>462</v>
      </c>
      <c r="S21" s="1306" t="s">
        <v>466</v>
      </c>
      <c r="T21" s="1032" t="s">
        <v>466</v>
      </c>
      <c r="U21" s="1031" t="s">
        <v>462</v>
      </c>
      <c r="V21" s="1306" t="s">
        <v>466</v>
      </c>
      <c r="W21" s="1032" t="s">
        <v>466</v>
      </c>
      <c r="X21" s="1031" t="s">
        <v>462</v>
      </c>
      <c r="Y21" s="1355" t="s">
        <v>466</v>
      </c>
      <c r="Z21" s="1032" t="s">
        <v>466</v>
      </c>
      <c r="AA21" s="1031" t="s">
        <v>462</v>
      </c>
      <c r="AB21" s="1312" t="s">
        <v>466</v>
      </c>
      <c r="AC21" s="1032" t="s">
        <v>466</v>
      </c>
      <c r="AD21" s="1031" t="s">
        <v>462</v>
      </c>
      <c r="AE21" s="1312" t="s">
        <v>466</v>
      </c>
      <c r="AF21" s="1032" t="s">
        <v>466</v>
      </c>
      <c r="AG21" s="1031" t="s">
        <v>462</v>
      </c>
      <c r="AH21" s="1312" t="s">
        <v>466</v>
      </c>
      <c r="AI21" s="1032" t="s">
        <v>466</v>
      </c>
      <c r="AJ21" s="1031" t="s">
        <v>462</v>
      </c>
      <c r="AK21" s="1312" t="s">
        <v>466</v>
      </c>
      <c r="AL21" s="1032" t="s">
        <v>466</v>
      </c>
      <c r="AM21" s="1031" t="s">
        <v>462</v>
      </c>
      <c r="AN21" s="1312" t="s">
        <v>466</v>
      </c>
      <c r="AO21" s="1032" t="s">
        <v>466</v>
      </c>
      <c r="AP21" s="1031" t="s">
        <v>462</v>
      </c>
      <c r="AQ21" s="1312" t="s">
        <v>466</v>
      </c>
      <c r="AR21" s="1032" t="s">
        <v>466</v>
      </c>
      <c r="AS21" s="1031" t="s">
        <v>462</v>
      </c>
      <c r="AT21" s="1312" t="s">
        <v>466</v>
      </c>
      <c r="AU21" s="1032" t="s">
        <v>466</v>
      </c>
      <c r="AV21" s="1031" t="s">
        <v>462</v>
      </c>
      <c r="AW21" s="1312" t="s">
        <v>466</v>
      </c>
      <c r="AX21" s="1032" t="s">
        <v>466</v>
      </c>
      <c r="AY21" s="1031" t="s">
        <v>462</v>
      </c>
      <c r="AZ21" s="1312" t="s">
        <v>466</v>
      </c>
      <c r="BA21" s="1032" t="s">
        <v>466</v>
      </c>
      <c r="BB21" s="1031" t="s">
        <v>462</v>
      </c>
      <c r="BC21" s="1312" t="s">
        <v>466</v>
      </c>
      <c r="BD21" s="1032" t="s">
        <v>466</v>
      </c>
      <c r="BE21" s="1031" t="s">
        <v>462</v>
      </c>
      <c r="BF21" s="1312" t="s">
        <v>466</v>
      </c>
      <c r="BG21" s="1032" t="s">
        <v>466</v>
      </c>
      <c r="BH21" s="1031" t="s">
        <v>462</v>
      </c>
      <c r="BI21" s="1312" t="s">
        <v>466</v>
      </c>
      <c r="BJ21" s="1032" t="s">
        <v>466</v>
      </c>
      <c r="BK21" s="1031" t="s">
        <v>462</v>
      </c>
      <c r="BL21" s="1312" t="s">
        <v>466</v>
      </c>
      <c r="BM21" s="1032" t="s">
        <v>466</v>
      </c>
      <c r="BN21" s="1031" t="s">
        <v>462</v>
      </c>
      <c r="BO21" s="1312" t="s">
        <v>466</v>
      </c>
      <c r="BP21" s="1032" t="s">
        <v>466</v>
      </c>
      <c r="BQ21" s="1031" t="s">
        <v>462</v>
      </c>
      <c r="BR21" s="1312" t="s">
        <v>466</v>
      </c>
      <c r="BS21" s="1032" t="s">
        <v>466</v>
      </c>
      <c r="BT21" s="1031" t="s">
        <v>462</v>
      </c>
      <c r="BU21" s="1312" t="s">
        <v>466</v>
      </c>
      <c r="BV21" s="1032" t="s">
        <v>466</v>
      </c>
      <c r="BW21" s="1031" t="s">
        <v>462</v>
      </c>
      <c r="BX21" s="1312" t="s">
        <v>466</v>
      </c>
      <c r="BY21" s="1032" t="s">
        <v>466</v>
      </c>
      <c r="BZ21" s="1031" t="s">
        <v>462</v>
      </c>
      <c r="CA21" s="1312" t="s">
        <v>466</v>
      </c>
      <c r="CB21" s="1032" t="s">
        <v>466</v>
      </c>
      <c r="CC21" s="1031" t="s">
        <v>462</v>
      </c>
      <c r="CD21" s="1312" t="s">
        <v>466</v>
      </c>
      <c r="CE21" s="1032" t="s">
        <v>466</v>
      </c>
      <c r="CF21" s="1031" t="s">
        <v>462</v>
      </c>
      <c r="CG21" s="1312" t="s">
        <v>466</v>
      </c>
      <c r="CH21" s="1032" t="s">
        <v>466</v>
      </c>
      <c r="CI21" s="1031" t="s">
        <v>462</v>
      </c>
      <c r="CJ21" s="1312" t="s">
        <v>466</v>
      </c>
      <c r="CK21" s="1032" t="s">
        <v>466</v>
      </c>
      <c r="CL21" s="1031" t="s">
        <v>462</v>
      </c>
      <c r="CM21" s="1312" t="s">
        <v>466</v>
      </c>
      <c r="CN21" s="1032" t="s">
        <v>466</v>
      </c>
      <c r="CO21" s="1031" t="s">
        <v>462</v>
      </c>
      <c r="CP21" s="1312" t="s">
        <v>466</v>
      </c>
      <c r="CQ21" s="746" t="s">
        <v>474</v>
      </c>
      <c r="CR21" s="1356"/>
      <c r="CS21" s="1152">
        <v>0.0</v>
      </c>
      <c r="CT21" s="746" t="s">
        <v>474</v>
      </c>
      <c r="CU21" s="1356"/>
      <c r="CV21" s="746" t="s">
        <v>474</v>
      </c>
      <c r="CW21" s="746" t="s">
        <v>474</v>
      </c>
      <c r="CX21" s="1356"/>
      <c r="CY21" s="746" t="s">
        <v>474</v>
      </c>
      <c r="CZ21" s="755" t="s">
        <v>477</v>
      </c>
      <c r="DA21" s="1356"/>
      <c r="DB21" s="1357">
        <v>0.38</v>
      </c>
      <c r="DC21" s="755" t="s">
        <v>478</v>
      </c>
      <c r="DD21" s="1356"/>
      <c r="DE21" s="755" t="s">
        <v>478</v>
      </c>
      <c r="DF21" s="755" t="s">
        <v>478</v>
      </c>
      <c r="DG21" s="1356"/>
      <c r="DH21" s="755" t="s">
        <v>478</v>
      </c>
      <c r="DI21" s="755" t="s">
        <v>474</v>
      </c>
      <c r="DJ21" s="1356"/>
      <c r="DK21" s="755" t="s">
        <v>474</v>
      </c>
      <c r="DL21" s="755" t="s">
        <v>477</v>
      </c>
      <c r="DM21" s="1356" t="s">
        <v>596</v>
      </c>
      <c r="DN21" s="1358">
        <v>0.4</v>
      </c>
      <c r="DO21" s="755" t="s">
        <v>474</v>
      </c>
      <c r="DP21" s="1356" t="s">
        <v>596</v>
      </c>
      <c r="DQ21" s="755" t="s">
        <v>474</v>
      </c>
      <c r="DR21" s="755" t="s">
        <v>484</v>
      </c>
      <c r="DS21" s="1356" t="s">
        <v>479</v>
      </c>
      <c r="DT21" s="1359">
        <v>1.0</v>
      </c>
      <c r="DU21" s="1360" t="s">
        <v>485</v>
      </c>
      <c r="DV21" s="1356" t="s">
        <v>479</v>
      </c>
      <c r="DW21" s="1359">
        <v>1.0</v>
      </c>
      <c r="DX21" s="135"/>
      <c r="DY21" s="135"/>
      <c r="DZ21" s="135"/>
    </row>
    <row r="22" ht="15.0" hidden="1" customHeight="1">
      <c r="A22" s="1262">
        <v>36.0</v>
      </c>
      <c r="B22" s="1361" t="s">
        <v>173</v>
      </c>
      <c r="C22" s="1362"/>
      <c r="D22" s="1362"/>
      <c r="E22" s="1362"/>
      <c r="F22" s="1363"/>
      <c r="G22" s="1362"/>
      <c r="H22" s="1364"/>
      <c r="I22" s="1362"/>
      <c r="J22" s="1362"/>
      <c r="K22" s="1365"/>
      <c r="L22" s="1366"/>
      <c r="M22" s="1362"/>
      <c r="N22" s="1362"/>
      <c r="O22" s="73"/>
      <c r="P22" s="1367"/>
      <c r="Q22" s="1368"/>
      <c r="R22" s="1369"/>
      <c r="S22" s="1370"/>
      <c r="T22" s="1371"/>
      <c r="U22" s="1369"/>
      <c r="V22" s="1370"/>
      <c r="W22" s="1372"/>
      <c r="X22" s="1060"/>
      <c r="Y22" s="1373"/>
      <c r="Z22" s="1060"/>
      <c r="AA22" s="1060"/>
      <c r="AB22" s="1374"/>
      <c r="AC22" s="1060"/>
      <c r="AD22" s="1060"/>
      <c r="AE22" s="1374"/>
      <c r="AF22" s="1060"/>
      <c r="AG22" s="1060"/>
      <c r="AH22" s="1374"/>
      <c r="AI22" s="1060"/>
      <c r="AJ22" s="1060"/>
      <c r="AK22" s="1060"/>
      <c r="AL22" s="1060"/>
      <c r="AM22" s="1060"/>
      <c r="AN22" s="1060"/>
      <c r="AO22" s="1060"/>
      <c r="AP22" s="1060"/>
      <c r="AQ22" s="1060"/>
      <c r="AR22" s="1060"/>
      <c r="AS22" s="1060"/>
      <c r="AT22" s="1060"/>
      <c r="AU22" s="1060"/>
      <c r="AV22" s="1060"/>
      <c r="AW22" s="1060"/>
      <c r="AX22" s="1060"/>
      <c r="AY22" s="1060"/>
      <c r="AZ22" s="1060"/>
      <c r="BA22" s="1060"/>
      <c r="BB22" s="1060"/>
      <c r="BC22" s="1060"/>
      <c r="BD22" s="1375"/>
      <c r="BE22" s="1375"/>
      <c r="BF22" s="1375"/>
      <c r="BG22" s="1375"/>
      <c r="BH22" s="1375"/>
      <c r="BI22" s="1375"/>
      <c r="BJ22" s="1375"/>
      <c r="BK22" s="1375"/>
      <c r="BL22" s="1375"/>
      <c r="BM22" s="1375"/>
      <c r="BN22" s="1375"/>
      <c r="BO22" s="1375"/>
      <c r="BP22" s="1375"/>
      <c r="BQ22" s="1375"/>
      <c r="BR22" s="1375"/>
      <c r="BS22" s="1375"/>
      <c r="BT22" s="1375"/>
      <c r="BU22" s="1375"/>
      <c r="BV22" s="1375"/>
      <c r="BW22" s="1375"/>
      <c r="BX22" s="1375"/>
      <c r="BY22" s="1375"/>
      <c r="BZ22" s="1375"/>
      <c r="CA22" s="1375"/>
      <c r="CB22" s="1375"/>
      <c r="CC22" s="1375"/>
      <c r="CD22" s="1375"/>
      <c r="CE22" s="1375"/>
      <c r="CF22" s="1375"/>
      <c r="CG22" s="1375"/>
      <c r="CH22" s="1375"/>
      <c r="CI22" s="1375"/>
      <c r="CJ22" s="1375"/>
      <c r="CK22" s="1375"/>
      <c r="CL22" s="1375"/>
      <c r="CM22" s="1375"/>
      <c r="CN22" s="1375"/>
      <c r="CO22" s="1375"/>
      <c r="CP22" s="1375"/>
      <c r="CQ22" s="1375"/>
      <c r="CR22" s="1375"/>
      <c r="CS22" s="1375"/>
      <c r="CT22" s="1375"/>
      <c r="CU22" s="1375"/>
      <c r="CV22" s="1375"/>
      <c r="CW22" s="1375"/>
      <c r="CX22" s="1375"/>
      <c r="CY22" s="1375"/>
      <c r="CZ22" s="1375"/>
      <c r="DA22" s="1375"/>
      <c r="DB22" s="1375"/>
      <c r="DC22" s="1375"/>
      <c r="DD22" s="1375"/>
      <c r="DE22" s="1375"/>
      <c r="DF22" s="1375"/>
      <c r="DG22" s="1375"/>
      <c r="DH22" s="1375"/>
      <c r="DI22" s="1375"/>
      <c r="DJ22" s="1375"/>
      <c r="DK22" s="1375"/>
      <c r="DL22" s="1375"/>
      <c r="DM22" s="1375"/>
      <c r="DN22" s="1375"/>
      <c r="DO22" s="1375"/>
      <c r="DP22" s="1375"/>
      <c r="DQ22" s="1375"/>
      <c r="DR22" s="1375"/>
      <c r="DS22" s="1375"/>
      <c r="DT22" s="1375"/>
      <c r="DU22" s="1375"/>
      <c r="DV22" s="1375"/>
      <c r="DW22" s="1375"/>
      <c r="DX22" s="215"/>
      <c r="DY22" s="215"/>
      <c r="DZ22" s="215"/>
    </row>
    <row r="23" ht="13.5" hidden="1" customHeight="1">
      <c r="A23" s="1262">
        <v>38.0</v>
      </c>
      <c r="B23" s="1361" t="s">
        <v>177</v>
      </c>
      <c r="C23" s="1362"/>
      <c r="D23" s="1362"/>
      <c r="E23" s="1362"/>
      <c r="F23" s="1362"/>
      <c r="G23" s="1362"/>
      <c r="H23" s="1376"/>
      <c r="I23" s="1362"/>
      <c r="J23" s="1362"/>
      <c r="K23" s="1365"/>
      <c r="L23" s="1366"/>
      <c r="M23" s="1362"/>
      <c r="N23" s="1377"/>
      <c r="O23" s="1378"/>
      <c r="P23" s="1367"/>
      <c r="Q23" s="1368"/>
      <c r="R23" s="1369"/>
      <c r="S23" s="1370"/>
      <c r="T23" s="1371"/>
      <c r="U23" s="1369"/>
      <c r="V23" s="1370"/>
      <c r="W23" s="1372"/>
      <c r="X23" s="1060"/>
      <c r="Y23" s="1373"/>
      <c r="Z23" s="1060"/>
      <c r="AA23" s="1060"/>
      <c r="AB23" s="1374"/>
      <c r="AC23" s="1060"/>
      <c r="AD23" s="1060"/>
      <c r="AE23" s="1374"/>
      <c r="AF23" s="1060"/>
      <c r="AG23" s="1060"/>
      <c r="AH23" s="1374"/>
      <c r="AI23" s="1060"/>
      <c r="AJ23" s="1060"/>
      <c r="AK23" s="1060"/>
      <c r="AL23" s="1060"/>
      <c r="AM23" s="1060"/>
      <c r="AN23" s="1060"/>
      <c r="AO23" s="1060"/>
      <c r="AP23" s="1060"/>
      <c r="AQ23" s="1060"/>
      <c r="AR23" s="1060"/>
      <c r="AS23" s="1060"/>
      <c r="AT23" s="1060"/>
      <c r="AU23" s="1060"/>
      <c r="AV23" s="1060"/>
      <c r="AW23" s="1060"/>
      <c r="AX23" s="1060"/>
      <c r="AY23" s="1060"/>
      <c r="AZ23" s="1060"/>
      <c r="BA23" s="1060"/>
      <c r="BB23" s="1060"/>
      <c r="BC23" s="1060"/>
      <c r="BD23" s="1375"/>
      <c r="BE23" s="1375"/>
      <c r="BF23" s="1375"/>
      <c r="BG23" s="1375"/>
      <c r="BH23" s="1375"/>
      <c r="BI23" s="1375"/>
      <c r="BJ23" s="1375"/>
      <c r="BK23" s="1375"/>
      <c r="BL23" s="1375"/>
      <c r="BM23" s="1375"/>
      <c r="BN23" s="1375"/>
      <c r="BO23" s="1375"/>
      <c r="BP23" s="1375"/>
      <c r="BQ23" s="1375"/>
      <c r="BR23" s="1375"/>
      <c r="BS23" s="1375"/>
      <c r="BT23" s="1375"/>
      <c r="BU23" s="1375"/>
      <c r="BV23" s="1375"/>
      <c r="BW23" s="1375"/>
      <c r="BX23" s="1375"/>
      <c r="BY23" s="1375"/>
      <c r="BZ23" s="1375"/>
      <c r="CA23" s="1375"/>
      <c r="CB23" s="1375"/>
      <c r="CC23" s="1375"/>
      <c r="CD23" s="1375"/>
      <c r="CE23" s="1375"/>
      <c r="CF23" s="1375"/>
      <c r="CG23" s="1375"/>
      <c r="CH23" s="1375"/>
      <c r="CI23" s="1375"/>
      <c r="CJ23" s="1375"/>
      <c r="CK23" s="1375"/>
      <c r="CL23" s="1375"/>
      <c r="CM23" s="1375"/>
      <c r="CN23" s="1375"/>
      <c r="CO23" s="1375"/>
      <c r="CP23" s="1375"/>
      <c r="CQ23" s="1375"/>
      <c r="CR23" s="1375"/>
      <c r="CS23" s="1375"/>
      <c r="CT23" s="1375"/>
      <c r="CU23" s="1375"/>
      <c r="CV23" s="1375"/>
      <c r="CW23" s="1375"/>
      <c r="CX23" s="1375"/>
      <c r="CY23" s="1375"/>
      <c r="CZ23" s="1375"/>
      <c r="DA23" s="1375"/>
      <c r="DB23" s="1375"/>
      <c r="DC23" s="1375"/>
      <c r="DD23" s="1375"/>
      <c r="DE23" s="1375"/>
      <c r="DF23" s="1375"/>
      <c r="DG23" s="1375"/>
      <c r="DH23" s="1375"/>
      <c r="DI23" s="1375"/>
      <c r="DJ23" s="1375"/>
      <c r="DK23" s="1375"/>
      <c r="DL23" s="1375"/>
      <c r="DM23" s="1375"/>
      <c r="DN23" s="1375"/>
      <c r="DO23" s="1375"/>
      <c r="DP23" s="1375"/>
      <c r="DQ23" s="1375"/>
      <c r="DR23" s="1375"/>
      <c r="DS23" s="1375"/>
      <c r="DT23" s="1375"/>
      <c r="DU23" s="1375"/>
      <c r="DV23" s="1375"/>
      <c r="DW23" s="1375"/>
      <c r="DX23" s="186"/>
      <c r="DY23" s="186"/>
      <c r="DZ23" s="186"/>
    </row>
    <row r="24" ht="15.0" customHeight="1" outlineLevel="1">
      <c r="A24" s="1262">
        <v>64.0</v>
      </c>
      <c r="B24" s="1379" t="s">
        <v>227</v>
      </c>
      <c r="C24" s="1380" t="s">
        <v>228</v>
      </c>
      <c r="D24" s="1280" t="s">
        <v>90</v>
      </c>
      <c r="E24" s="1294" t="s">
        <v>169</v>
      </c>
      <c r="F24" s="1280" t="s">
        <v>169</v>
      </c>
      <c r="G24" s="1295" t="s">
        <v>169</v>
      </c>
      <c r="H24" s="1381"/>
      <c r="I24" s="1322" t="str">
        <f>IFERROR(VLOOKUP(C21:C170,'R22 RELATÓRIO ACC'!B:F,5,FALSE),"NOT PUBLISHED")</f>
        <v>V7</v>
      </c>
      <c r="J24" s="1322" t="str">
        <f>IFERROR(VLOOKUP(C21:C170,'R22 RELATÓRIO ACC'!B:P,15,FALSE),"NOT PUBLISHED")</f>
        <v>08/12/2025</v>
      </c>
      <c r="K24" s="1353" t="str">
        <f>IFERROR(VLOOKUP(B23:B176,'RELATÓRIO ACC'!B:F,5,FALSE),"NOT PUBLISHED")</f>
        <v>V2</v>
      </c>
      <c r="L24" s="1285" t="str">
        <f>IFERROR(VLOOKUP(B23:B176,'RELATÓRIO ACC'!B:P,15,FALSE),"NOT PUBLISHED")</f>
        <v>03/07/2026</v>
      </c>
      <c r="M24" s="1382" t="s">
        <v>596</v>
      </c>
      <c r="N24" s="1383">
        <v>46206.0</v>
      </c>
      <c r="O24" s="1042" t="s">
        <v>472</v>
      </c>
      <c r="P24" s="1287"/>
      <c r="Q24" s="1281" t="s">
        <v>466</v>
      </c>
      <c r="R24" s="1031" t="s">
        <v>462</v>
      </c>
      <c r="S24" s="1306" t="s">
        <v>466</v>
      </c>
      <c r="T24" s="1032" t="s">
        <v>466</v>
      </c>
      <c r="U24" s="1031" t="s">
        <v>462</v>
      </c>
      <c r="V24" s="1306" t="s">
        <v>466</v>
      </c>
      <c r="W24" s="1032" t="s">
        <v>466</v>
      </c>
      <c r="X24" s="1031" t="s">
        <v>462</v>
      </c>
      <c r="Y24" s="1355" t="s">
        <v>466</v>
      </c>
      <c r="Z24" s="1032" t="s">
        <v>466</v>
      </c>
      <c r="AA24" s="1031" t="s">
        <v>462</v>
      </c>
      <c r="AB24" s="1312" t="s">
        <v>466</v>
      </c>
      <c r="AC24" s="1032" t="s">
        <v>466</v>
      </c>
      <c r="AD24" s="1031" t="s">
        <v>462</v>
      </c>
      <c r="AE24" s="1312" t="s">
        <v>466</v>
      </c>
      <c r="AF24" s="1032" t="s">
        <v>466</v>
      </c>
      <c r="AG24" s="1031" t="s">
        <v>462</v>
      </c>
      <c r="AH24" s="1312" t="s">
        <v>466</v>
      </c>
      <c r="AI24" s="758" t="s">
        <v>477</v>
      </c>
      <c r="AJ24" s="1327" t="s">
        <v>476</v>
      </c>
      <c r="AK24" s="1384">
        <v>0.37</v>
      </c>
      <c r="AL24" s="1048" t="s">
        <v>477</v>
      </c>
      <c r="AM24" s="1327" t="s">
        <v>476</v>
      </c>
      <c r="AN24" s="1385">
        <v>0.72</v>
      </c>
      <c r="AO24" s="1048" t="s">
        <v>477</v>
      </c>
      <c r="AP24" s="1327" t="s">
        <v>476</v>
      </c>
      <c r="AQ24" s="1385">
        <v>0.89</v>
      </c>
      <c r="AR24" s="1386" t="s">
        <v>477</v>
      </c>
      <c r="AS24" s="1327" t="s">
        <v>476</v>
      </c>
      <c r="AT24" s="1387">
        <v>0.95</v>
      </c>
      <c r="AU24" s="1048" t="s">
        <v>474</v>
      </c>
      <c r="AV24" s="1327" t="s">
        <v>476</v>
      </c>
      <c r="AW24" s="1388" t="s">
        <v>474</v>
      </c>
      <c r="AX24" s="1048" t="s">
        <v>484</v>
      </c>
      <c r="AY24" s="1327" t="s">
        <v>476</v>
      </c>
      <c r="AZ24" s="1389">
        <v>1.0</v>
      </c>
      <c r="BA24" s="1032" t="s">
        <v>485</v>
      </c>
      <c r="BB24" s="1327" t="s">
        <v>476</v>
      </c>
      <c r="BC24" s="1389">
        <v>1.0</v>
      </c>
      <c r="BD24" s="1360" t="s">
        <v>485</v>
      </c>
      <c r="BE24" s="1390" t="s">
        <v>476</v>
      </c>
      <c r="BF24" s="1359">
        <v>1.0</v>
      </c>
      <c r="BG24" s="1360" t="s">
        <v>485</v>
      </c>
      <c r="BH24" s="1390" t="s">
        <v>476</v>
      </c>
      <c r="BI24" s="1359">
        <v>1.0</v>
      </c>
      <c r="BJ24" s="1360" t="s">
        <v>485</v>
      </c>
      <c r="BK24" s="1390" t="s">
        <v>476</v>
      </c>
      <c r="BL24" s="1359">
        <v>1.0</v>
      </c>
      <c r="BM24" s="1360" t="s">
        <v>485</v>
      </c>
      <c r="BN24" s="1390" t="s">
        <v>476</v>
      </c>
      <c r="BO24" s="1359">
        <v>1.0</v>
      </c>
      <c r="BP24" s="1360" t="s">
        <v>485</v>
      </c>
      <c r="BQ24" s="1390" t="s">
        <v>476</v>
      </c>
      <c r="BR24" s="1359">
        <v>1.0</v>
      </c>
      <c r="BS24" s="1360" t="s">
        <v>485</v>
      </c>
      <c r="BT24" s="1390" t="s">
        <v>476</v>
      </c>
      <c r="BU24" s="1359">
        <v>1.0</v>
      </c>
      <c r="BV24" s="1360" t="s">
        <v>485</v>
      </c>
      <c r="BW24" s="1390" t="s">
        <v>476</v>
      </c>
      <c r="BX24" s="1359">
        <v>1.0</v>
      </c>
      <c r="BY24" s="1360" t="s">
        <v>485</v>
      </c>
      <c r="BZ24" s="1390" t="s">
        <v>476</v>
      </c>
      <c r="CA24" s="1359">
        <v>1.0</v>
      </c>
      <c r="CB24" s="1360" t="s">
        <v>485</v>
      </c>
      <c r="CC24" s="1390" t="s">
        <v>476</v>
      </c>
      <c r="CD24" s="1359">
        <v>1.0</v>
      </c>
      <c r="CE24" s="1360" t="s">
        <v>485</v>
      </c>
      <c r="CF24" s="1390" t="s">
        <v>476</v>
      </c>
      <c r="CG24" s="1359">
        <v>1.0</v>
      </c>
      <c r="CH24" s="1360" t="s">
        <v>485</v>
      </c>
      <c r="CI24" s="1390" t="s">
        <v>476</v>
      </c>
      <c r="CJ24" s="1359">
        <v>1.0</v>
      </c>
      <c r="CK24" s="1360" t="s">
        <v>485</v>
      </c>
      <c r="CL24" s="1390" t="s">
        <v>476</v>
      </c>
      <c r="CM24" s="1359">
        <v>1.0</v>
      </c>
      <c r="CN24" s="1360" t="s">
        <v>485</v>
      </c>
      <c r="CO24" s="1390" t="s">
        <v>476</v>
      </c>
      <c r="CP24" s="1359">
        <v>1.0</v>
      </c>
      <c r="CQ24" s="1360" t="s">
        <v>485</v>
      </c>
      <c r="CR24" s="1390" t="s">
        <v>476</v>
      </c>
      <c r="CS24" s="1359">
        <v>1.0</v>
      </c>
      <c r="CT24" s="1360" t="s">
        <v>485</v>
      </c>
      <c r="CU24" s="1390" t="s">
        <v>476</v>
      </c>
      <c r="CV24" s="1359">
        <v>1.0</v>
      </c>
      <c r="CW24" s="1360" t="s">
        <v>485</v>
      </c>
      <c r="CX24" s="1390" t="s">
        <v>476</v>
      </c>
      <c r="CY24" s="1359">
        <v>1.0</v>
      </c>
      <c r="CZ24" s="1360" t="s">
        <v>485</v>
      </c>
      <c r="DA24" s="1390" t="s">
        <v>476</v>
      </c>
      <c r="DB24" s="1359">
        <v>1.0</v>
      </c>
      <c r="DC24" s="1360" t="s">
        <v>485</v>
      </c>
      <c r="DD24" s="1390" t="s">
        <v>476</v>
      </c>
      <c r="DE24" s="1359">
        <v>1.0</v>
      </c>
      <c r="DF24" s="1360" t="s">
        <v>485</v>
      </c>
      <c r="DG24" s="1390" t="s">
        <v>476</v>
      </c>
      <c r="DH24" s="1359">
        <v>1.0</v>
      </c>
      <c r="DI24" s="1360" t="s">
        <v>485</v>
      </c>
      <c r="DJ24" s="1390" t="s">
        <v>476</v>
      </c>
      <c r="DK24" s="1359">
        <v>1.0</v>
      </c>
      <c r="DL24" s="740" t="s">
        <v>477</v>
      </c>
      <c r="DM24" s="1391" t="s">
        <v>596</v>
      </c>
      <c r="DN24" s="1358">
        <v>0.97</v>
      </c>
      <c r="DO24" s="755" t="s">
        <v>474</v>
      </c>
      <c r="DP24" s="1391" t="s">
        <v>596</v>
      </c>
      <c r="DQ24" s="755" t="s">
        <v>474</v>
      </c>
      <c r="DR24" s="755" t="s">
        <v>484</v>
      </c>
      <c r="DS24" s="1391" t="s">
        <v>596</v>
      </c>
      <c r="DT24" s="1392">
        <v>1.0</v>
      </c>
      <c r="DU24" s="1360" t="s">
        <v>485</v>
      </c>
      <c r="DV24" s="1391" t="s">
        <v>596</v>
      </c>
      <c r="DW24" s="1392">
        <v>1.0</v>
      </c>
      <c r="DX24" s="135"/>
      <c r="DY24" s="135"/>
      <c r="DZ24" s="135"/>
    </row>
    <row r="25" ht="15.0" hidden="1" customHeight="1" collapsed="1">
      <c r="A25" s="1262">
        <v>41.0</v>
      </c>
      <c r="B25" s="1361" t="s">
        <v>183</v>
      </c>
      <c r="C25" s="1362"/>
      <c r="D25" s="1362"/>
      <c r="E25" s="1362"/>
      <c r="F25" s="1362"/>
      <c r="G25" s="1362"/>
      <c r="H25" s="1364"/>
      <c r="I25" s="1362"/>
      <c r="J25" s="1362"/>
      <c r="K25" s="1365"/>
      <c r="L25" s="1366"/>
      <c r="M25" s="1362"/>
      <c r="N25" s="1393"/>
      <c r="O25" s="1394"/>
      <c r="P25" s="1367"/>
      <c r="Q25" s="1368"/>
      <c r="R25" s="1369"/>
      <c r="S25" s="1370"/>
      <c r="T25" s="1371"/>
      <c r="U25" s="1369"/>
      <c r="V25" s="1370"/>
      <c r="W25" s="1372"/>
      <c r="X25" s="1060"/>
      <c r="Y25" s="1373"/>
      <c r="Z25" s="1060"/>
      <c r="AA25" s="1060"/>
      <c r="AB25" s="1374"/>
      <c r="AC25" s="1060"/>
      <c r="AD25" s="1060"/>
      <c r="AE25" s="1374"/>
      <c r="AF25" s="1060"/>
      <c r="AG25" s="1060"/>
      <c r="AH25" s="1374"/>
      <c r="AI25" s="1060"/>
      <c r="AJ25" s="1060"/>
      <c r="AK25" s="1060"/>
      <c r="AL25" s="1060"/>
      <c r="AM25" s="1060"/>
      <c r="AN25" s="1060"/>
      <c r="AO25" s="1060"/>
      <c r="AP25" s="1060"/>
      <c r="AQ25" s="1060"/>
      <c r="AR25" s="1060"/>
      <c r="AS25" s="1060"/>
      <c r="AT25" s="1060"/>
      <c r="AU25" s="1060"/>
      <c r="AV25" s="1060"/>
      <c r="AW25" s="1060"/>
      <c r="AX25" s="1060"/>
      <c r="AY25" s="1060"/>
      <c r="AZ25" s="1060"/>
      <c r="BA25" s="1060"/>
      <c r="BB25" s="1060"/>
      <c r="BC25" s="1060"/>
      <c r="BD25" s="1375"/>
      <c r="BE25" s="1375"/>
      <c r="BF25" s="1375"/>
      <c r="BG25" s="1375"/>
      <c r="BH25" s="1375"/>
      <c r="BI25" s="1375"/>
      <c r="BJ25" s="1375"/>
      <c r="BK25" s="1375"/>
      <c r="BL25" s="1375"/>
      <c r="BM25" s="1375"/>
      <c r="BN25" s="1375"/>
      <c r="BO25" s="1375"/>
      <c r="BP25" s="1375"/>
      <c r="BQ25" s="1375"/>
      <c r="BR25" s="1375"/>
      <c r="BS25" s="1375"/>
      <c r="BT25" s="1375"/>
      <c r="BU25" s="1375"/>
      <c r="BV25" s="1375"/>
      <c r="BW25" s="1375"/>
      <c r="BX25" s="1375"/>
      <c r="BY25" s="1375"/>
      <c r="BZ25" s="1375"/>
      <c r="CA25" s="1375"/>
      <c r="CB25" s="1375"/>
      <c r="CC25" s="1375"/>
      <c r="CD25" s="1375"/>
      <c r="CE25" s="1375"/>
      <c r="CF25" s="1375"/>
      <c r="CG25" s="1375"/>
      <c r="CH25" s="1375"/>
      <c r="CI25" s="1375"/>
      <c r="CJ25" s="1375"/>
      <c r="CK25" s="1375"/>
      <c r="CL25" s="1375"/>
      <c r="CM25" s="1375"/>
      <c r="CN25" s="1375"/>
      <c r="CO25" s="1375"/>
      <c r="CP25" s="1375"/>
      <c r="CQ25" s="1375"/>
      <c r="CR25" s="1375"/>
      <c r="CS25" s="1375"/>
      <c r="CT25" s="1375"/>
      <c r="CU25" s="1375"/>
      <c r="CV25" s="1375"/>
      <c r="CW25" s="1375"/>
      <c r="CX25" s="1375"/>
      <c r="CY25" s="1375"/>
      <c r="CZ25" s="1375"/>
      <c r="DA25" s="1375"/>
      <c r="DB25" s="1375"/>
      <c r="DC25" s="1375"/>
      <c r="DD25" s="1375"/>
      <c r="DE25" s="1375"/>
      <c r="DF25" s="1375"/>
      <c r="DG25" s="1375"/>
      <c r="DH25" s="1375"/>
      <c r="DI25" s="1375"/>
      <c r="DJ25" s="1375"/>
      <c r="DK25" s="1375"/>
      <c r="DL25" s="1375"/>
      <c r="DM25" s="1375"/>
      <c r="DN25" s="1375"/>
      <c r="DO25" s="1375"/>
      <c r="DP25" s="1375"/>
      <c r="DQ25" s="1375"/>
      <c r="DR25" s="1375"/>
      <c r="DS25" s="1375"/>
      <c r="DT25" s="1375"/>
      <c r="DU25" s="1375"/>
      <c r="DV25" s="1375"/>
      <c r="DW25" s="1375"/>
      <c r="DX25" s="215"/>
      <c r="DY25" s="215"/>
      <c r="DZ25" s="215"/>
    </row>
    <row r="26" ht="15.0" customHeight="1" outlineLevel="1">
      <c r="A26" s="1395">
        <v>32.0</v>
      </c>
      <c r="B26" s="747" t="s">
        <v>163</v>
      </c>
      <c r="C26" s="747" t="s">
        <v>164</v>
      </c>
      <c r="D26" s="1321" t="s">
        <v>90</v>
      </c>
      <c r="E26" s="1351" t="s">
        <v>165</v>
      </c>
      <c r="F26" s="1282">
        <v>0.0</v>
      </c>
      <c r="G26" s="1396" t="s">
        <v>165</v>
      </c>
      <c r="H26" s="1313"/>
      <c r="I26" s="1322" t="str">
        <f>IFERROR(VLOOKUP(C23:C172,'R22 RELATÓRIO ACC'!B:F,5,FALSE),"NOT PUBLISHED")</f>
        <v>V10</v>
      </c>
      <c r="J26" s="1322" t="str">
        <f>IFERROR(VLOOKUP(C23:C172,'R22 RELATÓRIO ACC'!B:P,15,FALSE),"NOT PUBLISHED")</f>
        <v>11/05/2026</v>
      </c>
      <c r="K26" s="1032" t="str">
        <f>IFERROR(VLOOKUP(B25:B180,'RELATÓRIO ACC'!B:F,5,FALSE),"NOT PUBLISHED")</f>
        <v>V3</v>
      </c>
      <c r="L26" s="1285" t="str">
        <f>IFERROR(VLOOKUP(B25:B180,'RELATÓRIO ACC'!B:P,15,FALSE),"NOT PUBLISHED")</f>
        <v>09/06/2026</v>
      </c>
      <c r="M26" s="1382" t="s">
        <v>508</v>
      </c>
      <c r="N26" s="1383">
        <v>46148.0</v>
      </c>
      <c r="O26" s="1397" t="s">
        <v>472</v>
      </c>
      <c r="P26" s="1287"/>
      <c r="Q26" s="1281" t="s">
        <v>466</v>
      </c>
      <c r="R26" s="1280" t="s">
        <v>462</v>
      </c>
      <c r="S26" s="1281" t="s">
        <v>466</v>
      </c>
      <c r="T26" s="1032" t="s">
        <v>466</v>
      </c>
      <c r="U26" s="1280" t="s">
        <v>462</v>
      </c>
      <c r="V26" s="1032" t="s">
        <v>466</v>
      </c>
      <c r="W26" s="1032" t="s">
        <v>466</v>
      </c>
      <c r="X26" s="1031" t="s">
        <v>462</v>
      </c>
      <c r="Y26" s="1032" t="s">
        <v>466</v>
      </c>
      <c r="Z26" s="1032" t="s">
        <v>466</v>
      </c>
      <c r="AA26" s="1031" t="s">
        <v>462</v>
      </c>
      <c r="AB26" s="1289" t="s">
        <v>466</v>
      </c>
      <c r="AC26" s="1032" t="s">
        <v>466</v>
      </c>
      <c r="AD26" s="1031" t="s">
        <v>462</v>
      </c>
      <c r="AE26" s="1289" t="s">
        <v>466</v>
      </c>
      <c r="AF26" s="1032" t="s">
        <v>466</v>
      </c>
      <c r="AG26" s="1031" t="s">
        <v>462</v>
      </c>
      <c r="AH26" s="1289" t="s">
        <v>466</v>
      </c>
      <c r="AI26" s="1032" t="s">
        <v>466</v>
      </c>
      <c r="AJ26" s="1031" t="s">
        <v>462</v>
      </c>
      <c r="AK26" s="1289" t="s">
        <v>466</v>
      </c>
      <c r="AL26" s="1032" t="s">
        <v>466</v>
      </c>
      <c r="AM26" s="1031" t="s">
        <v>462</v>
      </c>
      <c r="AN26" s="1289" t="s">
        <v>466</v>
      </c>
      <c r="AO26" s="1032" t="s">
        <v>466</v>
      </c>
      <c r="AP26" s="1031" t="s">
        <v>462</v>
      </c>
      <c r="AQ26" s="1289" t="s">
        <v>466</v>
      </c>
      <c r="AR26" s="1032" t="s">
        <v>466</v>
      </c>
      <c r="AS26" s="1031" t="s">
        <v>462</v>
      </c>
      <c r="AT26" s="1289" t="s">
        <v>466</v>
      </c>
      <c r="AU26" s="1032" t="s">
        <v>466</v>
      </c>
      <c r="AV26" s="1031" t="s">
        <v>462</v>
      </c>
      <c r="AW26" s="1289" t="s">
        <v>466</v>
      </c>
      <c r="AX26" s="1032" t="s">
        <v>466</v>
      </c>
      <c r="AY26" s="1031" t="s">
        <v>462</v>
      </c>
      <c r="AZ26" s="1289" t="s">
        <v>466</v>
      </c>
      <c r="BA26" s="1032" t="s">
        <v>466</v>
      </c>
      <c r="BB26" s="1031" t="s">
        <v>462</v>
      </c>
      <c r="BC26" s="1289" t="s">
        <v>466</v>
      </c>
      <c r="BD26" s="1032" t="s">
        <v>466</v>
      </c>
      <c r="BE26" s="1031" t="s">
        <v>462</v>
      </c>
      <c r="BF26" s="1289" t="s">
        <v>466</v>
      </c>
      <c r="BG26" s="1032" t="s">
        <v>466</v>
      </c>
      <c r="BH26" s="1031" t="s">
        <v>462</v>
      </c>
      <c r="BI26" s="1289" t="s">
        <v>466</v>
      </c>
      <c r="BJ26" s="1032" t="s">
        <v>466</v>
      </c>
      <c r="BK26" s="1031" t="s">
        <v>462</v>
      </c>
      <c r="BL26" s="1289" t="s">
        <v>466</v>
      </c>
      <c r="BM26" s="1034" t="s">
        <v>474</v>
      </c>
      <c r="BN26" s="1031"/>
      <c r="BO26" s="1398" t="s">
        <v>474</v>
      </c>
      <c r="BP26" s="1034" t="s">
        <v>474</v>
      </c>
      <c r="BQ26" s="1031"/>
      <c r="BR26" s="1398" t="s">
        <v>474</v>
      </c>
      <c r="BS26" s="1034" t="s">
        <v>474</v>
      </c>
      <c r="BT26" s="1031"/>
      <c r="BU26" s="1398" t="s">
        <v>474</v>
      </c>
      <c r="BV26" s="1034" t="s">
        <v>474</v>
      </c>
      <c r="BW26" s="1031"/>
      <c r="BX26" s="1398" t="s">
        <v>474</v>
      </c>
      <c r="BY26" s="755" t="s">
        <v>477</v>
      </c>
      <c r="BZ26" s="1088" t="s">
        <v>476</v>
      </c>
      <c r="CA26" s="1385">
        <v>0.79</v>
      </c>
      <c r="CB26" s="755" t="s">
        <v>474</v>
      </c>
      <c r="CC26" s="1088" t="s">
        <v>476</v>
      </c>
      <c r="CD26" s="1399" t="s">
        <v>474</v>
      </c>
      <c r="CE26" s="755" t="s">
        <v>477</v>
      </c>
      <c r="CF26" s="1088"/>
      <c r="CG26" s="1358">
        <v>0.86</v>
      </c>
      <c r="CH26" s="1048" t="s">
        <v>475</v>
      </c>
      <c r="CI26" s="1400"/>
      <c r="CJ26" s="1388" t="s">
        <v>475</v>
      </c>
      <c r="CK26" s="1048" t="s">
        <v>478</v>
      </c>
      <c r="CL26" s="1400"/>
      <c r="CM26" s="1388" t="s">
        <v>478</v>
      </c>
      <c r="CN26" s="755" t="s">
        <v>474</v>
      </c>
      <c r="CO26" s="1400"/>
      <c r="CP26" s="1399" t="s">
        <v>474</v>
      </c>
      <c r="CQ26" s="755" t="s">
        <v>477</v>
      </c>
      <c r="CR26" s="1400"/>
      <c r="CS26" s="1385">
        <v>0.79</v>
      </c>
      <c r="CT26" s="755" t="s">
        <v>474</v>
      </c>
      <c r="CU26" s="1400"/>
      <c r="CV26" s="1399" t="s">
        <v>474</v>
      </c>
      <c r="CW26" s="755" t="s">
        <v>474</v>
      </c>
      <c r="CX26" s="1400"/>
      <c r="CY26" s="1399" t="s">
        <v>474</v>
      </c>
      <c r="CZ26" s="755" t="s">
        <v>474</v>
      </c>
      <c r="DA26" s="1400"/>
      <c r="DB26" s="1399" t="s">
        <v>474</v>
      </c>
      <c r="DC26" s="755" t="s">
        <v>474</v>
      </c>
      <c r="DD26" s="1400"/>
      <c r="DE26" s="1399" t="s">
        <v>474</v>
      </c>
      <c r="DF26" s="755" t="s">
        <v>484</v>
      </c>
      <c r="DG26" s="1356" t="s">
        <v>480</v>
      </c>
      <c r="DH26" s="1359">
        <v>1.0</v>
      </c>
      <c r="DI26" s="1360" t="s">
        <v>485</v>
      </c>
      <c r="DJ26" s="1356" t="s">
        <v>480</v>
      </c>
      <c r="DK26" s="1359">
        <v>1.0</v>
      </c>
      <c r="DL26" s="1360" t="s">
        <v>485</v>
      </c>
      <c r="DM26" s="1356" t="s">
        <v>480</v>
      </c>
      <c r="DN26" s="1359">
        <v>1.0</v>
      </c>
      <c r="DO26" s="1360" t="s">
        <v>485</v>
      </c>
      <c r="DP26" s="1356" t="s">
        <v>480</v>
      </c>
      <c r="DQ26" s="1359">
        <v>1.0</v>
      </c>
      <c r="DR26" s="1360" t="s">
        <v>485</v>
      </c>
      <c r="DS26" s="1356" t="s">
        <v>480</v>
      </c>
      <c r="DT26" s="1359">
        <v>1.0</v>
      </c>
      <c r="DU26" s="1360" t="s">
        <v>485</v>
      </c>
      <c r="DV26" s="1356" t="s">
        <v>480</v>
      </c>
      <c r="DW26" s="1359">
        <v>1.0</v>
      </c>
      <c r="DX26" s="68"/>
      <c r="DY26" s="68"/>
      <c r="DZ26" s="68"/>
    </row>
    <row r="27" ht="15.0" hidden="1" customHeight="1">
      <c r="A27" s="1262">
        <v>44.0</v>
      </c>
      <c r="B27" s="1361" t="s">
        <v>189</v>
      </c>
      <c r="C27" s="1362"/>
      <c r="D27" s="1362"/>
      <c r="E27" s="1362"/>
      <c r="F27" s="1363"/>
      <c r="G27" s="1362"/>
      <c r="H27" s="1364"/>
      <c r="I27" s="1362"/>
      <c r="J27" s="1362"/>
      <c r="K27" s="1365"/>
      <c r="L27" s="1366"/>
      <c r="M27" s="1362"/>
      <c r="N27" s="1377"/>
      <c r="O27" s="1378"/>
      <c r="P27" s="1367"/>
      <c r="Q27" s="1368"/>
      <c r="R27" s="1369"/>
      <c r="S27" s="1370"/>
      <c r="T27" s="1371"/>
      <c r="U27" s="1369"/>
      <c r="V27" s="1370"/>
      <c r="W27" s="1372"/>
      <c r="X27" s="1060"/>
      <c r="Y27" s="1373"/>
      <c r="Z27" s="1060"/>
      <c r="AA27" s="1060"/>
      <c r="AB27" s="1374"/>
      <c r="AC27" s="1060"/>
      <c r="AD27" s="1060"/>
      <c r="AE27" s="1374"/>
      <c r="AF27" s="1060"/>
      <c r="AG27" s="1060"/>
      <c r="AH27" s="1374"/>
      <c r="AI27" s="1060"/>
      <c r="AJ27" s="1060"/>
      <c r="AK27" s="1060"/>
      <c r="AL27" s="1060"/>
      <c r="AM27" s="1060"/>
      <c r="AN27" s="1060"/>
      <c r="AO27" s="1060"/>
      <c r="AP27" s="1060"/>
      <c r="AQ27" s="1060"/>
      <c r="AR27" s="1060"/>
      <c r="AS27" s="1060"/>
      <c r="AT27" s="1060"/>
      <c r="AU27" s="1060"/>
      <c r="AV27" s="1060"/>
      <c r="AW27" s="1060"/>
      <c r="AX27" s="1060"/>
      <c r="AY27" s="1060"/>
      <c r="AZ27" s="1060"/>
      <c r="BA27" s="1060"/>
      <c r="BB27" s="1060"/>
      <c r="BC27" s="1060"/>
      <c r="BD27" s="1375"/>
      <c r="BE27" s="1375"/>
      <c r="BF27" s="1375"/>
      <c r="BG27" s="1375"/>
      <c r="BH27" s="1375"/>
      <c r="BI27" s="1375"/>
      <c r="BJ27" s="1375"/>
      <c r="BK27" s="1375"/>
      <c r="BL27" s="1375"/>
      <c r="BM27" s="1375"/>
      <c r="BN27" s="1375"/>
      <c r="BO27" s="1375"/>
      <c r="BP27" s="1375"/>
      <c r="BQ27" s="1375"/>
      <c r="BR27" s="1375"/>
      <c r="BS27" s="1375"/>
      <c r="BT27" s="1375"/>
      <c r="BU27" s="1375"/>
      <c r="BV27" s="1375"/>
      <c r="BW27" s="1375"/>
      <c r="BX27" s="1375"/>
      <c r="BY27" s="1375"/>
      <c r="BZ27" s="1375"/>
      <c r="CA27" s="1375"/>
      <c r="CB27" s="1375"/>
      <c r="CC27" s="1375"/>
      <c r="CD27" s="1375"/>
      <c r="CE27" s="1375"/>
      <c r="CF27" s="1375"/>
      <c r="CG27" s="1375"/>
      <c r="CH27" s="1375"/>
      <c r="CI27" s="1375"/>
      <c r="CJ27" s="1375"/>
      <c r="CK27" s="1375"/>
      <c r="CL27" s="1375"/>
      <c r="CM27" s="1375"/>
      <c r="CN27" s="1375"/>
      <c r="CO27" s="1375"/>
      <c r="CP27" s="1375"/>
      <c r="CQ27" s="1375"/>
      <c r="CR27" s="1375"/>
      <c r="CS27" s="1375"/>
      <c r="CT27" s="1375"/>
      <c r="CU27" s="1375"/>
      <c r="CV27" s="1375"/>
      <c r="CW27" s="1375"/>
      <c r="CX27" s="1375"/>
      <c r="CY27" s="1375"/>
      <c r="CZ27" s="1375"/>
      <c r="DA27" s="1375"/>
      <c r="DB27" s="1375"/>
      <c r="DC27" s="1375"/>
      <c r="DD27" s="1375"/>
      <c r="DE27" s="1375"/>
      <c r="DF27" s="1375"/>
      <c r="DG27" s="1375"/>
      <c r="DH27" s="1375"/>
      <c r="DI27" s="1375"/>
      <c r="DJ27" s="1375"/>
      <c r="DK27" s="1375"/>
      <c r="DL27" s="1375"/>
      <c r="DM27" s="1375"/>
      <c r="DN27" s="1375"/>
      <c r="DO27" s="1375"/>
      <c r="DP27" s="1375"/>
      <c r="DQ27" s="1375"/>
      <c r="DR27" s="1375"/>
      <c r="DS27" s="1375"/>
      <c r="DT27" s="1375"/>
      <c r="DU27" s="1375"/>
      <c r="DV27" s="1375"/>
      <c r="DW27" s="1375"/>
      <c r="DX27" s="186"/>
      <c r="DY27" s="186"/>
      <c r="DZ27" s="186"/>
    </row>
    <row r="28" ht="15.0" customHeight="1" outlineLevel="1">
      <c r="A28" s="1262">
        <v>3.0</v>
      </c>
      <c r="B28" s="1278" t="s">
        <v>88</v>
      </c>
      <c r="C28" s="1279" t="s">
        <v>89</v>
      </c>
      <c r="D28" s="1280" t="s">
        <v>90</v>
      </c>
      <c r="E28" s="1294" t="s">
        <v>86</v>
      </c>
      <c r="F28" s="1280">
        <v>1130.0</v>
      </c>
      <c r="G28" s="1295" t="s">
        <v>86</v>
      </c>
      <c r="H28" s="1295">
        <v>1130.0</v>
      </c>
      <c r="I28" s="1322" t="str">
        <f>IFERROR(VLOOKUP(C25:C174,'R22 RELATÓRIO ACC'!B:F,5,FALSE),"NOT PUBLISHED")</f>
        <v>V28</v>
      </c>
      <c r="J28" s="1322" t="str">
        <f>IFERROR(VLOOKUP(C25:C174,'R22 RELATÓRIO ACC'!B:P,15,FALSE),"NOT PUBLISHED")</f>
        <v>17/04/2026</v>
      </c>
      <c r="K28" s="1353" t="str">
        <f>IFERROR(VLOOKUP(B27:B182,'RELATÓRIO ACC'!B:F,5,FALSE),"NOT PUBLISHED")</f>
        <v>V4</v>
      </c>
      <c r="L28" s="1285" t="str">
        <f>IFERROR(VLOOKUP(B27:B182,'RELATÓRIO ACC'!B:P,15,FALSE),"NOT PUBLISHED")</f>
        <v>15/07/2026</v>
      </c>
      <c r="M28" s="1205" t="s">
        <v>498</v>
      </c>
      <c r="N28" s="1309" t="s">
        <v>854</v>
      </c>
      <c r="O28" s="1397" t="s">
        <v>482</v>
      </c>
      <c r="P28" s="1401" t="s">
        <v>91</v>
      </c>
      <c r="Q28" s="1296" t="s">
        <v>477</v>
      </c>
      <c r="R28" s="1402" t="s">
        <v>476</v>
      </c>
      <c r="S28" s="1403">
        <v>0.78</v>
      </c>
      <c r="T28" s="1299" t="s">
        <v>477</v>
      </c>
      <c r="U28" s="1404" t="s">
        <v>476</v>
      </c>
      <c r="V28" s="1403">
        <v>0.84</v>
      </c>
      <c r="W28" s="1299" t="s">
        <v>477</v>
      </c>
      <c r="X28" s="1404" t="s">
        <v>476</v>
      </c>
      <c r="Y28" s="1405">
        <v>0.94</v>
      </c>
      <c r="Z28" s="1406" t="s">
        <v>478</v>
      </c>
      <c r="AA28" s="1404" t="s">
        <v>476</v>
      </c>
      <c r="AB28" s="1407" t="s">
        <v>478</v>
      </c>
      <c r="AC28" s="1406" t="s">
        <v>478</v>
      </c>
      <c r="AD28" s="1404" t="s">
        <v>476</v>
      </c>
      <c r="AE28" s="1407" t="s">
        <v>478</v>
      </c>
      <c r="AF28" s="1406" t="s">
        <v>477</v>
      </c>
      <c r="AG28" s="1404" t="s">
        <v>476</v>
      </c>
      <c r="AH28" s="1389">
        <v>0.98</v>
      </c>
      <c r="AI28" s="1406" t="s">
        <v>484</v>
      </c>
      <c r="AJ28" s="1404" t="s">
        <v>476</v>
      </c>
      <c r="AK28" s="1389">
        <v>1.0</v>
      </c>
      <c r="AL28" s="1032" t="s">
        <v>485</v>
      </c>
      <c r="AM28" s="1327" t="s">
        <v>476</v>
      </c>
      <c r="AN28" s="1389">
        <v>1.0</v>
      </c>
      <c r="AO28" s="1032" t="s">
        <v>485</v>
      </c>
      <c r="AP28" s="1327" t="s">
        <v>476</v>
      </c>
      <c r="AQ28" s="1389">
        <v>1.0</v>
      </c>
      <c r="AR28" s="1032" t="s">
        <v>485</v>
      </c>
      <c r="AS28" s="1327" t="s">
        <v>476</v>
      </c>
      <c r="AT28" s="1389">
        <v>1.0</v>
      </c>
      <c r="AU28" s="1032" t="s">
        <v>485</v>
      </c>
      <c r="AV28" s="1327" t="s">
        <v>476</v>
      </c>
      <c r="AW28" s="1389">
        <v>1.0</v>
      </c>
      <c r="AX28" s="1032" t="s">
        <v>485</v>
      </c>
      <c r="AY28" s="1327" t="s">
        <v>476</v>
      </c>
      <c r="AZ28" s="1389">
        <v>1.0</v>
      </c>
      <c r="BA28" s="1032" t="s">
        <v>485</v>
      </c>
      <c r="BB28" s="1327" t="s">
        <v>476</v>
      </c>
      <c r="BC28" s="1389">
        <v>1.0</v>
      </c>
      <c r="BD28" s="1360" t="s">
        <v>485</v>
      </c>
      <c r="BE28" s="1390" t="s">
        <v>476</v>
      </c>
      <c r="BF28" s="1359">
        <v>1.0</v>
      </c>
      <c r="BG28" s="1360" t="s">
        <v>485</v>
      </c>
      <c r="BH28" s="1390" t="s">
        <v>476</v>
      </c>
      <c r="BI28" s="1359">
        <v>1.0</v>
      </c>
      <c r="BJ28" s="1360" t="s">
        <v>485</v>
      </c>
      <c r="BK28" s="1390" t="s">
        <v>476</v>
      </c>
      <c r="BL28" s="1359">
        <v>1.0</v>
      </c>
      <c r="BM28" s="1360" t="s">
        <v>485</v>
      </c>
      <c r="BN28" s="1390" t="s">
        <v>476</v>
      </c>
      <c r="BO28" s="1359">
        <v>1.0</v>
      </c>
      <c r="BP28" s="1360" t="s">
        <v>485</v>
      </c>
      <c r="BQ28" s="1390" t="s">
        <v>476</v>
      </c>
      <c r="BR28" s="1359">
        <v>1.0</v>
      </c>
      <c r="BS28" s="1360" t="s">
        <v>485</v>
      </c>
      <c r="BT28" s="1390" t="s">
        <v>476</v>
      </c>
      <c r="BU28" s="1359">
        <v>1.0</v>
      </c>
      <c r="BV28" s="1360" t="s">
        <v>485</v>
      </c>
      <c r="BW28" s="1390" t="s">
        <v>476</v>
      </c>
      <c r="BX28" s="1359">
        <v>1.0</v>
      </c>
      <c r="BY28" s="1360" t="s">
        <v>485</v>
      </c>
      <c r="BZ28" s="1390" t="s">
        <v>476</v>
      </c>
      <c r="CA28" s="1359">
        <v>1.0</v>
      </c>
      <c r="CB28" s="1360" t="s">
        <v>485</v>
      </c>
      <c r="CC28" s="1390" t="s">
        <v>476</v>
      </c>
      <c r="CD28" s="1359">
        <v>1.0</v>
      </c>
      <c r="CE28" s="1360" t="s">
        <v>485</v>
      </c>
      <c r="CF28" s="1390" t="s">
        <v>476</v>
      </c>
      <c r="CG28" s="1359">
        <v>1.0</v>
      </c>
      <c r="CH28" s="1360" t="s">
        <v>485</v>
      </c>
      <c r="CI28" s="1390" t="s">
        <v>476</v>
      </c>
      <c r="CJ28" s="1359">
        <v>1.0</v>
      </c>
      <c r="CK28" s="1360" t="s">
        <v>485</v>
      </c>
      <c r="CL28" s="1390" t="s">
        <v>476</v>
      </c>
      <c r="CM28" s="1359">
        <v>1.0</v>
      </c>
      <c r="CN28" s="1360" t="s">
        <v>485</v>
      </c>
      <c r="CO28" s="1390" t="s">
        <v>476</v>
      </c>
      <c r="CP28" s="1359">
        <v>1.0</v>
      </c>
      <c r="CQ28" s="1360" t="s">
        <v>485</v>
      </c>
      <c r="CR28" s="1390" t="s">
        <v>476</v>
      </c>
      <c r="CS28" s="1359">
        <v>1.0</v>
      </c>
      <c r="CT28" s="1360" t="s">
        <v>485</v>
      </c>
      <c r="CU28" s="1390" t="s">
        <v>476</v>
      </c>
      <c r="CV28" s="1359">
        <v>1.0</v>
      </c>
      <c r="CW28" s="1360" t="s">
        <v>485</v>
      </c>
      <c r="CX28" s="1390" t="s">
        <v>476</v>
      </c>
      <c r="CY28" s="1359">
        <v>1.0</v>
      </c>
      <c r="CZ28" s="1360" t="s">
        <v>485</v>
      </c>
      <c r="DA28" s="1390" t="s">
        <v>476</v>
      </c>
      <c r="DB28" s="1359">
        <v>1.0</v>
      </c>
      <c r="DC28" s="1360" t="s">
        <v>485</v>
      </c>
      <c r="DD28" s="1390" t="s">
        <v>476</v>
      </c>
      <c r="DE28" s="1359">
        <v>1.0</v>
      </c>
      <c r="DF28" s="1360" t="s">
        <v>485</v>
      </c>
      <c r="DG28" s="1390" t="s">
        <v>476</v>
      </c>
      <c r="DH28" s="1359">
        <v>1.0</v>
      </c>
      <c r="DI28" s="1360" t="s">
        <v>485</v>
      </c>
      <c r="DJ28" s="1390" t="s">
        <v>476</v>
      </c>
      <c r="DK28" s="1359">
        <v>1.0</v>
      </c>
      <c r="DL28" s="1360" t="s">
        <v>485</v>
      </c>
      <c r="DM28" s="1390" t="s">
        <v>476</v>
      </c>
      <c r="DN28" s="1359">
        <v>1.0</v>
      </c>
      <c r="DO28" s="1360" t="s">
        <v>485</v>
      </c>
      <c r="DP28" s="1390" t="s">
        <v>476</v>
      </c>
      <c r="DQ28" s="1359">
        <v>1.0</v>
      </c>
      <c r="DR28" s="1360" t="s">
        <v>485</v>
      </c>
      <c r="DS28" s="1390" t="s">
        <v>476</v>
      </c>
      <c r="DT28" s="1359">
        <v>1.0</v>
      </c>
      <c r="DU28" s="1360" t="s">
        <v>485</v>
      </c>
      <c r="DV28" s="1390" t="s">
        <v>476</v>
      </c>
      <c r="DW28" s="1359">
        <v>1.0</v>
      </c>
      <c r="DX28" s="68"/>
      <c r="DY28" s="68"/>
      <c r="DZ28" s="68"/>
    </row>
    <row r="29" ht="15.0" hidden="1" customHeight="1">
      <c r="A29" s="1262">
        <v>47.0</v>
      </c>
      <c r="B29" s="1336" t="s">
        <v>195</v>
      </c>
      <c r="C29" s="1337"/>
      <c r="D29" s="1337"/>
      <c r="E29" s="1337"/>
      <c r="F29" s="1338"/>
      <c r="G29" s="1337"/>
      <c r="H29" s="1339"/>
      <c r="I29" s="1337"/>
      <c r="J29" s="1337"/>
      <c r="K29" s="1340"/>
      <c r="L29" s="1341"/>
      <c r="M29" s="1337"/>
      <c r="N29" s="1337"/>
      <c r="O29" s="73"/>
      <c r="P29" s="1342"/>
      <c r="Q29" s="1343"/>
      <c r="R29" s="1344"/>
      <c r="S29" s="1345"/>
      <c r="T29" s="1346"/>
      <c r="U29" s="1344"/>
      <c r="V29" s="1345"/>
      <c r="W29" s="1347"/>
      <c r="X29" s="1055"/>
      <c r="Y29" s="1348"/>
      <c r="Z29" s="1055"/>
      <c r="AA29" s="1055"/>
      <c r="AB29" s="1349"/>
      <c r="AC29" s="1055"/>
      <c r="AD29" s="1055"/>
      <c r="AE29" s="1349"/>
      <c r="AF29" s="1055"/>
      <c r="AG29" s="1055"/>
      <c r="AH29" s="1349"/>
      <c r="AI29" s="1055"/>
      <c r="AJ29" s="1055"/>
      <c r="AK29" s="1055"/>
      <c r="AL29" s="1055"/>
      <c r="AM29" s="1055"/>
      <c r="AN29" s="1055"/>
      <c r="AO29" s="1055"/>
      <c r="AP29" s="1055"/>
      <c r="AQ29" s="1055"/>
      <c r="AR29" s="1055"/>
      <c r="AS29" s="1055"/>
      <c r="AT29" s="1055"/>
      <c r="AU29" s="1055"/>
      <c r="AV29" s="1055"/>
      <c r="AW29" s="1055"/>
      <c r="AX29" s="1055"/>
      <c r="AY29" s="1055"/>
      <c r="AZ29" s="1055"/>
      <c r="BA29" s="1055"/>
      <c r="BB29" s="1055"/>
      <c r="BC29" s="1055"/>
      <c r="BD29" s="1350"/>
      <c r="BE29" s="1350"/>
      <c r="BF29" s="1350"/>
      <c r="BG29" s="1350"/>
      <c r="BH29" s="1350"/>
      <c r="BI29" s="1350"/>
      <c r="BJ29" s="1350"/>
      <c r="BK29" s="1350"/>
      <c r="BL29" s="1350"/>
      <c r="BM29" s="1350"/>
      <c r="BN29" s="1350"/>
      <c r="BO29" s="1350"/>
      <c r="BP29" s="1350"/>
      <c r="BQ29" s="1350"/>
      <c r="BR29" s="1350"/>
      <c r="BS29" s="1350"/>
      <c r="BT29" s="1350"/>
      <c r="BU29" s="1350"/>
      <c r="BV29" s="1350"/>
      <c r="BW29" s="1350"/>
      <c r="BX29" s="1350"/>
      <c r="BY29" s="1350"/>
      <c r="BZ29" s="1350"/>
      <c r="CA29" s="1350"/>
      <c r="CB29" s="1350"/>
      <c r="CC29" s="1350"/>
      <c r="CD29" s="1350"/>
      <c r="CE29" s="1350"/>
      <c r="CF29" s="1350"/>
      <c r="CG29" s="1350"/>
      <c r="CH29" s="1350"/>
      <c r="CI29" s="1350"/>
      <c r="CJ29" s="1350"/>
      <c r="CK29" s="1350"/>
      <c r="CL29" s="1350"/>
      <c r="CM29" s="1350"/>
      <c r="CN29" s="1350"/>
      <c r="CO29" s="1350"/>
      <c r="CP29" s="1350"/>
      <c r="CQ29" s="1350"/>
      <c r="CR29" s="1350"/>
      <c r="CS29" s="1350"/>
      <c r="CT29" s="1350"/>
      <c r="CU29" s="1350"/>
      <c r="CV29" s="1350"/>
      <c r="CW29" s="1350"/>
      <c r="CX29" s="1350"/>
      <c r="CY29" s="1350"/>
      <c r="CZ29" s="1350"/>
      <c r="DA29" s="1350"/>
      <c r="DB29" s="1350"/>
      <c r="DC29" s="1350"/>
      <c r="DD29" s="1350"/>
      <c r="DE29" s="1350"/>
      <c r="DF29" s="1350"/>
      <c r="DG29" s="1350"/>
      <c r="DH29" s="1350"/>
      <c r="DI29" s="1350"/>
      <c r="DJ29" s="1350"/>
      <c r="DK29" s="1350"/>
      <c r="DL29" s="1350"/>
      <c r="DM29" s="1350"/>
      <c r="DN29" s="1350"/>
      <c r="DO29" s="1350"/>
      <c r="DP29" s="1350"/>
      <c r="DQ29" s="1350"/>
      <c r="DR29" s="1350"/>
      <c r="DS29" s="1350"/>
      <c r="DT29" s="1350"/>
      <c r="DU29" s="1350"/>
      <c r="DV29" s="1350"/>
      <c r="DW29" s="1350"/>
      <c r="DX29" s="215"/>
      <c r="DY29" s="215"/>
      <c r="DZ29" s="215"/>
    </row>
    <row r="30" ht="15.0" customHeight="1" outlineLevel="1">
      <c r="A30" s="1262">
        <v>9.0</v>
      </c>
      <c r="B30" s="1278" t="s">
        <v>92</v>
      </c>
      <c r="C30" s="1279" t="s">
        <v>93</v>
      </c>
      <c r="D30" s="1280" t="s">
        <v>90</v>
      </c>
      <c r="E30" s="1294" t="s">
        <v>94</v>
      </c>
      <c r="F30" s="1317"/>
      <c r="G30" s="1295" t="s">
        <v>86</v>
      </c>
      <c r="H30" s="1381"/>
      <c r="I30" s="1322" t="str">
        <f>IFERROR(VLOOKUP(C27:C176,'R22 RELATÓRIO ACC'!B:F,5,FALSE),"NOT PUBLISHED")</f>
        <v>V12</v>
      </c>
      <c r="J30" s="1322" t="str">
        <f>IFERROR(VLOOKUP(C27:C176,'R22 RELATÓRIO ACC'!B:P,15,FALSE),"NOT PUBLISHED")</f>
        <v>05/05/2026</v>
      </c>
      <c r="K30" s="1353" t="str">
        <f>IFERROR(VLOOKUP(B29:B184,'RELATÓRIO ACC'!B:F,5,FALSE),"NOT PUBLISHED")</f>
        <v>V5</v>
      </c>
      <c r="L30" s="1285" t="str">
        <f>IFERROR(VLOOKUP(B29:B184,'RELATÓRIO ACC'!B:P,15,FALSE),"NOT PUBLISHED")</f>
        <v>22/06/2026</v>
      </c>
      <c r="M30" s="1382" t="s">
        <v>479</v>
      </c>
      <c r="N30" s="1383">
        <v>45978.0</v>
      </c>
      <c r="O30" s="1397" t="s">
        <v>482</v>
      </c>
      <c r="P30" s="1287"/>
      <c r="Q30" s="1281" t="s">
        <v>466</v>
      </c>
      <c r="R30" s="1031" t="s">
        <v>462</v>
      </c>
      <c r="S30" s="1040" t="s">
        <v>466</v>
      </c>
      <c r="T30" s="1032" t="s">
        <v>466</v>
      </c>
      <c r="U30" s="1031" t="s">
        <v>462</v>
      </c>
      <c r="V30" s="1040" t="s">
        <v>466</v>
      </c>
      <c r="W30" s="1288" t="s">
        <v>466</v>
      </c>
      <c r="X30" s="1031" t="s">
        <v>462</v>
      </c>
      <c r="Y30" s="1281" t="s">
        <v>466</v>
      </c>
      <c r="Z30" s="1281" t="s">
        <v>466</v>
      </c>
      <c r="AA30" s="1031" t="s">
        <v>462</v>
      </c>
      <c r="AB30" s="1281" t="s">
        <v>466</v>
      </c>
      <c r="AC30" s="1281" t="s">
        <v>477</v>
      </c>
      <c r="AD30" s="1327" t="s">
        <v>476</v>
      </c>
      <c r="AE30" s="1408">
        <v>0.51</v>
      </c>
      <c r="AF30" s="1328" t="s">
        <v>478</v>
      </c>
      <c r="AG30" s="1327" t="s">
        <v>476</v>
      </c>
      <c r="AH30" s="1409" t="s">
        <v>478</v>
      </c>
      <c r="AI30" s="1328" t="s">
        <v>475</v>
      </c>
      <c r="AJ30" s="1327" t="s">
        <v>476</v>
      </c>
      <c r="AK30" s="1409" t="s">
        <v>475</v>
      </c>
      <c r="AL30" s="1335" t="s">
        <v>477</v>
      </c>
      <c r="AM30" s="1327" t="s">
        <v>476</v>
      </c>
      <c r="AN30" s="1385">
        <v>0.88</v>
      </c>
      <c r="AO30" s="1335" t="s">
        <v>484</v>
      </c>
      <c r="AP30" s="1327" t="s">
        <v>476</v>
      </c>
      <c r="AQ30" s="1389">
        <v>1.0</v>
      </c>
      <c r="AR30" s="1281" t="s">
        <v>485</v>
      </c>
      <c r="AS30" s="1327" t="s">
        <v>476</v>
      </c>
      <c r="AT30" s="1389">
        <v>1.0</v>
      </c>
      <c r="AU30" s="1281" t="s">
        <v>485</v>
      </c>
      <c r="AV30" s="1327" t="s">
        <v>476</v>
      </c>
      <c r="AW30" s="1389">
        <v>1.0</v>
      </c>
      <c r="AX30" s="1281" t="s">
        <v>485</v>
      </c>
      <c r="AY30" s="1327" t="s">
        <v>476</v>
      </c>
      <c r="AZ30" s="1389">
        <v>1.0</v>
      </c>
      <c r="BA30" s="1281" t="s">
        <v>485</v>
      </c>
      <c r="BB30" s="1327" t="s">
        <v>476</v>
      </c>
      <c r="BC30" s="1389">
        <v>1.0</v>
      </c>
      <c r="BD30" s="1410" t="s">
        <v>485</v>
      </c>
      <c r="BE30" s="1390" t="s">
        <v>476</v>
      </c>
      <c r="BF30" s="1359">
        <v>1.0</v>
      </c>
      <c r="BG30" s="1410" t="s">
        <v>485</v>
      </c>
      <c r="BH30" s="1390" t="s">
        <v>476</v>
      </c>
      <c r="BI30" s="1359">
        <v>1.0</v>
      </c>
      <c r="BJ30" s="1410" t="s">
        <v>485</v>
      </c>
      <c r="BK30" s="1390" t="s">
        <v>476</v>
      </c>
      <c r="BL30" s="1359">
        <v>1.0</v>
      </c>
      <c r="BM30" s="1410" t="s">
        <v>485</v>
      </c>
      <c r="BN30" s="1390" t="s">
        <v>476</v>
      </c>
      <c r="BO30" s="1359">
        <v>1.0</v>
      </c>
      <c r="BP30" s="1410" t="s">
        <v>485</v>
      </c>
      <c r="BQ30" s="1390" t="s">
        <v>476</v>
      </c>
      <c r="BR30" s="1359">
        <v>1.0</v>
      </c>
      <c r="BS30" s="1410" t="s">
        <v>485</v>
      </c>
      <c r="BT30" s="1390" t="s">
        <v>476</v>
      </c>
      <c r="BU30" s="1359">
        <v>1.0</v>
      </c>
      <c r="BV30" s="1410" t="s">
        <v>485</v>
      </c>
      <c r="BW30" s="1390" t="s">
        <v>476</v>
      </c>
      <c r="BX30" s="1359">
        <v>1.0</v>
      </c>
      <c r="BY30" s="1410" t="s">
        <v>485</v>
      </c>
      <c r="BZ30" s="1390" t="s">
        <v>476</v>
      </c>
      <c r="CA30" s="1359">
        <v>1.0</v>
      </c>
      <c r="CB30" s="1410" t="s">
        <v>485</v>
      </c>
      <c r="CC30" s="1390" t="s">
        <v>476</v>
      </c>
      <c r="CD30" s="1359">
        <v>1.0</v>
      </c>
      <c r="CE30" s="1410" t="s">
        <v>485</v>
      </c>
      <c r="CF30" s="1390" t="s">
        <v>476</v>
      </c>
      <c r="CG30" s="1359">
        <v>1.0</v>
      </c>
      <c r="CH30" s="1410" t="s">
        <v>485</v>
      </c>
      <c r="CI30" s="1390" t="s">
        <v>476</v>
      </c>
      <c r="CJ30" s="1359">
        <v>1.0</v>
      </c>
      <c r="CK30" s="1410" t="s">
        <v>485</v>
      </c>
      <c r="CL30" s="1390" t="s">
        <v>476</v>
      </c>
      <c r="CM30" s="1359">
        <v>1.0</v>
      </c>
      <c r="CN30" s="1410" t="s">
        <v>485</v>
      </c>
      <c r="CO30" s="1390" t="s">
        <v>476</v>
      </c>
      <c r="CP30" s="1359">
        <v>1.0</v>
      </c>
      <c r="CQ30" s="1410" t="s">
        <v>485</v>
      </c>
      <c r="CR30" s="1390" t="s">
        <v>476</v>
      </c>
      <c r="CS30" s="1359">
        <v>1.0</v>
      </c>
      <c r="CT30" s="1410" t="s">
        <v>485</v>
      </c>
      <c r="CU30" s="1390" t="s">
        <v>476</v>
      </c>
      <c r="CV30" s="1359">
        <v>1.0</v>
      </c>
      <c r="CW30" s="1410" t="s">
        <v>485</v>
      </c>
      <c r="CX30" s="1390" t="s">
        <v>476</v>
      </c>
      <c r="CY30" s="1359">
        <v>1.0</v>
      </c>
      <c r="CZ30" s="1410" t="s">
        <v>485</v>
      </c>
      <c r="DA30" s="1390" t="s">
        <v>476</v>
      </c>
      <c r="DB30" s="1359">
        <v>1.0</v>
      </c>
      <c r="DC30" s="1410" t="s">
        <v>485</v>
      </c>
      <c r="DD30" s="1390" t="s">
        <v>476</v>
      </c>
      <c r="DE30" s="1359">
        <v>1.0</v>
      </c>
      <c r="DF30" s="1410" t="s">
        <v>485</v>
      </c>
      <c r="DG30" s="1390" t="s">
        <v>476</v>
      </c>
      <c r="DH30" s="1359">
        <v>1.0</v>
      </c>
      <c r="DI30" s="1410" t="s">
        <v>485</v>
      </c>
      <c r="DJ30" s="1390" t="s">
        <v>476</v>
      </c>
      <c r="DK30" s="1359">
        <v>1.0</v>
      </c>
      <c r="DL30" s="1410" t="s">
        <v>485</v>
      </c>
      <c r="DM30" s="1390" t="s">
        <v>476</v>
      </c>
      <c r="DN30" s="1359">
        <v>1.0</v>
      </c>
      <c r="DO30" s="1410" t="s">
        <v>485</v>
      </c>
      <c r="DP30" s="1390" t="s">
        <v>476</v>
      </c>
      <c r="DQ30" s="1359">
        <v>1.0</v>
      </c>
      <c r="DR30" s="1410" t="s">
        <v>485</v>
      </c>
      <c r="DS30" s="1390" t="s">
        <v>476</v>
      </c>
      <c r="DT30" s="1359">
        <v>1.0</v>
      </c>
      <c r="DU30" s="1410" t="s">
        <v>485</v>
      </c>
      <c r="DV30" s="1390" t="s">
        <v>476</v>
      </c>
      <c r="DW30" s="1359">
        <v>1.0</v>
      </c>
      <c r="DX30" s="135"/>
      <c r="DY30" s="135"/>
      <c r="DZ30" s="135"/>
    </row>
    <row r="31" ht="15.0" hidden="1" customHeight="1">
      <c r="A31" s="1262">
        <v>50.0</v>
      </c>
      <c r="B31" s="1361" t="s">
        <v>201</v>
      </c>
      <c r="C31" s="1362"/>
      <c r="D31" s="1362"/>
      <c r="E31" s="1362"/>
      <c r="F31" s="1362"/>
      <c r="G31" s="1362"/>
      <c r="H31" s="1376"/>
      <c r="I31" s="1362"/>
      <c r="J31" s="1362"/>
      <c r="K31" s="1365"/>
      <c r="L31" s="1366"/>
      <c r="M31" s="1362"/>
      <c r="N31" s="1393"/>
      <c r="O31" s="1394"/>
      <c r="P31" s="1367"/>
      <c r="Q31" s="1368"/>
      <c r="R31" s="1369"/>
      <c r="S31" s="1370"/>
      <c r="T31" s="1371"/>
      <c r="U31" s="1369"/>
      <c r="V31" s="1370"/>
      <c r="W31" s="1372"/>
      <c r="X31" s="1060"/>
      <c r="Y31" s="1373"/>
      <c r="Z31" s="1060"/>
      <c r="AA31" s="1060"/>
      <c r="AB31" s="1374"/>
      <c r="AC31" s="1060"/>
      <c r="AD31" s="1060"/>
      <c r="AE31" s="1374"/>
      <c r="AF31" s="1060"/>
      <c r="AG31" s="1060"/>
      <c r="AH31" s="1374"/>
      <c r="AI31" s="1060"/>
      <c r="AJ31" s="1060"/>
      <c r="AK31" s="1060"/>
      <c r="AL31" s="1060"/>
      <c r="AM31" s="1060"/>
      <c r="AN31" s="1060"/>
      <c r="AO31" s="1060"/>
      <c r="AP31" s="1060"/>
      <c r="AQ31" s="1060"/>
      <c r="AR31" s="1060"/>
      <c r="AS31" s="1060"/>
      <c r="AT31" s="1060"/>
      <c r="AU31" s="1060"/>
      <c r="AV31" s="1060"/>
      <c r="AW31" s="1060"/>
      <c r="AX31" s="1060"/>
      <c r="AY31" s="1060"/>
      <c r="AZ31" s="1060"/>
      <c r="BA31" s="1060"/>
      <c r="BB31" s="1060"/>
      <c r="BC31" s="1060"/>
      <c r="BD31" s="1375"/>
      <c r="BE31" s="1375"/>
      <c r="BF31" s="1375"/>
      <c r="BG31" s="1375"/>
      <c r="BH31" s="1375"/>
      <c r="BI31" s="1375"/>
      <c r="BJ31" s="1375"/>
      <c r="BK31" s="1375"/>
      <c r="BL31" s="1375"/>
      <c r="BM31" s="1375"/>
      <c r="BN31" s="1375"/>
      <c r="BO31" s="1375"/>
      <c r="BP31" s="1375"/>
      <c r="BQ31" s="1375"/>
      <c r="BR31" s="1375"/>
      <c r="BS31" s="1375"/>
      <c r="BT31" s="1375"/>
      <c r="BU31" s="1375"/>
      <c r="BV31" s="1375"/>
      <c r="BW31" s="1375"/>
      <c r="BX31" s="1375"/>
      <c r="BY31" s="1375"/>
      <c r="BZ31" s="1375"/>
      <c r="CA31" s="1375"/>
      <c r="CB31" s="1375"/>
      <c r="CC31" s="1375"/>
      <c r="CD31" s="1375"/>
      <c r="CE31" s="1375"/>
      <c r="CF31" s="1375"/>
      <c r="CG31" s="1375"/>
      <c r="CH31" s="1375"/>
      <c r="CI31" s="1375"/>
      <c r="CJ31" s="1375"/>
      <c r="CK31" s="1375"/>
      <c r="CL31" s="1375"/>
      <c r="CM31" s="1375"/>
      <c r="CN31" s="1375"/>
      <c r="CO31" s="1375"/>
      <c r="CP31" s="1375"/>
      <c r="CQ31" s="1375"/>
      <c r="CR31" s="1375"/>
      <c r="CS31" s="1375"/>
      <c r="CT31" s="1375"/>
      <c r="CU31" s="1375"/>
      <c r="CV31" s="1375"/>
      <c r="CW31" s="1375"/>
      <c r="CX31" s="1375"/>
      <c r="CY31" s="1375"/>
      <c r="CZ31" s="1375"/>
      <c r="DA31" s="1375"/>
      <c r="DB31" s="1375"/>
      <c r="DC31" s="1375"/>
      <c r="DD31" s="1375"/>
      <c r="DE31" s="1375"/>
      <c r="DF31" s="1375"/>
      <c r="DG31" s="1375"/>
      <c r="DH31" s="1375"/>
      <c r="DI31" s="1375"/>
      <c r="DJ31" s="1375"/>
      <c r="DK31" s="1375"/>
      <c r="DL31" s="1375"/>
      <c r="DM31" s="1375"/>
      <c r="DN31" s="1375"/>
      <c r="DO31" s="1375"/>
      <c r="DP31" s="1375"/>
      <c r="DQ31" s="1375"/>
      <c r="DR31" s="1375"/>
      <c r="DS31" s="1375"/>
      <c r="DT31" s="1375"/>
      <c r="DU31" s="1375"/>
      <c r="DV31" s="1375"/>
      <c r="DW31" s="1375"/>
      <c r="DX31" s="215"/>
      <c r="DY31" s="215"/>
      <c r="DZ31" s="215"/>
    </row>
    <row r="32" ht="15.0" customHeight="1" outlineLevel="1">
      <c r="A32" s="1262">
        <v>12.0</v>
      </c>
      <c r="B32" s="1278" t="s">
        <v>103</v>
      </c>
      <c r="C32" s="1279" t="s">
        <v>104</v>
      </c>
      <c r="D32" s="1280" t="s">
        <v>90</v>
      </c>
      <c r="E32" s="1294" t="s">
        <v>100</v>
      </c>
      <c r="F32" s="1280">
        <v>1104.0</v>
      </c>
      <c r="G32" s="1295" t="s">
        <v>101</v>
      </c>
      <c r="H32" s="1295">
        <v>1127.0</v>
      </c>
      <c r="I32" s="1322" t="str">
        <f>IFERROR(VLOOKUP(C29:C178,'R22 RELATÓRIO ACC'!B:F,5,FALSE),"NOT PUBLISHED")</f>
        <v>V9</v>
      </c>
      <c r="J32" s="1322" t="str">
        <f>IFERROR(VLOOKUP(C29:C178,'R22 RELATÓRIO ACC'!B:P,15,FALSE),"NOT PUBLISHED")</f>
        <v>10/04/2026</v>
      </c>
      <c r="K32" s="1353" t="str">
        <f>IFERROR(VLOOKUP(B31:B186,'RELATÓRIO ACC'!B:F,5,FALSE),"NOT PUBLISHED")</f>
        <v>V1</v>
      </c>
      <c r="L32" s="1285" t="str">
        <f>IFERROR(VLOOKUP(B31:B186,'RELATÓRIO ACC'!B:P,15,FALSE),"NOT PUBLISHED")</f>
        <v>15/05/2026</v>
      </c>
      <c r="M32" s="1205" t="s">
        <v>480</v>
      </c>
      <c r="N32" s="1304">
        <v>45898.0</v>
      </c>
      <c r="O32" s="1411" t="s">
        <v>482</v>
      </c>
      <c r="P32" s="1287"/>
      <c r="Q32" s="1281" t="s">
        <v>477</v>
      </c>
      <c r="R32" s="1202" t="s">
        <v>476</v>
      </c>
      <c r="S32" s="1412">
        <v>0.84</v>
      </c>
      <c r="T32" s="1032" t="s">
        <v>484</v>
      </c>
      <c r="U32" s="1327" t="s">
        <v>476</v>
      </c>
      <c r="V32" s="1079">
        <v>1.0</v>
      </c>
      <c r="W32" s="1032" t="s">
        <v>484</v>
      </c>
      <c r="X32" s="1327" t="s">
        <v>476</v>
      </c>
      <c r="Y32" s="1079">
        <v>1.0</v>
      </c>
      <c r="Z32" s="1032" t="s">
        <v>485</v>
      </c>
      <c r="AA32" s="1327" t="s">
        <v>476</v>
      </c>
      <c r="AB32" s="1389">
        <v>1.0</v>
      </c>
      <c r="AC32" s="1032" t="s">
        <v>485</v>
      </c>
      <c r="AD32" s="1327" t="s">
        <v>476</v>
      </c>
      <c r="AE32" s="1389">
        <v>1.0</v>
      </c>
      <c r="AF32" s="1032" t="s">
        <v>485</v>
      </c>
      <c r="AG32" s="1327" t="s">
        <v>476</v>
      </c>
      <c r="AH32" s="1389">
        <v>1.0</v>
      </c>
      <c r="AI32" s="1032" t="s">
        <v>485</v>
      </c>
      <c r="AJ32" s="1327" t="s">
        <v>476</v>
      </c>
      <c r="AK32" s="1389">
        <v>1.0</v>
      </c>
      <c r="AL32" s="1032" t="s">
        <v>485</v>
      </c>
      <c r="AM32" s="1327" t="s">
        <v>476</v>
      </c>
      <c r="AN32" s="1389">
        <v>1.0</v>
      </c>
      <c r="AO32" s="1032" t="s">
        <v>485</v>
      </c>
      <c r="AP32" s="1327" t="s">
        <v>476</v>
      </c>
      <c r="AQ32" s="1389">
        <v>1.0</v>
      </c>
      <c r="AR32" s="1032" t="s">
        <v>485</v>
      </c>
      <c r="AS32" s="1327" t="s">
        <v>476</v>
      </c>
      <c r="AT32" s="1389">
        <v>1.0</v>
      </c>
      <c r="AU32" s="1032" t="s">
        <v>485</v>
      </c>
      <c r="AV32" s="1327" t="s">
        <v>476</v>
      </c>
      <c r="AW32" s="1389">
        <v>1.0</v>
      </c>
      <c r="AX32" s="1032" t="s">
        <v>485</v>
      </c>
      <c r="AY32" s="1327" t="s">
        <v>476</v>
      </c>
      <c r="AZ32" s="1389">
        <v>1.0</v>
      </c>
      <c r="BA32" s="1032" t="s">
        <v>485</v>
      </c>
      <c r="BB32" s="1327" t="s">
        <v>476</v>
      </c>
      <c r="BC32" s="1389">
        <v>1.0</v>
      </c>
      <c r="BD32" s="1360" t="s">
        <v>485</v>
      </c>
      <c r="BE32" s="1390" t="s">
        <v>476</v>
      </c>
      <c r="BF32" s="1359">
        <v>1.0</v>
      </c>
      <c r="BG32" s="1360" t="s">
        <v>485</v>
      </c>
      <c r="BH32" s="1390" t="s">
        <v>476</v>
      </c>
      <c r="BI32" s="1359">
        <v>1.0</v>
      </c>
      <c r="BJ32" s="1360" t="s">
        <v>485</v>
      </c>
      <c r="BK32" s="1390" t="s">
        <v>476</v>
      </c>
      <c r="BL32" s="1359">
        <v>1.0</v>
      </c>
      <c r="BM32" s="1360" t="s">
        <v>485</v>
      </c>
      <c r="BN32" s="1390" t="s">
        <v>476</v>
      </c>
      <c r="BO32" s="1359">
        <v>1.0</v>
      </c>
      <c r="BP32" s="1360" t="s">
        <v>485</v>
      </c>
      <c r="BQ32" s="1390" t="s">
        <v>476</v>
      </c>
      <c r="BR32" s="1359">
        <v>1.0</v>
      </c>
      <c r="BS32" s="1360" t="s">
        <v>485</v>
      </c>
      <c r="BT32" s="1390" t="s">
        <v>476</v>
      </c>
      <c r="BU32" s="1359">
        <v>1.0</v>
      </c>
      <c r="BV32" s="1360" t="s">
        <v>485</v>
      </c>
      <c r="BW32" s="1390" t="s">
        <v>476</v>
      </c>
      <c r="BX32" s="1359">
        <v>1.0</v>
      </c>
      <c r="BY32" s="1360" t="s">
        <v>485</v>
      </c>
      <c r="BZ32" s="1390" t="s">
        <v>476</v>
      </c>
      <c r="CA32" s="1359">
        <v>1.0</v>
      </c>
      <c r="CB32" s="1360" t="s">
        <v>485</v>
      </c>
      <c r="CC32" s="1390" t="s">
        <v>476</v>
      </c>
      <c r="CD32" s="1359">
        <v>1.0</v>
      </c>
      <c r="CE32" s="1360" t="s">
        <v>485</v>
      </c>
      <c r="CF32" s="1390" t="s">
        <v>476</v>
      </c>
      <c r="CG32" s="1359">
        <v>1.0</v>
      </c>
      <c r="CH32" s="1360" t="s">
        <v>485</v>
      </c>
      <c r="CI32" s="1390" t="s">
        <v>476</v>
      </c>
      <c r="CJ32" s="1359">
        <v>1.0</v>
      </c>
      <c r="CK32" s="1360" t="s">
        <v>485</v>
      </c>
      <c r="CL32" s="1390" t="s">
        <v>476</v>
      </c>
      <c r="CM32" s="1359">
        <v>1.0</v>
      </c>
      <c r="CN32" s="1360" t="s">
        <v>485</v>
      </c>
      <c r="CO32" s="1390" t="s">
        <v>476</v>
      </c>
      <c r="CP32" s="1359">
        <v>1.0</v>
      </c>
      <c r="CQ32" s="1360" t="s">
        <v>485</v>
      </c>
      <c r="CR32" s="1390" t="s">
        <v>476</v>
      </c>
      <c r="CS32" s="1359">
        <v>1.0</v>
      </c>
      <c r="CT32" s="1360" t="s">
        <v>485</v>
      </c>
      <c r="CU32" s="1390" t="s">
        <v>476</v>
      </c>
      <c r="CV32" s="1359">
        <v>1.0</v>
      </c>
      <c r="CW32" s="1360" t="s">
        <v>485</v>
      </c>
      <c r="CX32" s="1390" t="s">
        <v>476</v>
      </c>
      <c r="CY32" s="1359">
        <v>1.0</v>
      </c>
      <c r="CZ32" s="1360" t="s">
        <v>485</v>
      </c>
      <c r="DA32" s="1390" t="s">
        <v>476</v>
      </c>
      <c r="DB32" s="1359">
        <v>1.0</v>
      </c>
      <c r="DC32" s="1360" t="s">
        <v>485</v>
      </c>
      <c r="DD32" s="1390" t="s">
        <v>476</v>
      </c>
      <c r="DE32" s="1359">
        <v>1.0</v>
      </c>
      <c r="DF32" s="1360" t="s">
        <v>485</v>
      </c>
      <c r="DG32" s="1390" t="s">
        <v>476</v>
      </c>
      <c r="DH32" s="1359">
        <v>1.0</v>
      </c>
      <c r="DI32" s="1360" t="s">
        <v>485</v>
      </c>
      <c r="DJ32" s="1390" t="s">
        <v>476</v>
      </c>
      <c r="DK32" s="1359">
        <v>1.0</v>
      </c>
      <c r="DL32" s="1360" t="s">
        <v>485</v>
      </c>
      <c r="DM32" s="1390" t="s">
        <v>476</v>
      </c>
      <c r="DN32" s="1359">
        <v>1.0</v>
      </c>
      <c r="DO32" s="1360" t="s">
        <v>485</v>
      </c>
      <c r="DP32" s="1390" t="s">
        <v>476</v>
      </c>
      <c r="DQ32" s="1359">
        <v>1.0</v>
      </c>
      <c r="DR32" s="1360" t="s">
        <v>485</v>
      </c>
      <c r="DS32" s="1390" t="s">
        <v>476</v>
      </c>
      <c r="DT32" s="1359">
        <v>1.0</v>
      </c>
      <c r="DU32" s="1360" t="s">
        <v>485</v>
      </c>
      <c r="DV32" s="1390" t="s">
        <v>476</v>
      </c>
      <c r="DW32" s="1359">
        <v>1.0</v>
      </c>
      <c r="DX32" s="68"/>
      <c r="DY32" s="68"/>
      <c r="DZ32" s="68"/>
    </row>
    <row r="33" ht="15.0" hidden="1" customHeight="1">
      <c r="A33" s="1262">
        <v>53.0</v>
      </c>
      <c r="B33" s="1336" t="s">
        <v>206</v>
      </c>
      <c r="C33" s="1337"/>
      <c r="D33" s="1337"/>
      <c r="E33" s="1337"/>
      <c r="F33" s="1337"/>
      <c r="G33" s="1337"/>
      <c r="H33" s="1413"/>
      <c r="I33" s="1337"/>
      <c r="J33" s="1337"/>
      <c r="K33" s="1340"/>
      <c r="L33" s="1341"/>
      <c r="M33" s="1337"/>
      <c r="N33" s="1414"/>
      <c r="O33" s="1394"/>
      <c r="P33" s="1342"/>
      <c r="Q33" s="1343"/>
      <c r="R33" s="1344"/>
      <c r="S33" s="1345"/>
      <c r="T33" s="1346"/>
      <c r="U33" s="1344"/>
      <c r="V33" s="1345"/>
      <c r="W33" s="1347"/>
      <c r="X33" s="1055"/>
      <c r="Y33" s="1348"/>
      <c r="Z33" s="1055"/>
      <c r="AA33" s="1055"/>
      <c r="AB33" s="1349"/>
      <c r="AC33" s="1055"/>
      <c r="AD33" s="1055"/>
      <c r="AE33" s="1349"/>
      <c r="AF33" s="1055"/>
      <c r="AG33" s="1055"/>
      <c r="AH33" s="1349"/>
      <c r="AI33" s="1055"/>
      <c r="AJ33" s="1055"/>
      <c r="AK33" s="1055"/>
      <c r="AL33" s="1055"/>
      <c r="AM33" s="1055"/>
      <c r="AN33" s="1055"/>
      <c r="AO33" s="1055"/>
      <c r="AP33" s="1055"/>
      <c r="AQ33" s="1055"/>
      <c r="AR33" s="1055"/>
      <c r="AS33" s="1055"/>
      <c r="AT33" s="1055"/>
      <c r="AU33" s="1055"/>
      <c r="AV33" s="1055"/>
      <c r="AW33" s="1055"/>
      <c r="AX33" s="1055"/>
      <c r="AY33" s="1055"/>
      <c r="AZ33" s="1055"/>
      <c r="BA33" s="1055"/>
      <c r="BB33" s="1055"/>
      <c r="BC33" s="1055"/>
      <c r="BD33" s="1350"/>
      <c r="BE33" s="1350"/>
      <c r="BF33" s="1350"/>
      <c r="BG33" s="1350"/>
      <c r="BH33" s="1350"/>
      <c r="BI33" s="1350"/>
      <c r="BJ33" s="1350"/>
      <c r="BK33" s="1350"/>
      <c r="BL33" s="1350"/>
      <c r="BM33" s="1350"/>
      <c r="BN33" s="1350"/>
      <c r="BO33" s="1350"/>
      <c r="BP33" s="1350"/>
      <c r="BQ33" s="1350"/>
      <c r="BR33" s="1350"/>
      <c r="BS33" s="1350"/>
      <c r="BT33" s="1350"/>
      <c r="BU33" s="1350"/>
      <c r="BV33" s="1350"/>
      <c r="BW33" s="1350"/>
      <c r="BX33" s="1350"/>
      <c r="BY33" s="1350"/>
      <c r="BZ33" s="1350"/>
      <c r="CA33" s="1350"/>
      <c r="CB33" s="1350"/>
      <c r="CC33" s="1350"/>
      <c r="CD33" s="1350"/>
      <c r="CE33" s="1350"/>
      <c r="CF33" s="1350"/>
      <c r="CG33" s="1350"/>
      <c r="CH33" s="1350"/>
      <c r="CI33" s="1350"/>
      <c r="CJ33" s="1350"/>
      <c r="CK33" s="1350"/>
      <c r="CL33" s="1350"/>
      <c r="CM33" s="1350"/>
      <c r="CN33" s="1350"/>
      <c r="CO33" s="1350"/>
      <c r="CP33" s="1350"/>
      <c r="CQ33" s="1350"/>
      <c r="CR33" s="1350"/>
      <c r="CS33" s="1350"/>
      <c r="CT33" s="1350"/>
      <c r="CU33" s="1350"/>
      <c r="CV33" s="1350"/>
      <c r="CW33" s="1350"/>
      <c r="CX33" s="1350"/>
      <c r="CY33" s="1350"/>
      <c r="CZ33" s="1350"/>
      <c r="DA33" s="1350"/>
      <c r="DB33" s="1350"/>
      <c r="DC33" s="1350"/>
      <c r="DD33" s="1350"/>
      <c r="DE33" s="1350"/>
      <c r="DF33" s="1350"/>
      <c r="DG33" s="1350"/>
      <c r="DH33" s="1350"/>
      <c r="DI33" s="1350"/>
      <c r="DJ33" s="1350"/>
      <c r="DK33" s="1350"/>
      <c r="DL33" s="1350"/>
      <c r="DM33" s="1350"/>
      <c r="DN33" s="1350"/>
      <c r="DO33" s="1350"/>
      <c r="DP33" s="1350"/>
      <c r="DQ33" s="1350"/>
      <c r="DR33" s="1350"/>
      <c r="DS33" s="1350"/>
      <c r="DT33" s="1350"/>
      <c r="DU33" s="1350"/>
      <c r="DV33" s="1350"/>
      <c r="DW33" s="1350"/>
      <c r="DX33" s="215"/>
      <c r="DY33" s="215"/>
      <c r="DZ33" s="215"/>
    </row>
    <row r="34" ht="15.0" customHeight="1" outlineLevel="1">
      <c r="A34" s="1262">
        <v>15.0</v>
      </c>
      <c r="B34" s="1278" t="s">
        <v>110</v>
      </c>
      <c r="C34" s="1279" t="s">
        <v>111</v>
      </c>
      <c r="D34" s="1280" t="s">
        <v>90</v>
      </c>
      <c r="E34" s="1294" t="s">
        <v>100</v>
      </c>
      <c r="F34" s="1280">
        <v>1104.0</v>
      </c>
      <c r="G34" s="1295" t="s">
        <v>101</v>
      </c>
      <c r="H34" s="1295">
        <v>1127.0</v>
      </c>
      <c r="I34" s="1322" t="str">
        <f>IFERROR(VLOOKUP(C31:C180,'R22 RELATÓRIO ACC'!B:F,5,FALSE),"NOT PUBLISHED")</f>
        <v>V12</v>
      </c>
      <c r="J34" s="1322" t="str">
        <f>IFERROR(VLOOKUP(C31:C180,'R22 RELATÓRIO ACC'!B:P,15,FALSE),"NOT PUBLISHED")</f>
        <v>06/04/2026</v>
      </c>
      <c r="K34" s="1353" t="str">
        <f>IFERROR(VLOOKUP(B33:B188,'RELATÓRIO ACC'!B:F,5,FALSE),"NOT PUBLISHED")</f>
        <v>V1</v>
      </c>
      <c r="L34" s="1285" t="str">
        <f>IFERROR(VLOOKUP(B33:B188,'RELATÓRIO ACC'!B:P,15,FALSE),"NOT PUBLISHED")</f>
        <v>15/05/2026</v>
      </c>
      <c r="M34" s="1205" t="s">
        <v>486</v>
      </c>
      <c r="N34" s="1415">
        <v>45897.0</v>
      </c>
      <c r="O34" s="1411" t="s">
        <v>482</v>
      </c>
      <c r="P34" s="1401" t="s">
        <v>87</v>
      </c>
      <c r="Q34" s="1281" t="s">
        <v>466</v>
      </c>
      <c r="R34" s="1202" t="s">
        <v>476</v>
      </c>
      <c r="S34" s="1311" t="s">
        <v>466</v>
      </c>
      <c r="T34" s="1032" t="s">
        <v>484</v>
      </c>
      <c r="U34" s="1327" t="s">
        <v>476</v>
      </c>
      <c r="V34" s="1412">
        <v>1.0</v>
      </c>
      <c r="W34" s="1032" t="s">
        <v>484</v>
      </c>
      <c r="X34" s="1327" t="s">
        <v>476</v>
      </c>
      <c r="Y34" s="1412">
        <v>1.0</v>
      </c>
      <c r="Z34" s="1032" t="s">
        <v>485</v>
      </c>
      <c r="AA34" s="1327" t="s">
        <v>476</v>
      </c>
      <c r="AB34" s="1412">
        <v>1.0</v>
      </c>
      <c r="AC34" s="1032" t="s">
        <v>485</v>
      </c>
      <c r="AD34" s="1327" t="s">
        <v>476</v>
      </c>
      <c r="AE34" s="1412">
        <v>1.0</v>
      </c>
      <c r="AF34" s="1032" t="s">
        <v>485</v>
      </c>
      <c r="AG34" s="1327" t="s">
        <v>476</v>
      </c>
      <c r="AH34" s="1412">
        <v>1.0</v>
      </c>
      <c r="AI34" s="1032" t="s">
        <v>485</v>
      </c>
      <c r="AJ34" s="1327" t="s">
        <v>476</v>
      </c>
      <c r="AK34" s="1412">
        <v>1.0</v>
      </c>
      <c r="AL34" s="1032" t="s">
        <v>485</v>
      </c>
      <c r="AM34" s="1327" t="s">
        <v>476</v>
      </c>
      <c r="AN34" s="1412">
        <v>1.0</v>
      </c>
      <c r="AO34" s="1032" t="s">
        <v>485</v>
      </c>
      <c r="AP34" s="1327" t="s">
        <v>476</v>
      </c>
      <c r="AQ34" s="1412">
        <v>1.0</v>
      </c>
      <c r="AR34" s="1032" t="s">
        <v>485</v>
      </c>
      <c r="AS34" s="1327" t="s">
        <v>476</v>
      </c>
      <c r="AT34" s="1412">
        <v>1.0</v>
      </c>
      <c r="AU34" s="1032" t="s">
        <v>485</v>
      </c>
      <c r="AV34" s="1327" t="s">
        <v>476</v>
      </c>
      <c r="AW34" s="1412">
        <v>1.0</v>
      </c>
      <c r="AX34" s="1032" t="s">
        <v>485</v>
      </c>
      <c r="AY34" s="1327" t="s">
        <v>476</v>
      </c>
      <c r="AZ34" s="1412">
        <v>1.0</v>
      </c>
      <c r="BA34" s="1032" t="s">
        <v>485</v>
      </c>
      <c r="BB34" s="1327" t="s">
        <v>476</v>
      </c>
      <c r="BC34" s="1412">
        <v>1.0</v>
      </c>
      <c r="BD34" s="1360" t="s">
        <v>485</v>
      </c>
      <c r="BE34" s="1390" t="s">
        <v>476</v>
      </c>
      <c r="BF34" s="1416">
        <v>1.0</v>
      </c>
      <c r="BG34" s="1360" t="s">
        <v>485</v>
      </c>
      <c r="BH34" s="1390" t="s">
        <v>476</v>
      </c>
      <c r="BI34" s="1416">
        <v>1.0</v>
      </c>
      <c r="BJ34" s="1360" t="s">
        <v>485</v>
      </c>
      <c r="BK34" s="1390" t="s">
        <v>476</v>
      </c>
      <c r="BL34" s="1416">
        <v>1.0</v>
      </c>
      <c r="BM34" s="1360" t="s">
        <v>485</v>
      </c>
      <c r="BN34" s="1390" t="s">
        <v>476</v>
      </c>
      <c r="BO34" s="1416">
        <v>1.0</v>
      </c>
      <c r="BP34" s="1360" t="s">
        <v>485</v>
      </c>
      <c r="BQ34" s="1390" t="s">
        <v>476</v>
      </c>
      <c r="BR34" s="1416">
        <v>1.0</v>
      </c>
      <c r="BS34" s="1360" t="s">
        <v>485</v>
      </c>
      <c r="BT34" s="1390" t="s">
        <v>476</v>
      </c>
      <c r="BU34" s="1416">
        <v>1.0</v>
      </c>
      <c r="BV34" s="1360" t="s">
        <v>485</v>
      </c>
      <c r="BW34" s="1390" t="s">
        <v>476</v>
      </c>
      <c r="BX34" s="1416">
        <v>1.0</v>
      </c>
      <c r="BY34" s="1360" t="s">
        <v>485</v>
      </c>
      <c r="BZ34" s="1390" t="s">
        <v>476</v>
      </c>
      <c r="CA34" s="1416">
        <v>1.0</v>
      </c>
      <c r="CB34" s="1360" t="s">
        <v>485</v>
      </c>
      <c r="CC34" s="1390" t="s">
        <v>476</v>
      </c>
      <c r="CD34" s="1416">
        <v>1.0</v>
      </c>
      <c r="CE34" s="1360" t="s">
        <v>485</v>
      </c>
      <c r="CF34" s="1390" t="s">
        <v>476</v>
      </c>
      <c r="CG34" s="1416">
        <v>1.0</v>
      </c>
      <c r="CH34" s="1417" t="s">
        <v>485</v>
      </c>
      <c r="CI34" s="1418" t="s">
        <v>476</v>
      </c>
      <c r="CJ34" s="1419">
        <v>1.0</v>
      </c>
      <c r="CK34" s="1417" t="s">
        <v>485</v>
      </c>
      <c r="CL34" s="1418" t="s">
        <v>476</v>
      </c>
      <c r="CM34" s="1419">
        <v>1.0</v>
      </c>
      <c r="CN34" s="1417" t="s">
        <v>485</v>
      </c>
      <c r="CO34" s="1418" t="s">
        <v>476</v>
      </c>
      <c r="CP34" s="1419">
        <v>1.0</v>
      </c>
      <c r="CQ34" s="1417" t="s">
        <v>485</v>
      </c>
      <c r="CR34" s="1418" t="s">
        <v>476</v>
      </c>
      <c r="CS34" s="1419">
        <v>1.0</v>
      </c>
      <c r="CT34" s="1417" t="s">
        <v>485</v>
      </c>
      <c r="CU34" s="1418" t="s">
        <v>476</v>
      </c>
      <c r="CV34" s="1419">
        <v>1.0</v>
      </c>
      <c r="CW34" s="1417" t="s">
        <v>485</v>
      </c>
      <c r="CX34" s="1418" t="s">
        <v>476</v>
      </c>
      <c r="CY34" s="1419">
        <v>1.0</v>
      </c>
      <c r="CZ34" s="1417" t="s">
        <v>485</v>
      </c>
      <c r="DA34" s="1418" t="s">
        <v>476</v>
      </c>
      <c r="DB34" s="1419">
        <v>1.0</v>
      </c>
      <c r="DC34" s="1417" t="s">
        <v>485</v>
      </c>
      <c r="DD34" s="1418" t="s">
        <v>476</v>
      </c>
      <c r="DE34" s="1419">
        <v>1.0</v>
      </c>
      <c r="DF34" s="1417" t="s">
        <v>485</v>
      </c>
      <c r="DG34" s="1418" t="s">
        <v>476</v>
      </c>
      <c r="DH34" s="1419">
        <v>1.0</v>
      </c>
      <c r="DI34" s="1417" t="s">
        <v>485</v>
      </c>
      <c r="DJ34" s="1418" t="s">
        <v>476</v>
      </c>
      <c r="DK34" s="1419">
        <v>1.0</v>
      </c>
      <c r="DL34" s="1417" t="s">
        <v>485</v>
      </c>
      <c r="DM34" s="1418" t="s">
        <v>476</v>
      </c>
      <c r="DN34" s="1419">
        <v>1.0</v>
      </c>
      <c r="DO34" s="1417" t="s">
        <v>485</v>
      </c>
      <c r="DP34" s="1418" t="s">
        <v>476</v>
      </c>
      <c r="DQ34" s="1419">
        <v>1.0</v>
      </c>
      <c r="DR34" s="1417" t="s">
        <v>485</v>
      </c>
      <c r="DS34" s="1418" t="s">
        <v>476</v>
      </c>
      <c r="DT34" s="1419">
        <v>1.0</v>
      </c>
      <c r="DU34" s="1417" t="s">
        <v>485</v>
      </c>
      <c r="DV34" s="1418" t="s">
        <v>476</v>
      </c>
      <c r="DW34" s="1419">
        <v>1.0</v>
      </c>
      <c r="DX34" s="68"/>
      <c r="DY34" s="68"/>
      <c r="DZ34" s="68"/>
    </row>
    <row r="35" ht="15.0" hidden="1" customHeight="1">
      <c r="A35" s="1262">
        <v>56.0</v>
      </c>
      <c r="B35" s="1361" t="s">
        <v>211</v>
      </c>
      <c r="C35" s="1362"/>
      <c r="D35" s="1362"/>
      <c r="E35" s="1362"/>
      <c r="F35" s="1362"/>
      <c r="G35" s="1362"/>
      <c r="H35" s="1376"/>
      <c r="I35" s="1362"/>
      <c r="J35" s="1362"/>
      <c r="K35" s="1365"/>
      <c r="L35" s="1366"/>
      <c r="M35" s="1362"/>
      <c r="N35" s="1377"/>
      <c r="O35" s="1378"/>
      <c r="P35" s="1367"/>
      <c r="Q35" s="1368"/>
      <c r="R35" s="1369"/>
      <c r="S35" s="1370"/>
      <c r="T35" s="1371"/>
      <c r="U35" s="1369"/>
      <c r="V35" s="1370"/>
      <c r="W35" s="1372"/>
      <c r="X35" s="1060"/>
      <c r="Y35" s="1373"/>
      <c r="Z35" s="1060"/>
      <c r="AA35" s="1060"/>
      <c r="AB35" s="1374"/>
      <c r="AC35" s="1060"/>
      <c r="AD35" s="1060"/>
      <c r="AE35" s="1374"/>
      <c r="AF35" s="1060"/>
      <c r="AG35" s="1060"/>
      <c r="AH35" s="1374"/>
      <c r="AI35" s="1060"/>
      <c r="AJ35" s="1060"/>
      <c r="AK35" s="1060"/>
      <c r="AL35" s="1060"/>
      <c r="AM35" s="1060"/>
      <c r="AN35" s="1060"/>
      <c r="AO35" s="1060"/>
      <c r="AP35" s="1060"/>
      <c r="AQ35" s="1060"/>
      <c r="AR35" s="1060"/>
      <c r="AS35" s="1060"/>
      <c r="AT35" s="1060"/>
      <c r="AU35" s="1060"/>
      <c r="AV35" s="1060"/>
      <c r="AW35" s="1060"/>
      <c r="AX35" s="1060"/>
      <c r="AY35" s="1060"/>
      <c r="AZ35" s="1060"/>
      <c r="BA35" s="1060"/>
      <c r="BB35" s="1060"/>
      <c r="BC35" s="1060"/>
      <c r="BD35" s="1375"/>
      <c r="BE35" s="1375"/>
      <c r="BF35" s="1375"/>
      <c r="BG35" s="1375"/>
      <c r="BH35" s="1375"/>
      <c r="BI35" s="1375"/>
      <c r="BJ35" s="1375"/>
      <c r="BK35" s="1375"/>
      <c r="BL35" s="1375"/>
      <c r="BM35" s="1375"/>
      <c r="BN35" s="1375"/>
      <c r="BO35" s="1375"/>
      <c r="BP35" s="1375"/>
      <c r="BQ35" s="1375"/>
      <c r="BR35" s="1375"/>
      <c r="BS35" s="1375"/>
      <c r="BT35" s="1375"/>
      <c r="BU35" s="1375"/>
      <c r="BV35" s="1375"/>
      <c r="BW35" s="1375"/>
      <c r="BX35" s="1375"/>
      <c r="BY35" s="1375"/>
      <c r="BZ35" s="1375"/>
      <c r="CA35" s="1375"/>
      <c r="CB35" s="1375"/>
      <c r="CC35" s="1375"/>
      <c r="CD35" s="1375"/>
      <c r="CE35" s="1375"/>
      <c r="CF35" s="1375"/>
      <c r="CG35" s="1375"/>
      <c r="CH35" s="1375"/>
      <c r="CI35" s="1375"/>
      <c r="CJ35" s="1375"/>
      <c r="CK35" s="1375"/>
      <c r="CL35" s="1375"/>
      <c r="CM35" s="1375"/>
      <c r="CN35" s="1375"/>
      <c r="CO35" s="1375"/>
      <c r="CP35" s="1375"/>
      <c r="CQ35" s="1375"/>
      <c r="CR35" s="1375"/>
      <c r="CS35" s="1375"/>
      <c r="CT35" s="1375"/>
      <c r="CU35" s="1375"/>
      <c r="CV35" s="1375"/>
      <c r="CW35" s="1375"/>
      <c r="CX35" s="1375"/>
      <c r="CY35" s="1375"/>
      <c r="CZ35" s="1375"/>
      <c r="DA35" s="1375"/>
      <c r="DB35" s="1375"/>
      <c r="DC35" s="1375"/>
      <c r="DD35" s="1375"/>
      <c r="DE35" s="1375"/>
      <c r="DF35" s="1375"/>
      <c r="DG35" s="1375"/>
      <c r="DH35" s="1375"/>
      <c r="DI35" s="1375"/>
      <c r="DJ35" s="1375"/>
      <c r="DK35" s="1375"/>
      <c r="DL35" s="1375"/>
      <c r="DM35" s="1375"/>
      <c r="DN35" s="1375"/>
      <c r="DO35" s="1375"/>
      <c r="DP35" s="1375"/>
      <c r="DQ35" s="1375"/>
      <c r="DR35" s="1375"/>
      <c r="DS35" s="1375"/>
      <c r="DT35" s="1375"/>
      <c r="DU35" s="1375"/>
      <c r="DV35" s="1375"/>
      <c r="DW35" s="1375"/>
      <c r="DX35" s="215"/>
      <c r="DY35" s="215"/>
      <c r="DZ35" s="215"/>
    </row>
    <row r="36" ht="15.0" customHeight="1" outlineLevel="1">
      <c r="A36" s="1262">
        <v>24.0</v>
      </c>
      <c r="B36" s="1278" t="s">
        <v>136</v>
      </c>
      <c r="C36" s="1279" t="s">
        <v>137</v>
      </c>
      <c r="D36" s="1280" t="s">
        <v>90</v>
      </c>
      <c r="E36" s="1294" t="s">
        <v>138</v>
      </c>
      <c r="F36" s="1280">
        <v>1101.0</v>
      </c>
      <c r="G36" s="1295" t="s">
        <v>139</v>
      </c>
      <c r="H36" s="1295">
        <v>1126.0</v>
      </c>
      <c r="I36" s="1322" t="str">
        <f>IFERROR(VLOOKUP(C33:C182,'R22 RELATÓRIO ACC'!B:F,5,FALSE),"NOT PUBLISHED")</f>
        <v>V14</v>
      </c>
      <c r="J36" s="1322" t="str">
        <f>IFERROR(VLOOKUP(C33:C182,'R22 RELATÓRIO ACC'!B:P,15,FALSE),"NOT PUBLISHED")</f>
        <v>18/03/2026</v>
      </c>
      <c r="K36" s="1353" t="str">
        <f>IFERROR(VLOOKUP(B35:B190,'RELATÓRIO ACC'!B:F,5,FALSE),"NOT PUBLISHED")</f>
        <v>V2</v>
      </c>
      <c r="L36" s="1285" t="str">
        <f>IFERROR(VLOOKUP(B35:B190,'RELATÓRIO ACC'!B:P,15,FALSE),"NOT PUBLISHED")</f>
        <v>17/06/2026</v>
      </c>
      <c r="M36" s="1420" t="s">
        <v>500</v>
      </c>
      <c r="N36" s="1309">
        <v>45922.0</v>
      </c>
      <c r="O36" s="1397" t="s">
        <v>482</v>
      </c>
      <c r="P36" s="1421" t="s">
        <v>102</v>
      </c>
      <c r="Q36" s="1281" t="s">
        <v>477</v>
      </c>
      <c r="R36" s="1202" t="s">
        <v>476</v>
      </c>
      <c r="S36" s="1422">
        <v>0.39</v>
      </c>
      <c r="T36" s="1032" t="s">
        <v>477</v>
      </c>
      <c r="U36" s="1327" t="s">
        <v>476</v>
      </c>
      <c r="V36" s="1403">
        <v>0.96</v>
      </c>
      <c r="W36" s="758" t="s">
        <v>478</v>
      </c>
      <c r="X36" s="1327" t="s">
        <v>476</v>
      </c>
      <c r="Y36" s="1423" t="s">
        <v>478</v>
      </c>
      <c r="Z36" s="758" t="s">
        <v>478</v>
      </c>
      <c r="AA36" s="1327" t="s">
        <v>476</v>
      </c>
      <c r="AB36" s="1424" t="s">
        <v>478</v>
      </c>
      <c r="AC36" s="758" t="s">
        <v>484</v>
      </c>
      <c r="AD36" s="1327" t="s">
        <v>476</v>
      </c>
      <c r="AE36" s="1389">
        <v>1.0</v>
      </c>
      <c r="AF36" s="1032" t="s">
        <v>485</v>
      </c>
      <c r="AG36" s="1327" t="s">
        <v>476</v>
      </c>
      <c r="AH36" s="1389">
        <v>1.0</v>
      </c>
      <c r="AI36" s="1032" t="s">
        <v>485</v>
      </c>
      <c r="AJ36" s="1327" t="s">
        <v>476</v>
      </c>
      <c r="AK36" s="1389">
        <v>1.0</v>
      </c>
      <c r="AL36" s="1032" t="s">
        <v>485</v>
      </c>
      <c r="AM36" s="1327" t="s">
        <v>476</v>
      </c>
      <c r="AN36" s="1389">
        <v>1.0</v>
      </c>
      <c r="AO36" s="1032" t="s">
        <v>485</v>
      </c>
      <c r="AP36" s="1327" t="s">
        <v>476</v>
      </c>
      <c r="AQ36" s="1389">
        <v>1.0</v>
      </c>
      <c r="AR36" s="1032" t="s">
        <v>485</v>
      </c>
      <c r="AS36" s="1327" t="s">
        <v>476</v>
      </c>
      <c r="AT36" s="1389">
        <v>1.0</v>
      </c>
      <c r="AU36" s="1032" t="s">
        <v>485</v>
      </c>
      <c r="AV36" s="1327" t="s">
        <v>476</v>
      </c>
      <c r="AW36" s="1389">
        <v>1.0</v>
      </c>
      <c r="AX36" s="1032" t="s">
        <v>485</v>
      </c>
      <c r="AY36" s="1327" t="s">
        <v>476</v>
      </c>
      <c r="AZ36" s="1389">
        <v>1.0</v>
      </c>
      <c r="BA36" s="1032" t="s">
        <v>485</v>
      </c>
      <c r="BB36" s="1327" t="s">
        <v>476</v>
      </c>
      <c r="BC36" s="1389">
        <v>1.0</v>
      </c>
      <c r="BD36" s="1360" t="s">
        <v>485</v>
      </c>
      <c r="BE36" s="1390" t="s">
        <v>476</v>
      </c>
      <c r="BF36" s="1359">
        <v>1.0</v>
      </c>
      <c r="BG36" s="1360" t="s">
        <v>485</v>
      </c>
      <c r="BH36" s="1390" t="s">
        <v>476</v>
      </c>
      <c r="BI36" s="1359">
        <v>1.0</v>
      </c>
      <c r="BJ36" s="1360" t="s">
        <v>485</v>
      </c>
      <c r="BK36" s="1390" t="s">
        <v>476</v>
      </c>
      <c r="BL36" s="1359">
        <v>1.0</v>
      </c>
      <c r="BM36" s="1360" t="s">
        <v>485</v>
      </c>
      <c r="BN36" s="1390" t="s">
        <v>476</v>
      </c>
      <c r="BO36" s="1359">
        <v>1.0</v>
      </c>
      <c r="BP36" s="1360" t="s">
        <v>485</v>
      </c>
      <c r="BQ36" s="1390" t="s">
        <v>476</v>
      </c>
      <c r="BR36" s="1359">
        <v>1.0</v>
      </c>
      <c r="BS36" s="1360" t="s">
        <v>485</v>
      </c>
      <c r="BT36" s="1390" t="s">
        <v>476</v>
      </c>
      <c r="BU36" s="1359">
        <v>1.0</v>
      </c>
      <c r="BV36" s="1360" t="s">
        <v>485</v>
      </c>
      <c r="BW36" s="1390" t="s">
        <v>476</v>
      </c>
      <c r="BX36" s="1359">
        <v>1.0</v>
      </c>
      <c r="BY36" s="1360" t="s">
        <v>485</v>
      </c>
      <c r="BZ36" s="1390" t="s">
        <v>476</v>
      </c>
      <c r="CA36" s="1359">
        <v>1.0</v>
      </c>
      <c r="CB36" s="1360" t="s">
        <v>485</v>
      </c>
      <c r="CC36" s="1390" t="s">
        <v>476</v>
      </c>
      <c r="CD36" s="1359">
        <v>1.0</v>
      </c>
      <c r="CE36" s="1360" t="s">
        <v>485</v>
      </c>
      <c r="CF36" s="1390" t="s">
        <v>476</v>
      </c>
      <c r="CG36" s="1359">
        <v>1.0</v>
      </c>
      <c r="CH36" s="1417" t="s">
        <v>485</v>
      </c>
      <c r="CI36" s="1418" t="s">
        <v>476</v>
      </c>
      <c r="CJ36" s="1419">
        <v>1.0</v>
      </c>
      <c r="CK36" s="1417" t="s">
        <v>485</v>
      </c>
      <c r="CL36" s="1418" t="s">
        <v>476</v>
      </c>
      <c r="CM36" s="1419">
        <v>1.0</v>
      </c>
      <c r="CN36" s="1417" t="s">
        <v>485</v>
      </c>
      <c r="CO36" s="1418" t="s">
        <v>476</v>
      </c>
      <c r="CP36" s="1419">
        <v>1.0</v>
      </c>
      <c r="CQ36" s="1417" t="s">
        <v>485</v>
      </c>
      <c r="CR36" s="1418" t="s">
        <v>476</v>
      </c>
      <c r="CS36" s="1419">
        <v>1.0</v>
      </c>
      <c r="CT36" s="1417" t="s">
        <v>485</v>
      </c>
      <c r="CU36" s="1418" t="s">
        <v>476</v>
      </c>
      <c r="CV36" s="1419">
        <v>1.0</v>
      </c>
      <c r="CW36" s="1417" t="s">
        <v>485</v>
      </c>
      <c r="CX36" s="1418" t="s">
        <v>476</v>
      </c>
      <c r="CY36" s="1419">
        <v>1.0</v>
      </c>
      <c r="CZ36" s="1417" t="s">
        <v>485</v>
      </c>
      <c r="DA36" s="1418" t="s">
        <v>476</v>
      </c>
      <c r="DB36" s="1419">
        <v>1.0</v>
      </c>
      <c r="DC36" s="1417" t="s">
        <v>485</v>
      </c>
      <c r="DD36" s="1418" t="s">
        <v>476</v>
      </c>
      <c r="DE36" s="1419">
        <v>1.0</v>
      </c>
      <c r="DF36" s="1417" t="s">
        <v>485</v>
      </c>
      <c r="DG36" s="1418" t="s">
        <v>476</v>
      </c>
      <c r="DH36" s="1419">
        <v>1.0</v>
      </c>
      <c r="DI36" s="1417" t="s">
        <v>485</v>
      </c>
      <c r="DJ36" s="1418" t="s">
        <v>476</v>
      </c>
      <c r="DK36" s="1419">
        <v>1.0</v>
      </c>
      <c r="DL36" s="1417" t="s">
        <v>485</v>
      </c>
      <c r="DM36" s="1418" t="s">
        <v>476</v>
      </c>
      <c r="DN36" s="1419">
        <v>1.0</v>
      </c>
      <c r="DO36" s="1417" t="s">
        <v>485</v>
      </c>
      <c r="DP36" s="1418" t="s">
        <v>476</v>
      </c>
      <c r="DQ36" s="1419">
        <v>1.0</v>
      </c>
      <c r="DR36" s="1417" t="s">
        <v>485</v>
      </c>
      <c r="DS36" s="1418" t="s">
        <v>476</v>
      </c>
      <c r="DT36" s="1419">
        <v>1.0</v>
      </c>
      <c r="DU36" s="1417" t="s">
        <v>485</v>
      </c>
      <c r="DV36" s="1418" t="s">
        <v>476</v>
      </c>
      <c r="DW36" s="1419">
        <v>1.0</v>
      </c>
      <c r="DX36" s="68"/>
      <c r="DY36" s="68"/>
      <c r="DZ36" s="68"/>
    </row>
    <row r="37" ht="15.0" customHeight="1" outlineLevel="1">
      <c r="A37" s="1262">
        <v>35.0</v>
      </c>
      <c r="B37" s="1278" t="s">
        <v>171</v>
      </c>
      <c r="C37" s="1279" t="s">
        <v>172</v>
      </c>
      <c r="D37" s="1280" t="s">
        <v>90</v>
      </c>
      <c r="E37" s="1294" t="s">
        <v>169</v>
      </c>
      <c r="F37" s="1280">
        <v>1112.0</v>
      </c>
      <c r="G37" s="1294" t="s">
        <v>170</v>
      </c>
      <c r="H37" s="1295">
        <v>1129.0</v>
      </c>
      <c r="I37" s="1322" t="str">
        <f>IFERROR(VLOOKUP(C34:C183,'R22 RELATÓRIO ACC'!B:F,5,FALSE),"NOT PUBLISHED")</f>
        <v>V39</v>
      </c>
      <c r="J37" s="1322" t="str">
        <f>IFERROR(VLOOKUP(C34:C183,'R22 RELATÓRIO ACC'!B:P,15,FALSE),"NOT PUBLISHED")</f>
        <v>12/05/2026</v>
      </c>
      <c r="K37" s="1353" t="str">
        <f>IFERROR(VLOOKUP(B36:B190,'RELATÓRIO ACC'!B:F,5,FALSE),"NOT PUBLISHED")</f>
        <v>V4</v>
      </c>
      <c r="L37" s="1285" t="str">
        <f>IFERROR(VLOOKUP(B36:B190,'RELATÓRIO ACC'!B:P,15,FALSE),"NOT PUBLISHED")</f>
        <v>14/07/2026</v>
      </c>
      <c r="M37" s="1420" t="s">
        <v>855</v>
      </c>
      <c r="N37" s="1415">
        <v>45889.0</v>
      </c>
      <c r="O37" s="1411" t="s">
        <v>482</v>
      </c>
      <c r="P37" s="1425" t="s">
        <v>129</v>
      </c>
      <c r="Q37" s="1296" t="s">
        <v>477</v>
      </c>
      <c r="R37" s="1402" t="s">
        <v>476</v>
      </c>
      <c r="S37" s="1426">
        <v>0.69</v>
      </c>
      <c r="T37" s="1296" t="s">
        <v>484</v>
      </c>
      <c r="U37" s="1402" t="s">
        <v>476</v>
      </c>
      <c r="V37" s="1403">
        <v>1.0</v>
      </c>
      <c r="W37" s="1296" t="s">
        <v>484</v>
      </c>
      <c r="X37" s="1402" t="s">
        <v>476</v>
      </c>
      <c r="Y37" s="1403">
        <v>1.0</v>
      </c>
      <c r="Z37" s="1296" t="s">
        <v>485</v>
      </c>
      <c r="AA37" s="1402" t="s">
        <v>476</v>
      </c>
      <c r="AB37" s="1403">
        <v>1.0</v>
      </c>
      <c r="AC37" s="1296" t="s">
        <v>485</v>
      </c>
      <c r="AD37" s="1402" t="s">
        <v>476</v>
      </c>
      <c r="AE37" s="1403">
        <v>1.0</v>
      </c>
      <c r="AF37" s="1296" t="s">
        <v>485</v>
      </c>
      <c r="AG37" s="1402" t="s">
        <v>476</v>
      </c>
      <c r="AH37" s="1403">
        <v>1.0</v>
      </c>
      <c r="AI37" s="1296" t="s">
        <v>485</v>
      </c>
      <c r="AJ37" s="1402" t="s">
        <v>476</v>
      </c>
      <c r="AK37" s="1403">
        <v>1.0</v>
      </c>
      <c r="AL37" s="1281" t="s">
        <v>485</v>
      </c>
      <c r="AM37" s="1202" t="s">
        <v>476</v>
      </c>
      <c r="AN37" s="1403">
        <v>1.0</v>
      </c>
      <c r="AO37" s="1281" t="s">
        <v>485</v>
      </c>
      <c r="AP37" s="1202" t="s">
        <v>476</v>
      </c>
      <c r="AQ37" s="1403">
        <v>1.0</v>
      </c>
      <c r="AR37" s="1281" t="s">
        <v>485</v>
      </c>
      <c r="AS37" s="1202" t="s">
        <v>476</v>
      </c>
      <c r="AT37" s="1403">
        <v>1.0</v>
      </c>
      <c r="AU37" s="1281" t="s">
        <v>485</v>
      </c>
      <c r="AV37" s="1202" t="s">
        <v>476</v>
      </c>
      <c r="AW37" s="1403">
        <v>1.0</v>
      </c>
      <c r="AX37" s="1281" t="s">
        <v>485</v>
      </c>
      <c r="AY37" s="1202" t="s">
        <v>476</v>
      </c>
      <c r="AZ37" s="1403">
        <v>1.0</v>
      </c>
      <c r="BA37" s="1281" t="s">
        <v>485</v>
      </c>
      <c r="BB37" s="1202" t="s">
        <v>476</v>
      </c>
      <c r="BC37" s="1403">
        <v>1.0</v>
      </c>
      <c r="BD37" s="1410" t="s">
        <v>485</v>
      </c>
      <c r="BE37" s="1427" t="s">
        <v>476</v>
      </c>
      <c r="BF37" s="1428">
        <v>1.0</v>
      </c>
      <c r="BG37" s="1410" t="s">
        <v>485</v>
      </c>
      <c r="BH37" s="1427" t="s">
        <v>476</v>
      </c>
      <c r="BI37" s="1428">
        <v>1.0</v>
      </c>
      <c r="BJ37" s="1410" t="s">
        <v>485</v>
      </c>
      <c r="BK37" s="1427" t="s">
        <v>476</v>
      </c>
      <c r="BL37" s="1428">
        <v>1.0</v>
      </c>
      <c r="BM37" s="1410" t="s">
        <v>485</v>
      </c>
      <c r="BN37" s="1427" t="s">
        <v>476</v>
      </c>
      <c r="BO37" s="1428">
        <v>1.0</v>
      </c>
      <c r="BP37" s="1410" t="s">
        <v>485</v>
      </c>
      <c r="BQ37" s="1427" t="s">
        <v>476</v>
      </c>
      <c r="BR37" s="1428">
        <v>1.0</v>
      </c>
      <c r="BS37" s="1410" t="s">
        <v>485</v>
      </c>
      <c r="BT37" s="1427" t="s">
        <v>476</v>
      </c>
      <c r="BU37" s="1428">
        <v>1.0</v>
      </c>
      <c r="BV37" s="1410" t="s">
        <v>485</v>
      </c>
      <c r="BW37" s="1427" t="s">
        <v>476</v>
      </c>
      <c r="BX37" s="1428">
        <v>1.0</v>
      </c>
      <c r="BY37" s="1410" t="s">
        <v>485</v>
      </c>
      <c r="BZ37" s="1427" t="s">
        <v>476</v>
      </c>
      <c r="CA37" s="1428">
        <v>1.0</v>
      </c>
      <c r="CB37" s="1410" t="s">
        <v>485</v>
      </c>
      <c r="CC37" s="1427" t="s">
        <v>476</v>
      </c>
      <c r="CD37" s="1428">
        <v>1.0</v>
      </c>
      <c r="CE37" s="1410" t="s">
        <v>485</v>
      </c>
      <c r="CF37" s="1427" t="s">
        <v>476</v>
      </c>
      <c r="CG37" s="1428">
        <v>1.0</v>
      </c>
      <c r="CH37" s="1410" t="s">
        <v>485</v>
      </c>
      <c r="CI37" s="1427" t="s">
        <v>476</v>
      </c>
      <c r="CJ37" s="1428">
        <v>1.0</v>
      </c>
      <c r="CK37" s="1410" t="s">
        <v>485</v>
      </c>
      <c r="CL37" s="1427" t="s">
        <v>476</v>
      </c>
      <c r="CM37" s="1428">
        <v>1.0</v>
      </c>
      <c r="CN37" s="1410" t="s">
        <v>485</v>
      </c>
      <c r="CO37" s="1427" t="s">
        <v>476</v>
      </c>
      <c r="CP37" s="1428">
        <v>1.0</v>
      </c>
      <c r="CQ37" s="1360" t="s">
        <v>485</v>
      </c>
      <c r="CR37" s="1429" t="s">
        <v>476</v>
      </c>
      <c r="CS37" s="1392">
        <v>1.0</v>
      </c>
      <c r="CT37" s="1360" t="s">
        <v>485</v>
      </c>
      <c r="CU37" s="1429" t="s">
        <v>476</v>
      </c>
      <c r="CV37" s="1392">
        <v>1.0</v>
      </c>
      <c r="CW37" s="1360" t="s">
        <v>485</v>
      </c>
      <c r="CX37" s="1429" t="s">
        <v>476</v>
      </c>
      <c r="CY37" s="1392">
        <v>1.0</v>
      </c>
      <c r="CZ37" s="1360" t="s">
        <v>485</v>
      </c>
      <c r="DA37" s="1429" t="s">
        <v>476</v>
      </c>
      <c r="DB37" s="1392">
        <v>1.0</v>
      </c>
      <c r="DC37" s="1360" t="s">
        <v>485</v>
      </c>
      <c r="DD37" s="1429" t="s">
        <v>476</v>
      </c>
      <c r="DE37" s="1392">
        <v>1.0</v>
      </c>
      <c r="DF37" s="1360" t="s">
        <v>485</v>
      </c>
      <c r="DG37" s="1429" t="s">
        <v>476</v>
      </c>
      <c r="DH37" s="1392">
        <v>1.0</v>
      </c>
      <c r="DI37" s="1360" t="s">
        <v>485</v>
      </c>
      <c r="DJ37" s="1429" t="s">
        <v>476</v>
      </c>
      <c r="DK37" s="1392">
        <v>1.0</v>
      </c>
      <c r="DL37" s="1360" t="s">
        <v>485</v>
      </c>
      <c r="DM37" s="1429" t="s">
        <v>476</v>
      </c>
      <c r="DN37" s="1392">
        <v>1.0</v>
      </c>
      <c r="DO37" s="1360" t="s">
        <v>485</v>
      </c>
      <c r="DP37" s="1429" t="s">
        <v>476</v>
      </c>
      <c r="DQ37" s="1392">
        <v>1.0</v>
      </c>
      <c r="DR37" s="1360" t="s">
        <v>485</v>
      </c>
      <c r="DS37" s="1429" t="s">
        <v>476</v>
      </c>
      <c r="DT37" s="1392">
        <v>1.0</v>
      </c>
      <c r="DU37" s="1360" t="s">
        <v>485</v>
      </c>
      <c r="DV37" s="1429" t="s">
        <v>476</v>
      </c>
      <c r="DW37" s="1392">
        <v>1.0</v>
      </c>
      <c r="DX37" s="135"/>
      <c r="DY37" s="135"/>
      <c r="DZ37" s="135"/>
    </row>
    <row r="38" ht="15.0" hidden="1" customHeight="1">
      <c r="A38" s="1262">
        <v>59.0</v>
      </c>
      <c r="B38" s="1430" t="s">
        <v>219</v>
      </c>
      <c r="C38" s="1431"/>
      <c r="D38" s="1431"/>
      <c r="E38" s="1431"/>
      <c r="F38" s="1431"/>
      <c r="G38" s="1431"/>
      <c r="H38" s="1432"/>
      <c r="I38" s="1431"/>
      <c r="J38" s="1431"/>
      <c r="K38" s="1433"/>
      <c r="L38" s="1434"/>
      <c r="M38" s="1431"/>
      <c r="N38" s="1435"/>
      <c r="O38" s="1378"/>
      <c r="P38" s="1436"/>
      <c r="Q38" s="1437"/>
      <c r="R38" s="1438"/>
      <c r="S38" s="1439"/>
      <c r="T38" s="1440"/>
      <c r="U38" s="1438"/>
      <c r="V38" s="1439"/>
      <c r="W38" s="1441"/>
      <c r="X38" s="1090"/>
      <c r="Y38" s="1442"/>
      <c r="Z38" s="1090"/>
      <c r="AA38" s="1090"/>
      <c r="AB38" s="1443"/>
      <c r="AC38" s="1090"/>
      <c r="AD38" s="1090"/>
      <c r="AE38" s="1443"/>
      <c r="AF38" s="1090"/>
      <c r="AG38" s="1090"/>
      <c r="AH38" s="1443"/>
      <c r="AI38" s="1090"/>
      <c r="AJ38" s="1090"/>
      <c r="AK38" s="1090"/>
      <c r="AL38" s="1090"/>
      <c r="AM38" s="1090"/>
      <c r="AN38" s="1090"/>
      <c r="AO38" s="1090"/>
      <c r="AP38" s="1090"/>
      <c r="AQ38" s="1090"/>
      <c r="AR38" s="1090"/>
      <c r="AS38" s="1090"/>
      <c r="AT38" s="1090"/>
      <c r="AU38" s="1090"/>
      <c r="AV38" s="1090"/>
      <c r="AW38" s="1090"/>
      <c r="AX38" s="1090"/>
      <c r="AY38" s="1090"/>
      <c r="AZ38" s="1090"/>
      <c r="BA38" s="1090"/>
      <c r="BB38" s="1090"/>
      <c r="BC38" s="1090"/>
      <c r="BD38" s="1444"/>
      <c r="BE38" s="1444"/>
      <c r="BF38" s="1444"/>
      <c r="BG38" s="1444"/>
      <c r="BH38" s="1444"/>
      <c r="BI38" s="1444"/>
      <c r="BJ38" s="1444"/>
      <c r="BK38" s="1444"/>
      <c r="BL38" s="1444"/>
      <c r="BM38" s="1444"/>
      <c r="BN38" s="1444"/>
      <c r="BO38" s="1444"/>
      <c r="BP38" s="1444"/>
      <c r="BQ38" s="1444"/>
      <c r="BR38" s="1444"/>
      <c r="BS38" s="1444"/>
      <c r="BT38" s="1444"/>
      <c r="BU38" s="1444"/>
      <c r="BV38" s="1444"/>
      <c r="BW38" s="1444"/>
      <c r="BX38" s="1444"/>
      <c r="BY38" s="1444"/>
      <c r="BZ38" s="1444"/>
      <c r="CA38" s="1444"/>
      <c r="CB38" s="1444"/>
      <c r="CC38" s="1444"/>
      <c r="CD38" s="1444"/>
      <c r="CE38" s="1444"/>
      <c r="CF38" s="1444"/>
      <c r="CG38" s="1444"/>
      <c r="CH38" s="1444"/>
      <c r="CI38" s="1444"/>
      <c r="CJ38" s="1444"/>
      <c r="CK38" s="1444"/>
      <c r="CL38" s="1444"/>
      <c r="CM38" s="1444"/>
      <c r="CN38" s="1444"/>
      <c r="CO38" s="1444"/>
      <c r="CP38" s="1444"/>
      <c r="CQ38" s="1444"/>
      <c r="CR38" s="1444"/>
      <c r="CS38" s="1444"/>
      <c r="CT38" s="1444"/>
      <c r="CU38" s="1444"/>
      <c r="CV38" s="1444"/>
      <c r="CW38" s="1444"/>
      <c r="CX38" s="1444"/>
      <c r="CY38" s="1444"/>
      <c r="CZ38" s="1444"/>
      <c r="DA38" s="1444"/>
      <c r="DB38" s="1444"/>
      <c r="DC38" s="1444"/>
      <c r="DD38" s="1444"/>
      <c r="DE38" s="1444"/>
      <c r="DF38" s="1444"/>
      <c r="DG38" s="1444"/>
      <c r="DH38" s="1444"/>
      <c r="DI38" s="1444"/>
      <c r="DJ38" s="1444"/>
      <c r="DK38" s="1444"/>
      <c r="DL38" s="1444"/>
      <c r="DM38" s="1444"/>
      <c r="DN38" s="1444"/>
      <c r="DO38" s="1444"/>
      <c r="DP38" s="1444"/>
      <c r="DQ38" s="1444"/>
      <c r="DR38" s="1444"/>
      <c r="DS38" s="1444"/>
      <c r="DT38" s="1444"/>
      <c r="DU38" s="1444"/>
      <c r="DV38" s="1444"/>
      <c r="DW38" s="1444"/>
      <c r="DX38" s="186"/>
      <c r="DY38" s="186"/>
      <c r="DZ38" s="186"/>
    </row>
    <row r="39" ht="15.0" customHeight="1" outlineLevel="1">
      <c r="A39" s="1262">
        <v>40.0</v>
      </c>
      <c r="B39" s="1278" t="s">
        <v>181</v>
      </c>
      <c r="C39" s="1279" t="s">
        <v>182</v>
      </c>
      <c r="D39" s="1280" t="s">
        <v>90</v>
      </c>
      <c r="E39" s="1294" t="s">
        <v>180</v>
      </c>
      <c r="F39" s="1280">
        <v>1114.0</v>
      </c>
      <c r="G39" s="1295" t="s">
        <v>180</v>
      </c>
      <c r="H39" s="1295">
        <v>1114.0</v>
      </c>
      <c r="I39" s="1322" t="str">
        <f>IFERROR(VLOOKUP(C36:C185,'R22 RELATÓRIO ACC'!B:F,5,FALSE),"NOT PUBLISHED")</f>
        <v>V11</v>
      </c>
      <c r="J39" s="1322" t="str">
        <f>IFERROR(VLOOKUP(C36:C185,'R22 RELATÓRIO ACC'!B:P,15,FALSE),"NOT PUBLISHED")</f>
        <v>03/02/2026</v>
      </c>
      <c r="K39" s="1353" t="str">
        <f>IFERROR(VLOOKUP(B38:B192,'RELATÓRIO ACC'!B:F,5,FALSE),"NOT PUBLISHED")</f>
        <v>V1</v>
      </c>
      <c r="L39" s="1285" t="str">
        <f>IFERROR(VLOOKUP(B38:B192,'RELATÓRIO ACC'!B:P,15,FALSE),"NOT PUBLISHED")</f>
        <v>15/05/2026</v>
      </c>
      <c r="M39" s="1420" t="s">
        <v>490</v>
      </c>
      <c r="N39" s="1309">
        <v>45896.0</v>
      </c>
      <c r="O39" s="1397" t="s">
        <v>482</v>
      </c>
      <c r="P39" s="1401" t="s">
        <v>87</v>
      </c>
      <c r="Q39" s="1281" t="s">
        <v>477</v>
      </c>
      <c r="R39" s="1202" t="s">
        <v>476</v>
      </c>
      <c r="S39" s="1408">
        <v>0.69</v>
      </c>
      <c r="T39" s="1032" t="s">
        <v>484</v>
      </c>
      <c r="U39" s="1327" t="s">
        <v>476</v>
      </c>
      <c r="V39" s="1079">
        <v>1.0</v>
      </c>
      <c r="W39" s="1032" t="s">
        <v>484</v>
      </c>
      <c r="X39" s="1327" t="s">
        <v>476</v>
      </c>
      <c r="Y39" s="1079">
        <v>1.0</v>
      </c>
      <c r="Z39" s="1032" t="s">
        <v>485</v>
      </c>
      <c r="AA39" s="1327" t="s">
        <v>476</v>
      </c>
      <c r="AB39" s="1079">
        <v>1.0</v>
      </c>
      <c r="AC39" s="1032" t="s">
        <v>485</v>
      </c>
      <c r="AD39" s="1327" t="s">
        <v>476</v>
      </c>
      <c r="AE39" s="1079">
        <v>1.0</v>
      </c>
      <c r="AF39" s="1032" t="s">
        <v>485</v>
      </c>
      <c r="AG39" s="1327" t="s">
        <v>476</v>
      </c>
      <c r="AH39" s="1079">
        <v>1.0</v>
      </c>
      <c r="AI39" s="1281" t="s">
        <v>485</v>
      </c>
      <c r="AJ39" s="1445" t="s">
        <v>476</v>
      </c>
      <c r="AK39" s="1389">
        <v>1.0</v>
      </c>
      <c r="AL39" s="1032" t="s">
        <v>485</v>
      </c>
      <c r="AM39" s="1327" t="s">
        <v>476</v>
      </c>
      <c r="AN39" s="1389">
        <v>1.0</v>
      </c>
      <c r="AO39" s="1032" t="s">
        <v>485</v>
      </c>
      <c r="AP39" s="1327" t="s">
        <v>476</v>
      </c>
      <c r="AQ39" s="1389">
        <v>1.0</v>
      </c>
      <c r="AR39" s="1032" t="s">
        <v>485</v>
      </c>
      <c r="AS39" s="1327" t="s">
        <v>476</v>
      </c>
      <c r="AT39" s="1389">
        <v>1.0</v>
      </c>
      <c r="AU39" s="1032" t="s">
        <v>485</v>
      </c>
      <c r="AV39" s="1327" t="s">
        <v>476</v>
      </c>
      <c r="AW39" s="1389">
        <v>1.0</v>
      </c>
      <c r="AX39" s="1032" t="s">
        <v>485</v>
      </c>
      <c r="AY39" s="1327" t="s">
        <v>476</v>
      </c>
      <c r="AZ39" s="1389">
        <v>1.0</v>
      </c>
      <c r="BA39" s="1032" t="s">
        <v>485</v>
      </c>
      <c r="BB39" s="1327" t="s">
        <v>476</v>
      </c>
      <c r="BC39" s="1389">
        <v>1.0</v>
      </c>
      <c r="BD39" s="1360" t="s">
        <v>485</v>
      </c>
      <c r="BE39" s="1390" t="s">
        <v>476</v>
      </c>
      <c r="BF39" s="1359">
        <v>1.0</v>
      </c>
      <c r="BG39" s="1360" t="s">
        <v>485</v>
      </c>
      <c r="BH39" s="1390" t="s">
        <v>476</v>
      </c>
      <c r="BI39" s="1359">
        <v>1.0</v>
      </c>
      <c r="BJ39" s="1360" t="s">
        <v>485</v>
      </c>
      <c r="BK39" s="1390" t="s">
        <v>476</v>
      </c>
      <c r="BL39" s="1359">
        <v>1.0</v>
      </c>
      <c r="BM39" s="1360" t="s">
        <v>485</v>
      </c>
      <c r="BN39" s="1390" t="s">
        <v>476</v>
      </c>
      <c r="BO39" s="1359">
        <v>1.0</v>
      </c>
      <c r="BP39" s="1360" t="s">
        <v>485</v>
      </c>
      <c r="BQ39" s="1390" t="s">
        <v>476</v>
      </c>
      <c r="BR39" s="1359">
        <v>1.0</v>
      </c>
      <c r="BS39" s="1360" t="s">
        <v>485</v>
      </c>
      <c r="BT39" s="1390" t="s">
        <v>476</v>
      </c>
      <c r="BU39" s="1359">
        <v>1.0</v>
      </c>
      <c r="BV39" s="1360" t="s">
        <v>485</v>
      </c>
      <c r="BW39" s="1390" t="s">
        <v>476</v>
      </c>
      <c r="BX39" s="1359">
        <v>1.0</v>
      </c>
      <c r="BY39" s="1360" t="s">
        <v>485</v>
      </c>
      <c r="BZ39" s="1390" t="s">
        <v>476</v>
      </c>
      <c r="CA39" s="1359">
        <v>1.0</v>
      </c>
      <c r="CB39" s="1360" t="s">
        <v>485</v>
      </c>
      <c r="CC39" s="1390" t="s">
        <v>476</v>
      </c>
      <c r="CD39" s="1359">
        <v>1.0</v>
      </c>
      <c r="CE39" s="1360" t="s">
        <v>485</v>
      </c>
      <c r="CF39" s="1390" t="s">
        <v>476</v>
      </c>
      <c r="CG39" s="1359">
        <v>1.0</v>
      </c>
      <c r="CH39" s="1360" t="s">
        <v>485</v>
      </c>
      <c r="CI39" s="1390" t="s">
        <v>476</v>
      </c>
      <c r="CJ39" s="1392">
        <v>1.0</v>
      </c>
      <c r="CK39" s="1360" t="s">
        <v>485</v>
      </c>
      <c r="CL39" s="1390" t="s">
        <v>476</v>
      </c>
      <c r="CM39" s="1392">
        <v>1.0</v>
      </c>
      <c r="CN39" s="1417" t="s">
        <v>485</v>
      </c>
      <c r="CO39" s="1390" t="s">
        <v>476</v>
      </c>
      <c r="CP39" s="1419">
        <v>1.0</v>
      </c>
      <c r="CQ39" s="1417" t="s">
        <v>485</v>
      </c>
      <c r="CR39" s="1390" t="s">
        <v>476</v>
      </c>
      <c r="CS39" s="1419">
        <v>1.0</v>
      </c>
      <c r="CT39" s="1417" t="s">
        <v>485</v>
      </c>
      <c r="CU39" s="1390" t="s">
        <v>476</v>
      </c>
      <c r="CV39" s="1419">
        <v>1.0</v>
      </c>
      <c r="CW39" s="1417" t="s">
        <v>485</v>
      </c>
      <c r="CX39" s="1390" t="s">
        <v>476</v>
      </c>
      <c r="CY39" s="1419">
        <v>1.0</v>
      </c>
      <c r="CZ39" s="1417" t="s">
        <v>485</v>
      </c>
      <c r="DA39" s="1390" t="s">
        <v>476</v>
      </c>
      <c r="DB39" s="1419">
        <v>1.0</v>
      </c>
      <c r="DC39" s="1417" t="s">
        <v>485</v>
      </c>
      <c r="DD39" s="1390" t="s">
        <v>476</v>
      </c>
      <c r="DE39" s="1419">
        <v>1.0</v>
      </c>
      <c r="DF39" s="1417" t="s">
        <v>485</v>
      </c>
      <c r="DG39" s="1390" t="s">
        <v>476</v>
      </c>
      <c r="DH39" s="1419">
        <v>1.0</v>
      </c>
      <c r="DI39" s="1417" t="s">
        <v>485</v>
      </c>
      <c r="DJ39" s="1390" t="s">
        <v>476</v>
      </c>
      <c r="DK39" s="1419">
        <v>1.0</v>
      </c>
      <c r="DL39" s="1417" t="s">
        <v>485</v>
      </c>
      <c r="DM39" s="1390" t="s">
        <v>476</v>
      </c>
      <c r="DN39" s="1419">
        <v>1.0</v>
      </c>
      <c r="DO39" s="1417" t="s">
        <v>485</v>
      </c>
      <c r="DP39" s="1390" t="s">
        <v>476</v>
      </c>
      <c r="DQ39" s="1419">
        <v>1.0</v>
      </c>
      <c r="DR39" s="1417" t="s">
        <v>485</v>
      </c>
      <c r="DS39" s="1390" t="s">
        <v>476</v>
      </c>
      <c r="DT39" s="1419">
        <v>1.0</v>
      </c>
      <c r="DU39" s="1417" t="s">
        <v>485</v>
      </c>
      <c r="DV39" s="1390" t="s">
        <v>476</v>
      </c>
      <c r="DW39" s="1419">
        <v>1.0</v>
      </c>
      <c r="DX39" s="68"/>
      <c r="DY39" s="68"/>
      <c r="DZ39" s="68"/>
    </row>
    <row r="40" ht="15.0" hidden="1" customHeight="1" outlineLevel="1">
      <c r="A40" s="1262">
        <v>62.0</v>
      </c>
      <c r="B40" s="1446" t="s">
        <v>224</v>
      </c>
      <c r="C40" s="1447"/>
      <c r="D40" s="1447"/>
      <c r="E40" s="1447"/>
      <c r="F40" s="1447"/>
      <c r="G40" s="1447"/>
      <c r="H40" s="1448"/>
      <c r="I40" s="1447"/>
      <c r="J40" s="1447"/>
      <c r="K40" s="1449"/>
      <c r="L40" s="1450"/>
      <c r="M40" s="1447"/>
      <c r="N40" s="1451"/>
      <c r="O40" s="1378"/>
      <c r="P40" s="1452"/>
      <c r="Q40" s="1453"/>
      <c r="R40" s="1454"/>
      <c r="S40" s="1455"/>
      <c r="T40" s="1456"/>
      <c r="U40" s="1454"/>
      <c r="V40" s="1455"/>
      <c r="W40" s="1457"/>
      <c r="X40" s="1092"/>
      <c r="Y40" s="1458"/>
      <c r="Z40" s="1092"/>
      <c r="AA40" s="1092"/>
      <c r="AB40" s="1459"/>
      <c r="AC40" s="1092"/>
      <c r="AD40" s="1092"/>
      <c r="AE40" s="1459"/>
      <c r="AF40" s="1092"/>
      <c r="AG40" s="1092"/>
      <c r="AH40" s="1459"/>
      <c r="AI40" s="1092"/>
      <c r="AJ40" s="1092"/>
      <c r="AK40" s="1092"/>
      <c r="AL40" s="1092"/>
      <c r="AM40" s="1092"/>
      <c r="AN40" s="1092"/>
      <c r="AO40" s="1092"/>
      <c r="AP40" s="1092"/>
      <c r="AQ40" s="1092"/>
      <c r="AR40" s="1092"/>
      <c r="AS40" s="1092"/>
      <c r="AT40" s="1092"/>
      <c r="AU40" s="1092"/>
      <c r="AV40" s="1092"/>
      <c r="AW40" s="1092"/>
      <c r="AX40" s="1092"/>
      <c r="AY40" s="1092"/>
      <c r="AZ40" s="1092"/>
      <c r="BA40" s="1092"/>
      <c r="BB40" s="1092"/>
      <c r="BC40" s="1092"/>
      <c r="BD40" s="1460"/>
      <c r="BE40" s="1460"/>
      <c r="BF40" s="1460"/>
      <c r="BG40" s="1460"/>
      <c r="BH40" s="1460"/>
      <c r="BI40" s="1460"/>
      <c r="BJ40" s="1460"/>
      <c r="BK40" s="1460"/>
      <c r="BL40" s="1460"/>
      <c r="BM40" s="1460"/>
      <c r="BN40" s="1460"/>
      <c r="BO40" s="1460"/>
      <c r="BP40" s="1460"/>
      <c r="BQ40" s="1460"/>
      <c r="BR40" s="1460"/>
      <c r="BS40" s="1460"/>
      <c r="BT40" s="1460"/>
      <c r="BU40" s="1460"/>
      <c r="BV40" s="1460"/>
      <c r="BW40" s="1460"/>
      <c r="BX40" s="1460"/>
      <c r="BY40" s="1460"/>
      <c r="BZ40" s="1460"/>
      <c r="CA40" s="1460"/>
      <c r="CB40" s="1460"/>
      <c r="CC40" s="1460"/>
      <c r="CD40" s="1460"/>
      <c r="CE40" s="1460"/>
      <c r="CF40" s="1460"/>
      <c r="CG40" s="1460"/>
      <c r="CH40" s="1460"/>
      <c r="CI40" s="1460"/>
      <c r="CJ40" s="1460"/>
      <c r="CK40" s="1460"/>
      <c r="CL40" s="1460"/>
      <c r="CM40" s="1460"/>
      <c r="CN40" s="1460"/>
      <c r="CO40" s="1460"/>
      <c r="CP40" s="1460"/>
      <c r="CQ40" s="1460"/>
      <c r="CR40" s="1460"/>
      <c r="CS40" s="1460"/>
      <c r="CT40" s="1460"/>
      <c r="CU40" s="1460"/>
      <c r="CV40" s="1460"/>
      <c r="CW40" s="1460"/>
      <c r="CX40" s="1460"/>
      <c r="CY40" s="1460"/>
      <c r="CZ40" s="1460"/>
      <c r="DA40" s="1460"/>
      <c r="DB40" s="1460"/>
      <c r="DC40" s="1460"/>
      <c r="DD40" s="1460"/>
      <c r="DE40" s="1460"/>
      <c r="DF40" s="1460"/>
      <c r="DG40" s="1460"/>
      <c r="DH40" s="1460"/>
      <c r="DI40" s="1460"/>
      <c r="DJ40" s="1460"/>
      <c r="DK40" s="1460"/>
      <c r="DL40" s="1460"/>
      <c r="DM40" s="1460"/>
      <c r="DN40" s="1460"/>
      <c r="DO40" s="1460"/>
      <c r="DP40" s="1460"/>
      <c r="DQ40" s="1460"/>
      <c r="DR40" s="1460"/>
      <c r="DS40" s="1460"/>
      <c r="DT40" s="1460"/>
      <c r="DU40" s="1460"/>
      <c r="DV40" s="1460"/>
      <c r="DW40" s="1460"/>
      <c r="DX40" s="186"/>
      <c r="DY40" s="186"/>
      <c r="DZ40" s="186"/>
    </row>
    <row r="41" ht="15.0" customHeight="1" outlineLevel="1">
      <c r="A41" s="1262">
        <v>42.0</v>
      </c>
      <c r="B41" s="1278" t="s">
        <v>184</v>
      </c>
      <c r="C41" s="1279" t="s">
        <v>185</v>
      </c>
      <c r="D41" s="1280" t="s">
        <v>127</v>
      </c>
      <c r="E41" s="1294" t="s">
        <v>176</v>
      </c>
      <c r="F41" s="1294">
        <v>1113.0</v>
      </c>
      <c r="G41" s="1294" t="s">
        <v>176</v>
      </c>
      <c r="H41" s="1295">
        <v>1113.0</v>
      </c>
      <c r="I41" s="1322" t="str">
        <f>IFERROR(VLOOKUP(C38:C187,'R22 RELATÓRIO ACC'!B:F,5,FALSE),"NOT PUBLISHED")</f>
        <v>V12</v>
      </c>
      <c r="J41" s="1322" t="str">
        <f>IFERROR(VLOOKUP(C38:C187,'R22 RELATÓRIO ACC'!B:P,15,FALSE),"NOT PUBLISHED")</f>
        <v>13/05/2026</v>
      </c>
      <c r="K41" s="1353" t="str">
        <f>IFERROR(VLOOKUP(B40:B194,'RELATÓRIO ACC'!B:F,5,FALSE),"NOT PUBLISHED")</f>
        <v>V2</v>
      </c>
      <c r="L41" s="1285" t="str">
        <f>IFERROR(VLOOKUP(B40:B194,'RELATÓRIO ACC'!B:P,15,FALSE),"NOT PUBLISHED")</f>
        <v>01/06/2026</v>
      </c>
      <c r="M41" s="1353" t="s">
        <v>486</v>
      </c>
      <c r="N41" s="1304">
        <v>45895.0</v>
      </c>
      <c r="O41" s="1042" t="s">
        <v>482</v>
      </c>
      <c r="P41" s="1461" t="s">
        <v>186</v>
      </c>
      <c r="Q41" s="1296" t="s">
        <v>477</v>
      </c>
      <c r="R41" s="1402" t="s">
        <v>476</v>
      </c>
      <c r="S41" s="1403">
        <v>0.77</v>
      </c>
      <c r="T41" s="1299" t="s">
        <v>484</v>
      </c>
      <c r="U41" s="1462" t="s">
        <v>476</v>
      </c>
      <c r="V41" s="1403">
        <v>1.0</v>
      </c>
      <c r="W41" s="1299" t="s">
        <v>484</v>
      </c>
      <c r="X41" s="1404" t="s">
        <v>476</v>
      </c>
      <c r="Y41" s="1405">
        <v>1.0</v>
      </c>
      <c r="Z41" s="1299" t="s">
        <v>485</v>
      </c>
      <c r="AA41" s="1404" t="s">
        <v>476</v>
      </c>
      <c r="AB41" s="1389">
        <v>1.0</v>
      </c>
      <c r="AC41" s="1299" t="s">
        <v>485</v>
      </c>
      <c r="AD41" s="1404" t="s">
        <v>476</v>
      </c>
      <c r="AE41" s="1389">
        <v>1.0</v>
      </c>
      <c r="AF41" s="1299" t="s">
        <v>485</v>
      </c>
      <c r="AG41" s="1404" t="s">
        <v>476</v>
      </c>
      <c r="AH41" s="1389">
        <v>1.0</v>
      </c>
      <c r="AI41" s="1299" t="s">
        <v>485</v>
      </c>
      <c r="AJ41" s="1404" t="s">
        <v>476</v>
      </c>
      <c r="AK41" s="1389">
        <v>1.0</v>
      </c>
      <c r="AL41" s="1032" t="s">
        <v>485</v>
      </c>
      <c r="AM41" s="1327" t="s">
        <v>476</v>
      </c>
      <c r="AN41" s="1389">
        <v>1.0</v>
      </c>
      <c r="AO41" s="1032" t="s">
        <v>485</v>
      </c>
      <c r="AP41" s="1327" t="s">
        <v>476</v>
      </c>
      <c r="AQ41" s="1389">
        <v>1.0</v>
      </c>
      <c r="AR41" s="1032" t="s">
        <v>485</v>
      </c>
      <c r="AS41" s="1327" t="s">
        <v>476</v>
      </c>
      <c r="AT41" s="1079">
        <v>1.0</v>
      </c>
      <c r="AU41" s="1032" t="s">
        <v>485</v>
      </c>
      <c r="AV41" s="1327" t="s">
        <v>476</v>
      </c>
      <c r="AW41" s="1079">
        <v>1.0</v>
      </c>
      <c r="AX41" s="1032" t="s">
        <v>485</v>
      </c>
      <c r="AY41" s="1327" t="s">
        <v>476</v>
      </c>
      <c r="AZ41" s="1079">
        <v>1.0</v>
      </c>
      <c r="BA41" s="1032" t="s">
        <v>485</v>
      </c>
      <c r="BB41" s="1327" t="s">
        <v>476</v>
      </c>
      <c r="BC41" s="1079">
        <v>1.0</v>
      </c>
      <c r="BD41" s="1360" t="s">
        <v>485</v>
      </c>
      <c r="BE41" s="1390" t="s">
        <v>476</v>
      </c>
      <c r="BF41" s="1392">
        <v>1.0</v>
      </c>
      <c r="BG41" s="1360" t="s">
        <v>485</v>
      </c>
      <c r="BH41" s="1390" t="s">
        <v>476</v>
      </c>
      <c r="BI41" s="1392">
        <v>1.0</v>
      </c>
      <c r="BJ41" s="1360" t="s">
        <v>485</v>
      </c>
      <c r="BK41" s="1390" t="s">
        <v>476</v>
      </c>
      <c r="BL41" s="1392">
        <v>1.0</v>
      </c>
      <c r="BM41" s="1360" t="s">
        <v>485</v>
      </c>
      <c r="BN41" s="1390" t="s">
        <v>476</v>
      </c>
      <c r="BO41" s="1392">
        <v>1.0</v>
      </c>
      <c r="BP41" s="1360" t="s">
        <v>485</v>
      </c>
      <c r="BQ41" s="1390" t="s">
        <v>476</v>
      </c>
      <c r="BR41" s="1392">
        <v>1.0</v>
      </c>
      <c r="BS41" s="1360" t="s">
        <v>485</v>
      </c>
      <c r="BT41" s="1390" t="s">
        <v>476</v>
      </c>
      <c r="BU41" s="1392">
        <v>1.0</v>
      </c>
      <c r="BV41" s="1360" t="s">
        <v>485</v>
      </c>
      <c r="BW41" s="1390" t="s">
        <v>476</v>
      </c>
      <c r="BX41" s="1392">
        <v>1.0</v>
      </c>
      <c r="BY41" s="1360" t="s">
        <v>485</v>
      </c>
      <c r="BZ41" s="1390" t="s">
        <v>476</v>
      </c>
      <c r="CA41" s="1392">
        <v>1.0</v>
      </c>
      <c r="CB41" s="1360" t="s">
        <v>485</v>
      </c>
      <c r="CC41" s="1390" t="s">
        <v>476</v>
      </c>
      <c r="CD41" s="1392">
        <v>1.0</v>
      </c>
      <c r="CE41" s="1360" t="s">
        <v>485</v>
      </c>
      <c r="CF41" s="1390" t="s">
        <v>476</v>
      </c>
      <c r="CG41" s="1392">
        <v>1.0</v>
      </c>
      <c r="CH41" s="1360" t="s">
        <v>485</v>
      </c>
      <c r="CI41" s="1390" t="s">
        <v>476</v>
      </c>
      <c r="CJ41" s="1392">
        <v>1.0</v>
      </c>
      <c r="CK41" s="1360" t="s">
        <v>485</v>
      </c>
      <c r="CL41" s="1390" t="s">
        <v>476</v>
      </c>
      <c r="CM41" s="1392">
        <v>1.0</v>
      </c>
      <c r="CN41" s="1360" t="s">
        <v>485</v>
      </c>
      <c r="CO41" s="1390" t="s">
        <v>476</v>
      </c>
      <c r="CP41" s="1392">
        <v>1.0</v>
      </c>
      <c r="CQ41" s="1360" t="s">
        <v>485</v>
      </c>
      <c r="CR41" s="1390" t="s">
        <v>476</v>
      </c>
      <c r="CS41" s="1392">
        <v>1.0</v>
      </c>
      <c r="CT41" s="1360" t="s">
        <v>485</v>
      </c>
      <c r="CU41" s="1390" t="s">
        <v>476</v>
      </c>
      <c r="CV41" s="1392">
        <v>1.0</v>
      </c>
      <c r="CW41" s="1360" t="s">
        <v>485</v>
      </c>
      <c r="CX41" s="1390" t="s">
        <v>476</v>
      </c>
      <c r="CY41" s="1392">
        <v>1.0</v>
      </c>
      <c r="CZ41" s="1360" t="s">
        <v>485</v>
      </c>
      <c r="DA41" s="1390" t="s">
        <v>476</v>
      </c>
      <c r="DB41" s="1392">
        <v>1.0</v>
      </c>
      <c r="DC41" s="1360" t="s">
        <v>485</v>
      </c>
      <c r="DD41" s="1390" t="s">
        <v>476</v>
      </c>
      <c r="DE41" s="1392">
        <v>1.0</v>
      </c>
      <c r="DF41" s="1360" t="s">
        <v>485</v>
      </c>
      <c r="DG41" s="1390" t="s">
        <v>476</v>
      </c>
      <c r="DH41" s="1392">
        <v>1.0</v>
      </c>
      <c r="DI41" s="1360" t="s">
        <v>485</v>
      </c>
      <c r="DJ41" s="1390" t="s">
        <v>476</v>
      </c>
      <c r="DK41" s="1392">
        <v>1.0</v>
      </c>
      <c r="DL41" s="1360" t="s">
        <v>485</v>
      </c>
      <c r="DM41" s="1390" t="s">
        <v>476</v>
      </c>
      <c r="DN41" s="1392">
        <v>1.0</v>
      </c>
      <c r="DO41" s="1360" t="s">
        <v>485</v>
      </c>
      <c r="DP41" s="1390" t="s">
        <v>476</v>
      </c>
      <c r="DQ41" s="1392">
        <v>1.0</v>
      </c>
      <c r="DR41" s="1360" t="s">
        <v>485</v>
      </c>
      <c r="DS41" s="1390" t="s">
        <v>476</v>
      </c>
      <c r="DT41" s="1392">
        <v>1.0</v>
      </c>
      <c r="DU41" s="1360" t="s">
        <v>485</v>
      </c>
      <c r="DV41" s="1390" t="s">
        <v>476</v>
      </c>
      <c r="DW41" s="1392">
        <v>1.0</v>
      </c>
      <c r="DX41" s="68"/>
      <c r="DY41" s="68"/>
      <c r="DZ41" s="68"/>
    </row>
    <row r="42" ht="15.0" hidden="1" customHeight="1">
      <c r="A42" s="1262">
        <v>65.0</v>
      </c>
      <c r="B42" s="1446" t="s">
        <v>229</v>
      </c>
      <c r="C42" s="1447"/>
      <c r="D42" s="1447"/>
      <c r="E42" s="1447"/>
      <c r="F42" s="1447"/>
      <c r="G42" s="1447"/>
      <c r="H42" s="1448"/>
      <c r="I42" s="1447"/>
      <c r="J42" s="1447"/>
      <c r="K42" s="1449"/>
      <c r="L42" s="1450"/>
      <c r="M42" s="1447"/>
      <c r="N42" s="1451"/>
      <c r="O42" s="1378"/>
      <c r="P42" s="1452"/>
      <c r="Q42" s="1453"/>
      <c r="R42" s="1454"/>
      <c r="S42" s="1455"/>
      <c r="T42" s="1456"/>
      <c r="U42" s="1454"/>
      <c r="V42" s="1455"/>
      <c r="W42" s="1457"/>
      <c r="X42" s="1092"/>
      <c r="Y42" s="1458"/>
      <c r="Z42" s="1092"/>
      <c r="AA42" s="1092"/>
      <c r="AB42" s="1459"/>
      <c r="AC42" s="1092"/>
      <c r="AD42" s="1092"/>
      <c r="AE42" s="1459"/>
      <c r="AF42" s="1092"/>
      <c r="AG42" s="1092"/>
      <c r="AH42" s="1459"/>
      <c r="AI42" s="1092"/>
      <c r="AJ42" s="1092"/>
      <c r="AK42" s="1092"/>
      <c r="AL42" s="1092"/>
      <c r="AM42" s="1092"/>
      <c r="AN42" s="1092"/>
      <c r="AO42" s="1092"/>
      <c r="AP42" s="1092"/>
      <c r="AQ42" s="1092"/>
      <c r="AR42" s="1092"/>
      <c r="AS42" s="1092"/>
      <c r="AT42" s="1092"/>
      <c r="AU42" s="1092"/>
      <c r="AV42" s="1092"/>
      <c r="AW42" s="1092"/>
      <c r="AX42" s="1092"/>
      <c r="AY42" s="1092"/>
      <c r="AZ42" s="1092"/>
      <c r="BA42" s="1092"/>
      <c r="BB42" s="1092"/>
      <c r="BC42" s="1092"/>
      <c r="BD42" s="1460"/>
      <c r="BE42" s="1460"/>
      <c r="BF42" s="1460"/>
      <c r="BG42" s="1460"/>
      <c r="BH42" s="1460"/>
      <c r="BI42" s="1460"/>
      <c r="BJ42" s="1460"/>
      <c r="BK42" s="1460"/>
      <c r="BL42" s="1460"/>
      <c r="BM42" s="1460"/>
      <c r="BN42" s="1460"/>
      <c r="BO42" s="1460"/>
      <c r="BP42" s="1460"/>
      <c r="BQ42" s="1460"/>
      <c r="BR42" s="1460"/>
      <c r="BS42" s="1460"/>
      <c r="BT42" s="1460"/>
      <c r="BU42" s="1460"/>
      <c r="BV42" s="1460"/>
      <c r="BW42" s="1460"/>
      <c r="BX42" s="1460"/>
      <c r="BY42" s="1460"/>
      <c r="BZ42" s="1460"/>
      <c r="CA42" s="1460"/>
      <c r="CB42" s="1460"/>
      <c r="CC42" s="1460"/>
      <c r="CD42" s="1460"/>
      <c r="CE42" s="1460"/>
      <c r="CF42" s="1460"/>
      <c r="CG42" s="1460"/>
      <c r="CH42" s="1460"/>
      <c r="CI42" s="1460"/>
      <c r="CJ42" s="1460"/>
      <c r="CK42" s="1463"/>
      <c r="CL42" s="1460"/>
      <c r="CM42" s="1463"/>
      <c r="CN42" s="1463"/>
      <c r="CO42" s="1460"/>
      <c r="CP42" s="1463"/>
      <c r="CQ42" s="1463"/>
      <c r="CR42" s="1460"/>
      <c r="CS42" s="1463"/>
      <c r="CT42" s="1460"/>
      <c r="CU42" s="1460"/>
      <c r="CV42" s="1460"/>
      <c r="CW42" s="1460"/>
      <c r="CX42" s="1460"/>
      <c r="CY42" s="1460"/>
      <c r="CZ42" s="1460"/>
      <c r="DA42" s="1460"/>
      <c r="DB42" s="1460"/>
      <c r="DC42" s="1460"/>
      <c r="DD42" s="1460"/>
      <c r="DE42" s="1460"/>
      <c r="DF42" s="1460"/>
      <c r="DG42" s="1460"/>
      <c r="DH42" s="1460"/>
      <c r="DI42" s="1460"/>
      <c r="DJ42" s="1460"/>
      <c r="DK42" s="1460"/>
      <c r="DL42" s="1460"/>
      <c r="DM42" s="1460"/>
      <c r="DN42" s="1460"/>
      <c r="DO42" s="1460"/>
      <c r="DP42" s="1460"/>
      <c r="DQ42" s="1460"/>
      <c r="DR42" s="1460"/>
      <c r="DS42" s="1460"/>
      <c r="DT42" s="1460"/>
      <c r="DU42" s="1460"/>
      <c r="DV42" s="1460"/>
      <c r="DW42" s="1460"/>
      <c r="DX42" s="186"/>
      <c r="DY42" s="186"/>
      <c r="DZ42" s="186"/>
    </row>
    <row r="43" ht="15.0" hidden="1" customHeight="1">
      <c r="A43" s="1262">
        <v>67.0</v>
      </c>
      <c r="B43" s="1464" t="s">
        <v>233</v>
      </c>
      <c r="C43" s="1465"/>
      <c r="D43" s="1465"/>
      <c r="E43" s="1465"/>
      <c r="F43" s="1465"/>
      <c r="G43" s="1465"/>
      <c r="H43" s="1466"/>
      <c r="I43" s="1465"/>
      <c r="J43" s="1465"/>
      <c r="K43" s="1467"/>
      <c r="L43" s="1468"/>
      <c r="M43" s="1465"/>
      <c r="N43" s="1469"/>
      <c r="O43" s="1378"/>
      <c r="P43" s="1470"/>
      <c r="Q43" s="1465"/>
      <c r="R43" s="1465"/>
      <c r="S43" s="1471"/>
      <c r="T43" s="1467"/>
      <c r="U43" s="1465"/>
      <c r="V43" s="1471"/>
      <c r="W43" s="1472"/>
      <c r="X43" s="1096"/>
      <c r="Y43" s="1473"/>
      <c r="Z43" s="1096"/>
      <c r="AA43" s="1096"/>
      <c r="AB43" s="1474"/>
      <c r="AC43" s="1096"/>
      <c r="AD43" s="1096"/>
      <c r="AE43" s="1474"/>
      <c r="AF43" s="1096"/>
      <c r="AG43" s="1096"/>
      <c r="AH43" s="1474"/>
      <c r="AI43" s="1096"/>
      <c r="AJ43" s="1096"/>
      <c r="AK43" s="1475"/>
      <c r="AL43" s="1096"/>
      <c r="AM43" s="1096"/>
      <c r="AN43" s="1096"/>
      <c r="AO43" s="1096"/>
      <c r="AP43" s="1096"/>
      <c r="AQ43" s="1096"/>
      <c r="AR43" s="1096"/>
      <c r="AS43" s="1096"/>
      <c r="AT43" s="1096"/>
      <c r="AU43" s="1096"/>
      <c r="AV43" s="1096"/>
      <c r="AW43" s="1096"/>
      <c r="AX43" s="1096"/>
      <c r="AY43" s="1096"/>
      <c r="AZ43" s="1096"/>
      <c r="BA43" s="1096"/>
      <c r="BB43" s="1096"/>
      <c r="BC43" s="1096"/>
      <c r="BD43" s="1476"/>
      <c r="BE43" s="1476"/>
      <c r="BF43" s="1476"/>
      <c r="BG43" s="1476"/>
      <c r="BH43" s="1476"/>
      <c r="BI43" s="1476"/>
      <c r="BJ43" s="1476"/>
      <c r="BK43" s="1476"/>
      <c r="BL43" s="1476"/>
      <c r="BM43" s="1476"/>
      <c r="BN43" s="1476"/>
      <c r="BO43" s="1476"/>
      <c r="BP43" s="1476"/>
      <c r="BQ43" s="1476"/>
      <c r="BR43" s="1476"/>
      <c r="BS43" s="1476"/>
      <c r="BT43" s="1476"/>
      <c r="BU43" s="1476"/>
      <c r="BV43" s="1476"/>
      <c r="BW43" s="1476"/>
      <c r="BX43" s="1476"/>
      <c r="BY43" s="1476"/>
      <c r="BZ43" s="1476"/>
      <c r="CA43" s="1476"/>
      <c r="CB43" s="1476"/>
      <c r="CC43" s="1476"/>
      <c r="CD43" s="1476"/>
      <c r="CE43" s="1476"/>
      <c r="CF43" s="1476"/>
      <c r="CG43" s="1476"/>
      <c r="CH43" s="1476"/>
      <c r="CI43" s="1476"/>
      <c r="CJ43" s="1476"/>
      <c r="CK43" s="1476"/>
      <c r="CL43" s="1476"/>
      <c r="CM43" s="1476"/>
      <c r="CN43" s="1476"/>
      <c r="CO43" s="1476"/>
      <c r="CP43" s="1476"/>
      <c r="CQ43" s="1476"/>
      <c r="CR43" s="1476"/>
      <c r="CS43" s="1476"/>
      <c r="CT43" s="1476"/>
      <c r="CU43" s="1476"/>
      <c r="CV43" s="1476"/>
      <c r="CW43" s="1476"/>
      <c r="CX43" s="1476"/>
      <c r="CY43" s="1476"/>
      <c r="CZ43" s="1476"/>
      <c r="DA43" s="1476"/>
      <c r="DB43" s="1476"/>
      <c r="DC43" s="1476"/>
      <c r="DD43" s="1476"/>
      <c r="DE43" s="1476"/>
      <c r="DF43" s="1476"/>
      <c r="DG43" s="1476"/>
      <c r="DH43" s="1476"/>
      <c r="DI43" s="1476"/>
      <c r="DJ43" s="1476"/>
      <c r="DK43" s="1476"/>
      <c r="DL43" s="1476"/>
      <c r="DM43" s="1476"/>
      <c r="DN43" s="1476"/>
      <c r="DO43" s="1476"/>
      <c r="DP43" s="1476"/>
      <c r="DQ43" s="1476"/>
      <c r="DR43" s="1476"/>
      <c r="DS43" s="1476"/>
      <c r="DT43" s="1476"/>
      <c r="DU43" s="1476"/>
      <c r="DV43" s="1476"/>
      <c r="DW43" s="1476"/>
      <c r="DX43" s="68"/>
      <c r="DY43" s="68"/>
      <c r="DZ43" s="68"/>
    </row>
    <row r="44" ht="15.0" customHeight="1" outlineLevel="1">
      <c r="A44" s="1262">
        <v>45.0</v>
      </c>
      <c r="B44" s="1278" t="s">
        <v>190</v>
      </c>
      <c r="C44" s="1279" t="s">
        <v>191</v>
      </c>
      <c r="D44" s="1280" t="s">
        <v>90</v>
      </c>
      <c r="E44" s="1294" t="s">
        <v>180</v>
      </c>
      <c r="F44" s="1280">
        <v>1114.0</v>
      </c>
      <c r="G44" s="1295" t="s">
        <v>180</v>
      </c>
      <c r="H44" s="1295">
        <v>1114.0</v>
      </c>
      <c r="I44" s="1322" t="str">
        <f>IFERROR(VLOOKUP(C41:C190,'R22 RELATÓRIO ACC'!B:F,5,FALSE),"NOT PUBLISHED")</f>
        <v>V14</v>
      </c>
      <c r="J44" s="1322" t="str">
        <f>IFERROR(VLOOKUP(C41:C190,'R22 RELATÓRIO ACC'!B:P,15,FALSE),"NOT PUBLISHED")</f>
        <v>29/04/2026</v>
      </c>
      <c r="K44" s="1353" t="str">
        <f>IFERROR(VLOOKUP(B43:B197,'RELATÓRIO ACC'!B:F,5,FALSE),"NOT PUBLISHED")</f>
        <v>V2</v>
      </c>
      <c r="L44" s="1285" t="str">
        <f>IFERROR(VLOOKUP(B43:B197,'RELATÓRIO ACC'!B:P,15,FALSE),"NOT PUBLISHED")</f>
        <v>07/07/2026</v>
      </c>
      <c r="M44" s="1420" t="s">
        <v>486</v>
      </c>
      <c r="N44" s="1309">
        <v>45870.0</v>
      </c>
      <c r="O44" s="1397" t="s">
        <v>482</v>
      </c>
      <c r="P44" s="1401" t="s">
        <v>87</v>
      </c>
      <c r="Q44" s="1296" t="s">
        <v>477</v>
      </c>
      <c r="R44" s="1402" t="s">
        <v>476</v>
      </c>
      <c r="S44" s="1403">
        <v>0.85</v>
      </c>
      <c r="T44" s="1299" t="s">
        <v>484</v>
      </c>
      <c r="U44" s="1402" t="s">
        <v>476</v>
      </c>
      <c r="V44" s="1403">
        <v>1.0</v>
      </c>
      <c r="W44" s="1316" t="s">
        <v>484</v>
      </c>
      <c r="X44" s="1402" t="s">
        <v>476</v>
      </c>
      <c r="Y44" s="1412">
        <v>1.0</v>
      </c>
      <c r="Z44" s="1296" t="s">
        <v>485</v>
      </c>
      <c r="AA44" s="1402" t="s">
        <v>476</v>
      </c>
      <c r="AB44" s="1412">
        <v>1.0</v>
      </c>
      <c r="AC44" s="1296" t="s">
        <v>485</v>
      </c>
      <c r="AD44" s="1402" t="s">
        <v>476</v>
      </c>
      <c r="AE44" s="1412">
        <v>1.0</v>
      </c>
      <c r="AF44" s="1296" t="s">
        <v>485</v>
      </c>
      <c r="AG44" s="1402" t="s">
        <v>476</v>
      </c>
      <c r="AH44" s="1412">
        <v>1.0</v>
      </c>
      <c r="AI44" s="1296" t="s">
        <v>485</v>
      </c>
      <c r="AJ44" s="1402" t="s">
        <v>476</v>
      </c>
      <c r="AK44" s="1412">
        <v>1.0</v>
      </c>
      <c r="AL44" s="1281" t="s">
        <v>485</v>
      </c>
      <c r="AM44" s="1202" t="s">
        <v>476</v>
      </c>
      <c r="AN44" s="1412">
        <v>1.0</v>
      </c>
      <c r="AO44" s="1281" t="s">
        <v>485</v>
      </c>
      <c r="AP44" s="1202" t="s">
        <v>476</v>
      </c>
      <c r="AQ44" s="1412">
        <v>1.0</v>
      </c>
      <c r="AR44" s="1281" t="s">
        <v>485</v>
      </c>
      <c r="AS44" s="1202" t="s">
        <v>476</v>
      </c>
      <c r="AT44" s="1412">
        <v>1.0</v>
      </c>
      <c r="AU44" s="1281" t="s">
        <v>485</v>
      </c>
      <c r="AV44" s="1202" t="s">
        <v>476</v>
      </c>
      <c r="AW44" s="1412">
        <v>1.0</v>
      </c>
      <c r="AX44" s="1032" t="s">
        <v>485</v>
      </c>
      <c r="AY44" s="1151" t="s">
        <v>476</v>
      </c>
      <c r="AZ44" s="1079">
        <v>1.0</v>
      </c>
      <c r="BA44" s="1032" t="s">
        <v>485</v>
      </c>
      <c r="BB44" s="1151" t="s">
        <v>476</v>
      </c>
      <c r="BC44" s="1079">
        <v>1.0</v>
      </c>
      <c r="BD44" s="1360" t="s">
        <v>485</v>
      </c>
      <c r="BE44" s="1429" t="s">
        <v>476</v>
      </c>
      <c r="BF44" s="1392">
        <v>1.0</v>
      </c>
      <c r="BG44" s="1360" t="s">
        <v>485</v>
      </c>
      <c r="BH44" s="1429" t="s">
        <v>476</v>
      </c>
      <c r="BI44" s="1392">
        <v>1.0</v>
      </c>
      <c r="BJ44" s="1360" t="s">
        <v>485</v>
      </c>
      <c r="BK44" s="1429" t="s">
        <v>476</v>
      </c>
      <c r="BL44" s="1392">
        <v>1.0</v>
      </c>
      <c r="BM44" s="1360" t="s">
        <v>485</v>
      </c>
      <c r="BN44" s="1429" t="s">
        <v>476</v>
      </c>
      <c r="BO44" s="1392">
        <v>1.0</v>
      </c>
      <c r="BP44" s="1360" t="s">
        <v>485</v>
      </c>
      <c r="BQ44" s="1429" t="s">
        <v>476</v>
      </c>
      <c r="BR44" s="1392">
        <v>1.0</v>
      </c>
      <c r="BS44" s="1360" t="s">
        <v>485</v>
      </c>
      <c r="BT44" s="1429" t="s">
        <v>476</v>
      </c>
      <c r="BU44" s="1392">
        <v>1.0</v>
      </c>
      <c r="BV44" s="1360" t="s">
        <v>485</v>
      </c>
      <c r="BW44" s="1429" t="s">
        <v>476</v>
      </c>
      <c r="BX44" s="1392">
        <v>1.0</v>
      </c>
      <c r="BY44" s="1360" t="s">
        <v>485</v>
      </c>
      <c r="BZ44" s="1429" t="s">
        <v>476</v>
      </c>
      <c r="CA44" s="1392">
        <v>1.0</v>
      </c>
      <c r="CB44" s="1360" t="s">
        <v>485</v>
      </c>
      <c r="CC44" s="1429" t="s">
        <v>476</v>
      </c>
      <c r="CD44" s="1392">
        <v>1.0</v>
      </c>
      <c r="CE44" s="1360" t="s">
        <v>485</v>
      </c>
      <c r="CF44" s="1429" t="s">
        <v>476</v>
      </c>
      <c r="CG44" s="1392">
        <v>1.0</v>
      </c>
      <c r="CH44" s="1360" t="s">
        <v>485</v>
      </c>
      <c r="CI44" s="1429" t="s">
        <v>476</v>
      </c>
      <c r="CJ44" s="1392">
        <v>1.0</v>
      </c>
      <c r="CK44" s="1360" t="s">
        <v>485</v>
      </c>
      <c r="CL44" s="1429" t="s">
        <v>476</v>
      </c>
      <c r="CM44" s="1392">
        <v>1.0</v>
      </c>
      <c r="CN44" s="1360" t="s">
        <v>485</v>
      </c>
      <c r="CO44" s="1429" t="s">
        <v>476</v>
      </c>
      <c r="CP44" s="1392">
        <v>1.0</v>
      </c>
      <c r="CQ44" s="1360" t="s">
        <v>485</v>
      </c>
      <c r="CR44" s="1429" t="s">
        <v>476</v>
      </c>
      <c r="CS44" s="1392">
        <v>1.0</v>
      </c>
      <c r="CT44" s="1360" t="s">
        <v>485</v>
      </c>
      <c r="CU44" s="1429" t="s">
        <v>476</v>
      </c>
      <c r="CV44" s="1392">
        <v>1.0</v>
      </c>
      <c r="CW44" s="1360" t="s">
        <v>485</v>
      </c>
      <c r="CX44" s="1429" t="s">
        <v>476</v>
      </c>
      <c r="CY44" s="1392">
        <v>1.0</v>
      </c>
      <c r="CZ44" s="1360" t="s">
        <v>485</v>
      </c>
      <c r="DA44" s="1429" t="s">
        <v>476</v>
      </c>
      <c r="DB44" s="1392">
        <v>1.0</v>
      </c>
      <c r="DC44" s="1360" t="s">
        <v>485</v>
      </c>
      <c r="DD44" s="1429" t="s">
        <v>476</v>
      </c>
      <c r="DE44" s="1392">
        <v>1.0</v>
      </c>
      <c r="DF44" s="1360" t="s">
        <v>485</v>
      </c>
      <c r="DG44" s="1429" t="s">
        <v>476</v>
      </c>
      <c r="DH44" s="1392">
        <v>1.0</v>
      </c>
      <c r="DI44" s="1360" t="s">
        <v>485</v>
      </c>
      <c r="DJ44" s="1429" t="s">
        <v>476</v>
      </c>
      <c r="DK44" s="1392">
        <v>1.0</v>
      </c>
      <c r="DL44" s="1360" t="s">
        <v>485</v>
      </c>
      <c r="DM44" s="1429" t="s">
        <v>476</v>
      </c>
      <c r="DN44" s="1392">
        <v>1.0</v>
      </c>
      <c r="DO44" s="1360" t="s">
        <v>485</v>
      </c>
      <c r="DP44" s="1429" t="s">
        <v>476</v>
      </c>
      <c r="DQ44" s="1392">
        <v>1.0</v>
      </c>
      <c r="DR44" s="1360" t="s">
        <v>485</v>
      </c>
      <c r="DS44" s="1429" t="s">
        <v>476</v>
      </c>
      <c r="DT44" s="1392">
        <v>1.0</v>
      </c>
      <c r="DU44" s="1360" t="s">
        <v>485</v>
      </c>
      <c r="DV44" s="1429" t="s">
        <v>476</v>
      </c>
      <c r="DW44" s="1392">
        <v>1.0</v>
      </c>
      <c r="DX44" s="135"/>
      <c r="DY44" s="135"/>
      <c r="DZ44" s="135"/>
    </row>
    <row r="45" ht="15.0" hidden="1" customHeight="1">
      <c r="A45" s="1262">
        <v>70.0</v>
      </c>
      <c r="B45" s="1477" t="s">
        <v>238</v>
      </c>
      <c r="C45" s="1478"/>
      <c r="D45" s="1478"/>
      <c r="E45" s="1478"/>
      <c r="F45" s="1478"/>
      <c r="G45" s="1478"/>
      <c r="H45" s="1479"/>
      <c r="I45" s="1478"/>
      <c r="J45" s="1478"/>
      <c r="K45" s="1480"/>
      <c r="L45" s="1481"/>
      <c r="M45" s="1478"/>
      <c r="N45" s="1482"/>
      <c r="O45" s="1394"/>
      <c r="P45" s="1483"/>
      <c r="Q45" s="1484"/>
      <c r="R45" s="1485"/>
      <c r="S45" s="1486"/>
      <c r="T45" s="1487"/>
      <c r="U45" s="1485"/>
      <c r="V45" s="1486"/>
      <c r="W45" s="1488"/>
      <c r="X45" s="1102"/>
      <c r="Y45" s="1489"/>
      <c r="Z45" s="1102"/>
      <c r="AA45" s="1102"/>
      <c r="AB45" s="1490"/>
      <c r="AC45" s="1102"/>
      <c r="AD45" s="1102"/>
      <c r="AE45" s="1490"/>
      <c r="AF45" s="1102"/>
      <c r="AG45" s="1102"/>
      <c r="AH45" s="1490"/>
      <c r="AI45" s="1102"/>
      <c r="AJ45" s="1102"/>
      <c r="AK45" s="1102"/>
      <c r="AL45" s="1102"/>
      <c r="AM45" s="1102"/>
      <c r="AN45" s="1102"/>
      <c r="AO45" s="1102"/>
      <c r="AP45" s="1102"/>
      <c r="AQ45" s="1102"/>
      <c r="AR45" s="1102"/>
      <c r="AS45" s="1102"/>
      <c r="AT45" s="1102"/>
      <c r="AU45" s="1102"/>
      <c r="AV45" s="1102"/>
      <c r="AW45" s="1102"/>
      <c r="AX45" s="1102"/>
      <c r="AY45" s="1102"/>
      <c r="AZ45" s="1102"/>
      <c r="BA45" s="1102"/>
      <c r="BB45" s="1102"/>
      <c r="BC45" s="1102"/>
      <c r="BD45" s="1491"/>
      <c r="BE45" s="1491"/>
      <c r="BF45" s="1491"/>
      <c r="BG45" s="1491"/>
      <c r="BH45" s="1491"/>
      <c r="BI45" s="1491"/>
      <c r="BJ45" s="1491"/>
      <c r="BK45" s="1491"/>
      <c r="BL45" s="1491"/>
      <c r="BM45" s="1491"/>
      <c r="BN45" s="1491"/>
      <c r="BO45" s="1491"/>
      <c r="BP45" s="1491"/>
      <c r="BQ45" s="1491"/>
      <c r="BR45" s="1491"/>
      <c r="BS45" s="1491"/>
      <c r="BT45" s="1491"/>
      <c r="BU45" s="1491"/>
      <c r="BV45" s="1491"/>
      <c r="BW45" s="1491"/>
      <c r="BX45" s="1491"/>
      <c r="BY45" s="1491"/>
      <c r="BZ45" s="1491"/>
      <c r="CA45" s="1491"/>
      <c r="CB45" s="1491"/>
      <c r="CC45" s="1491"/>
      <c r="CD45" s="1491"/>
      <c r="CE45" s="1491"/>
      <c r="CF45" s="1491"/>
      <c r="CG45" s="1491"/>
      <c r="CH45" s="1491"/>
      <c r="CI45" s="1491"/>
      <c r="CJ45" s="1491"/>
      <c r="CK45" s="1491"/>
      <c r="CL45" s="1491"/>
      <c r="CM45" s="1491"/>
      <c r="CN45" s="1491"/>
      <c r="CO45" s="1491"/>
      <c r="CP45" s="1491"/>
      <c r="CQ45" s="1491"/>
      <c r="CR45" s="1491"/>
      <c r="CS45" s="1491"/>
      <c r="CT45" s="1491"/>
      <c r="CU45" s="1491"/>
      <c r="CV45" s="1491"/>
      <c r="CW45" s="1491"/>
      <c r="CX45" s="1491"/>
      <c r="CY45" s="1491"/>
      <c r="CZ45" s="1491"/>
      <c r="DA45" s="1491"/>
      <c r="DB45" s="1491"/>
      <c r="DC45" s="1491"/>
      <c r="DD45" s="1491"/>
      <c r="DE45" s="1491"/>
      <c r="DF45" s="1491"/>
      <c r="DG45" s="1491"/>
      <c r="DH45" s="1491"/>
      <c r="DI45" s="1491"/>
      <c r="DJ45" s="1491"/>
      <c r="DK45" s="1491"/>
      <c r="DL45" s="1491"/>
      <c r="DM45" s="1491"/>
      <c r="DN45" s="1491"/>
      <c r="DO45" s="1491"/>
      <c r="DP45" s="1491"/>
      <c r="DQ45" s="1491"/>
      <c r="DR45" s="1491"/>
      <c r="DS45" s="1491"/>
      <c r="DT45" s="1491"/>
      <c r="DU45" s="1491"/>
      <c r="DV45" s="1491"/>
      <c r="DW45" s="1491"/>
      <c r="DX45" s="186"/>
      <c r="DY45" s="186"/>
      <c r="DZ45" s="186"/>
    </row>
    <row r="46" ht="15.0" customHeight="1" outlineLevel="1">
      <c r="A46" s="1262">
        <v>49.0</v>
      </c>
      <c r="B46" s="1278" t="s">
        <v>198</v>
      </c>
      <c r="C46" s="1279" t="s">
        <v>199</v>
      </c>
      <c r="D46" s="1280" t="s">
        <v>200</v>
      </c>
      <c r="E46" s="1294" t="s">
        <v>169</v>
      </c>
      <c r="F46" s="1280">
        <v>1112.0</v>
      </c>
      <c r="G46" s="1295" t="s">
        <v>170</v>
      </c>
      <c r="H46" s="1295">
        <v>1129.0</v>
      </c>
      <c r="I46" s="1322" t="str">
        <f>IFERROR(VLOOKUP(C43:C192,'R22 RELATÓRIO ACC'!B:F,5,FALSE),"NOT PUBLISHED")</f>
        <v>V32</v>
      </c>
      <c r="J46" s="1322" t="str">
        <f>IFERROR(VLOOKUP(C43:C192,'R22 RELATÓRIO ACC'!B:P,15,FALSE),"NOT PUBLISHED")</f>
        <v>24/04/2026</v>
      </c>
      <c r="K46" s="1353" t="str">
        <f>IFERROR(VLOOKUP(B45:B199,'RELATÓRIO ACC'!B:F,5,FALSE),"NOT PUBLISHED")</f>
        <v>V3</v>
      </c>
      <c r="L46" s="1285" t="str">
        <f>IFERROR(VLOOKUP(B45:B199,'RELATÓRIO ACC'!B:P,15,FALSE),"NOT PUBLISHED")</f>
        <v>03/07/2026</v>
      </c>
      <c r="M46" s="1420" t="s">
        <v>501</v>
      </c>
      <c r="N46" s="1309" t="s">
        <v>512</v>
      </c>
      <c r="O46" s="1397" t="s">
        <v>482</v>
      </c>
      <c r="P46" s="1425" t="s">
        <v>129</v>
      </c>
      <c r="Q46" s="1281" t="s">
        <v>477</v>
      </c>
      <c r="R46" s="1202" t="s">
        <v>476</v>
      </c>
      <c r="S46" s="1403">
        <v>0.83</v>
      </c>
      <c r="T46" s="1032" t="s">
        <v>477</v>
      </c>
      <c r="U46" s="1327" t="s">
        <v>476</v>
      </c>
      <c r="V46" s="1403">
        <v>0.98</v>
      </c>
      <c r="W46" s="1492" t="s">
        <v>478</v>
      </c>
      <c r="X46" s="1327" t="s">
        <v>476</v>
      </c>
      <c r="Y46" s="1328" t="s">
        <v>478</v>
      </c>
      <c r="Z46" s="1328" t="s">
        <v>478</v>
      </c>
      <c r="AA46" s="1327" t="s">
        <v>476</v>
      </c>
      <c r="AB46" s="1409" t="s">
        <v>478</v>
      </c>
      <c r="AC46" s="1328" t="s">
        <v>478</v>
      </c>
      <c r="AD46" s="1327" t="s">
        <v>476</v>
      </c>
      <c r="AE46" s="1328" t="s">
        <v>478</v>
      </c>
      <c r="AF46" s="1328" t="s">
        <v>484</v>
      </c>
      <c r="AG46" s="1031" t="s">
        <v>476</v>
      </c>
      <c r="AH46" s="1412">
        <v>1.0</v>
      </c>
      <c r="AI46" s="1032" t="s">
        <v>485</v>
      </c>
      <c r="AJ46" s="1445" t="s">
        <v>476</v>
      </c>
      <c r="AK46" s="1389">
        <v>1.0</v>
      </c>
      <c r="AL46" s="1281" t="s">
        <v>485</v>
      </c>
      <c r="AM46" s="1327" t="s">
        <v>476</v>
      </c>
      <c r="AN46" s="1412">
        <v>1.0</v>
      </c>
      <c r="AO46" s="1281" t="s">
        <v>485</v>
      </c>
      <c r="AP46" s="1327" t="s">
        <v>476</v>
      </c>
      <c r="AQ46" s="1412">
        <v>1.0</v>
      </c>
      <c r="AR46" s="1281" t="s">
        <v>485</v>
      </c>
      <c r="AS46" s="1327" t="s">
        <v>476</v>
      </c>
      <c r="AT46" s="1412">
        <v>1.0</v>
      </c>
      <c r="AU46" s="1281" t="s">
        <v>485</v>
      </c>
      <c r="AV46" s="1327" t="s">
        <v>476</v>
      </c>
      <c r="AW46" s="1412">
        <v>1.0</v>
      </c>
      <c r="AX46" s="1032" t="s">
        <v>485</v>
      </c>
      <c r="AY46" s="1493" t="s">
        <v>476</v>
      </c>
      <c r="AZ46" s="1079">
        <v>1.0</v>
      </c>
      <c r="BA46" s="1032" t="s">
        <v>485</v>
      </c>
      <c r="BB46" s="1493" t="s">
        <v>476</v>
      </c>
      <c r="BC46" s="1079">
        <v>1.0</v>
      </c>
      <c r="BD46" s="1360" t="s">
        <v>485</v>
      </c>
      <c r="BE46" s="1418" t="s">
        <v>476</v>
      </c>
      <c r="BF46" s="1392">
        <v>1.0</v>
      </c>
      <c r="BG46" s="1360" t="s">
        <v>485</v>
      </c>
      <c r="BH46" s="1418" t="s">
        <v>476</v>
      </c>
      <c r="BI46" s="1392">
        <v>1.0</v>
      </c>
      <c r="BJ46" s="1360" t="s">
        <v>485</v>
      </c>
      <c r="BK46" s="1418" t="s">
        <v>476</v>
      </c>
      <c r="BL46" s="1392">
        <v>1.0</v>
      </c>
      <c r="BM46" s="1360" t="s">
        <v>485</v>
      </c>
      <c r="BN46" s="1418" t="s">
        <v>476</v>
      </c>
      <c r="BO46" s="1392">
        <v>1.0</v>
      </c>
      <c r="BP46" s="1360" t="s">
        <v>485</v>
      </c>
      <c r="BQ46" s="1418" t="s">
        <v>476</v>
      </c>
      <c r="BR46" s="1392">
        <v>1.0</v>
      </c>
      <c r="BS46" s="1360" t="s">
        <v>485</v>
      </c>
      <c r="BT46" s="1418" t="s">
        <v>476</v>
      </c>
      <c r="BU46" s="1392">
        <v>1.0</v>
      </c>
      <c r="BV46" s="1360" t="s">
        <v>485</v>
      </c>
      <c r="BW46" s="1418" t="s">
        <v>476</v>
      </c>
      <c r="BX46" s="1392">
        <v>1.0</v>
      </c>
      <c r="BY46" s="1360" t="s">
        <v>485</v>
      </c>
      <c r="BZ46" s="1418" t="s">
        <v>476</v>
      </c>
      <c r="CA46" s="1392">
        <v>1.0</v>
      </c>
      <c r="CB46" s="1360" t="s">
        <v>485</v>
      </c>
      <c r="CC46" s="1418" t="s">
        <v>476</v>
      </c>
      <c r="CD46" s="1392">
        <v>1.0</v>
      </c>
      <c r="CE46" s="1360" t="s">
        <v>485</v>
      </c>
      <c r="CF46" s="1418" t="s">
        <v>476</v>
      </c>
      <c r="CG46" s="1392">
        <v>1.0</v>
      </c>
      <c r="CH46" s="1360" t="s">
        <v>485</v>
      </c>
      <c r="CI46" s="1418" t="s">
        <v>476</v>
      </c>
      <c r="CJ46" s="1392">
        <v>1.0</v>
      </c>
      <c r="CK46" s="1360" t="s">
        <v>485</v>
      </c>
      <c r="CL46" s="1418" t="s">
        <v>476</v>
      </c>
      <c r="CM46" s="1392">
        <v>1.0</v>
      </c>
      <c r="CN46" s="1360" t="s">
        <v>485</v>
      </c>
      <c r="CO46" s="1418" t="s">
        <v>476</v>
      </c>
      <c r="CP46" s="1392">
        <v>1.0</v>
      </c>
      <c r="CQ46" s="1360" t="s">
        <v>485</v>
      </c>
      <c r="CR46" s="1418" t="s">
        <v>476</v>
      </c>
      <c r="CS46" s="1392">
        <v>1.0</v>
      </c>
      <c r="CT46" s="1360" t="s">
        <v>485</v>
      </c>
      <c r="CU46" s="1418" t="s">
        <v>476</v>
      </c>
      <c r="CV46" s="1392">
        <v>1.0</v>
      </c>
      <c r="CW46" s="1360" t="s">
        <v>485</v>
      </c>
      <c r="CX46" s="1418" t="s">
        <v>476</v>
      </c>
      <c r="CY46" s="1392">
        <v>1.0</v>
      </c>
      <c r="CZ46" s="1360" t="s">
        <v>485</v>
      </c>
      <c r="DA46" s="1418" t="s">
        <v>476</v>
      </c>
      <c r="DB46" s="1392">
        <v>1.0</v>
      </c>
      <c r="DC46" s="1360" t="s">
        <v>485</v>
      </c>
      <c r="DD46" s="1418" t="s">
        <v>476</v>
      </c>
      <c r="DE46" s="1392">
        <v>1.0</v>
      </c>
      <c r="DF46" s="1360" t="s">
        <v>485</v>
      </c>
      <c r="DG46" s="1418" t="s">
        <v>476</v>
      </c>
      <c r="DH46" s="1392">
        <v>1.0</v>
      </c>
      <c r="DI46" s="1360" t="s">
        <v>485</v>
      </c>
      <c r="DJ46" s="1418" t="s">
        <v>476</v>
      </c>
      <c r="DK46" s="1392">
        <v>1.0</v>
      </c>
      <c r="DL46" s="1360" t="s">
        <v>485</v>
      </c>
      <c r="DM46" s="1418" t="s">
        <v>476</v>
      </c>
      <c r="DN46" s="1392">
        <v>1.0</v>
      </c>
      <c r="DO46" s="1360" t="s">
        <v>485</v>
      </c>
      <c r="DP46" s="1418" t="s">
        <v>476</v>
      </c>
      <c r="DQ46" s="1392">
        <v>1.0</v>
      </c>
      <c r="DR46" s="1360" t="s">
        <v>485</v>
      </c>
      <c r="DS46" s="1418" t="s">
        <v>476</v>
      </c>
      <c r="DT46" s="1392">
        <v>1.0</v>
      </c>
      <c r="DU46" s="1360" t="s">
        <v>485</v>
      </c>
      <c r="DV46" s="1418" t="s">
        <v>476</v>
      </c>
      <c r="DW46" s="1392">
        <v>1.0</v>
      </c>
      <c r="DX46" s="491"/>
      <c r="DY46" s="491"/>
      <c r="DZ46" s="491"/>
    </row>
    <row r="47" ht="15.0" customHeight="1" outlineLevel="1">
      <c r="A47" s="1262">
        <v>51.0</v>
      </c>
      <c r="B47" s="1278" t="s">
        <v>202</v>
      </c>
      <c r="C47" s="1279" t="s">
        <v>203</v>
      </c>
      <c r="D47" s="1280" t="s">
        <v>200</v>
      </c>
      <c r="E47" s="1294" t="s">
        <v>180</v>
      </c>
      <c r="F47" s="1282">
        <v>1114.0</v>
      </c>
      <c r="G47" s="1283" t="s">
        <v>180</v>
      </c>
      <c r="H47" s="1283">
        <v>1114.0</v>
      </c>
      <c r="I47" s="1322" t="str">
        <f>IFERROR(VLOOKUP(C44:C193,'R22 RELATÓRIO ACC'!B:F,5,FALSE),"NOT PUBLISHED")</f>
        <v>V14</v>
      </c>
      <c r="J47" s="1322" t="str">
        <f>IFERROR(VLOOKUP(C44:C193,'R22 RELATÓRIO ACC'!B:P,15,FALSE),"NOT PUBLISHED")</f>
        <v>03/02/2026</v>
      </c>
      <c r="K47" s="1353" t="str">
        <f>IFERROR(VLOOKUP(B46:B200,'RELATÓRIO ACC'!B:F,5,FALSE),"NOT PUBLISHED")</f>
        <v>V1</v>
      </c>
      <c r="L47" s="1285" t="str">
        <f>IFERROR(VLOOKUP(B46:B200,'RELATÓRIO ACC'!B:P,15,FALSE),"NOT PUBLISHED")</f>
        <v>15/05/2026</v>
      </c>
      <c r="M47" s="1420" t="s">
        <v>489</v>
      </c>
      <c r="N47" s="1304">
        <v>45896.0</v>
      </c>
      <c r="O47" s="1411" t="s">
        <v>482</v>
      </c>
      <c r="P47" s="1425" t="s">
        <v>129</v>
      </c>
      <c r="Q47" s="1281" t="s">
        <v>477</v>
      </c>
      <c r="R47" s="1202" t="s">
        <v>476</v>
      </c>
      <c r="S47" s="1403">
        <v>0.84</v>
      </c>
      <c r="T47" s="1032" t="s">
        <v>484</v>
      </c>
      <c r="U47" s="1327" t="s">
        <v>476</v>
      </c>
      <c r="V47" s="1403">
        <v>1.0</v>
      </c>
      <c r="W47" s="1032" t="s">
        <v>484</v>
      </c>
      <c r="X47" s="1327" t="s">
        <v>476</v>
      </c>
      <c r="Y47" s="1405">
        <v>1.0</v>
      </c>
      <c r="Z47" s="1032" t="s">
        <v>485</v>
      </c>
      <c r="AA47" s="1327" t="s">
        <v>476</v>
      </c>
      <c r="AB47" s="1389">
        <v>1.0</v>
      </c>
      <c r="AC47" s="1032" t="s">
        <v>485</v>
      </c>
      <c r="AD47" s="1327" t="s">
        <v>476</v>
      </c>
      <c r="AE47" s="1389">
        <v>1.0</v>
      </c>
      <c r="AF47" s="1032" t="s">
        <v>485</v>
      </c>
      <c r="AG47" s="1327" t="s">
        <v>476</v>
      </c>
      <c r="AH47" s="1389">
        <v>1.0</v>
      </c>
      <c r="AI47" s="1032" t="s">
        <v>485</v>
      </c>
      <c r="AJ47" s="1327" t="s">
        <v>476</v>
      </c>
      <c r="AK47" s="1389">
        <v>1.0</v>
      </c>
      <c r="AL47" s="1032" t="s">
        <v>485</v>
      </c>
      <c r="AM47" s="1327" t="s">
        <v>476</v>
      </c>
      <c r="AN47" s="1389">
        <v>1.0</v>
      </c>
      <c r="AO47" s="1032" t="s">
        <v>485</v>
      </c>
      <c r="AP47" s="1327" t="s">
        <v>476</v>
      </c>
      <c r="AQ47" s="1389">
        <v>1.0</v>
      </c>
      <c r="AR47" s="1032" t="s">
        <v>485</v>
      </c>
      <c r="AS47" s="1327" t="s">
        <v>476</v>
      </c>
      <c r="AT47" s="1389">
        <v>1.0</v>
      </c>
      <c r="AU47" s="1032" t="s">
        <v>485</v>
      </c>
      <c r="AV47" s="1327" t="s">
        <v>476</v>
      </c>
      <c r="AW47" s="1389">
        <v>1.0</v>
      </c>
      <c r="AX47" s="1032" t="s">
        <v>485</v>
      </c>
      <c r="AY47" s="1327" t="s">
        <v>476</v>
      </c>
      <c r="AZ47" s="1389">
        <v>1.0</v>
      </c>
      <c r="BA47" s="1032" t="s">
        <v>485</v>
      </c>
      <c r="BB47" s="1327" t="s">
        <v>476</v>
      </c>
      <c r="BC47" s="1389">
        <v>1.0</v>
      </c>
      <c r="BD47" s="1360" t="s">
        <v>485</v>
      </c>
      <c r="BE47" s="1390" t="s">
        <v>476</v>
      </c>
      <c r="BF47" s="1359">
        <v>1.0</v>
      </c>
      <c r="BG47" s="1360" t="s">
        <v>485</v>
      </c>
      <c r="BH47" s="1390" t="s">
        <v>476</v>
      </c>
      <c r="BI47" s="1359">
        <v>1.0</v>
      </c>
      <c r="BJ47" s="1360" t="s">
        <v>485</v>
      </c>
      <c r="BK47" s="1390" t="s">
        <v>476</v>
      </c>
      <c r="BL47" s="1359">
        <v>1.0</v>
      </c>
      <c r="BM47" s="1360" t="s">
        <v>485</v>
      </c>
      <c r="BN47" s="1390" t="s">
        <v>476</v>
      </c>
      <c r="BO47" s="1359">
        <v>1.0</v>
      </c>
      <c r="BP47" s="1360" t="s">
        <v>485</v>
      </c>
      <c r="BQ47" s="1390" t="s">
        <v>476</v>
      </c>
      <c r="BR47" s="1359">
        <v>1.0</v>
      </c>
      <c r="BS47" s="1360" t="s">
        <v>485</v>
      </c>
      <c r="BT47" s="1390" t="s">
        <v>476</v>
      </c>
      <c r="BU47" s="1359">
        <v>1.0</v>
      </c>
      <c r="BV47" s="1360" t="s">
        <v>485</v>
      </c>
      <c r="BW47" s="1390" t="s">
        <v>476</v>
      </c>
      <c r="BX47" s="1359">
        <v>1.0</v>
      </c>
      <c r="BY47" s="1360" t="s">
        <v>485</v>
      </c>
      <c r="BZ47" s="1390" t="s">
        <v>476</v>
      </c>
      <c r="CA47" s="1359">
        <v>1.0</v>
      </c>
      <c r="CB47" s="1360" t="s">
        <v>485</v>
      </c>
      <c r="CC47" s="1390" t="s">
        <v>476</v>
      </c>
      <c r="CD47" s="1359">
        <v>1.0</v>
      </c>
      <c r="CE47" s="1360" t="s">
        <v>485</v>
      </c>
      <c r="CF47" s="1390" t="s">
        <v>476</v>
      </c>
      <c r="CG47" s="1359">
        <v>1.0</v>
      </c>
      <c r="CH47" s="1360" t="s">
        <v>485</v>
      </c>
      <c r="CI47" s="1390" t="s">
        <v>476</v>
      </c>
      <c r="CJ47" s="1359">
        <v>1.0</v>
      </c>
      <c r="CK47" s="1360" t="s">
        <v>485</v>
      </c>
      <c r="CL47" s="1390" t="s">
        <v>476</v>
      </c>
      <c r="CM47" s="1359">
        <v>1.0</v>
      </c>
      <c r="CN47" s="1360" t="s">
        <v>485</v>
      </c>
      <c r="CO47" s="1390" t="s">
        <v>476</v>
      </c>
      <c r="CP47" s="1359">
        <v>1.0</v>
      </c>
      <c r="CQ47" s="1360" t="s">
        <v>485</v>
      </c>
      <c r="CR47" s="1390" t="s">
        <v>476</v>
      </c>
      <c r="CS47" s="1359">
        <v>1.0</v>
      </c>
      <c r="CT47" s="1360" t="s">
        <v>485</v>
      </c>
      <c r="CU47" s="1390" t="s">
        <v>476</v>
      </c>
      <c r="CV47" s="1359">
        <v>1.0</v>
      </c>
      <c r="CW47" s="1360" t="s">
        <v>485</v>
      </c>
      <c r="CX47" s="1390" t="s">
        <v>476</v>
      </c>
      <c r="CY47" s="1359">
        <v>1.0</v>
      </c>
      <c r="CZ47" s="1360" t="s">
        <v>485</v>
      </c>
      <c r="DA47" s="1390" t="s">
        <v>476</v>
      </c>
      <c r="DB47" s="1359">
        <v>1.0</v>
      </c>
      <c r="DC47" s="1360" t="s">
        <v>485</v>
      </c>
      <c r="DD47" s="1390" t="s">
        <v>476</v>
      </c>
      <c r="DE47" s="1359">
        <v>1.0</v>
      </c>
      <c r="DF47" s="1360" t="s">
        <v>485</v>
      </c>
      <c r="DG47" s="1390" t="s">
        <v>476</v>
      </c>
      <c r="DH47" s="1359">
        <v>1.0</v>
      </c>
      <c r="DI47" s="1360" t="s">
        <v>485</v>
      </c>
      <c r="DJ47" s="1390" t="s">
        <v>476</v>
      </c>
      <c r="DK47" s="1359">
        <v>1.0</v>
      </c>
      <c r="DL47" s="1360" t="s">
        <v>485</v>
      </c>
      <c r="DM47" s="1390" t="s">
        <v>476</v>
      </c>
      <c r="DN47" s="1359">
        <v>1.0</v>
      </c>
      <c r="DO47" s="1360" t="s">
        <v>485</v>
      </c>
      <c r="DP47" s="1390" t="s">
        <v>476</v>
      </c>
      <c r="DQ47" s="1359">
        <v>1.0</v>
      </c>
      <c r="DR47" s="1360" t="s">
        <v>485</v>
      </c>
      <c r="DS47" s="1390" t="s">
        <v>476</v>
      </c>
      <c r="DT47" s="1359">
        <v>1.0</v>
      </c>
      <c r="DU47" s="1360" t="s">
        <v>485</v>
      </c>
      <c r="DV47" s="1390" t="s">
        <v>476</v>
      </c>
      <c r="DW47" s="1359">
        <v>1.0</v>
      </c>
      <c r="DX47" s="68"/>
      <c r="DY47" s="68"/>
      <c r="DZ47" s="68"/>
    </row>
    <row r="48" ht="15.0" hidden="1" customHeight="1">
      <c r="A48" s="1262">
        <v>74.0</v>
      </c>
      <c r="B48" s="1494" t="s">
        <v>247</v>
      </c>
      <c r="C48" s="1495"/>
      <c r="D48" s="1495"/>
      <c r="E48" s="1495"/>
      <c r="F48" s="1495"/>
      <c r="G48" s="1495"/>
      <c r="H48" s="1496"/>
      <c r="I48" s="1495"/>
      <c r="J48" s="1495"/>
      <c r="K48" s="1497"/>
      <c r="L48" s="1498"/>
      <c r="M48" s="1495"/>
      <c r="N48" s="1495"/>
      <c r="O48" s="73"/>
      <c r="P48" s="1499"/>
      <c r="Q48" s="1500"/>
      <c r="R48" s="1501"/>
      <c r="S48" s="1502"/>
      <c r="T48" s="1503"/>
      <c r="U48" s="1501"/>
      <c r="V48" s="1502"/>
      <c r="W48" s="1504"/>
      <c r="X48" s="1110"/>
      <c r="Y48" s="1505"/>
      <c r="Z48" s="1110"/>
      <c r="AA48" s="1110"/>
      <c r="AB48" s="1506"/>
      <c r="AC48" s="1110"/>
      <c r="AD48" s="1110"/>
      <c r="AE48" s="1506"/>
      <c r="AF48" s="1110"/>
      <c r="AG48" s="1110"/>
      <c r="AH48" s="1506"/>
      <c r="AI48" s="1110"/>
      <c r="AJ48" s="1110"/>
      <c r="AK48" s="1110"/>
      <c r="AL48" s="1110"/>
      <c r="AM48" s="1110"/>
      <c r="AN48" s="1110"/>
      <c r="AO48" s="1110"/>
      <c r="AP48" s="1110"/>
      <c r="AQ48" s="1110"/>
      <c r="AR48" s="1110"/>
      <c r="AS48" s="1110"/>
      <c r="AT48" s="1110"/>
      <c r="AU48" s="1110"/>
      <c r="AV48" s="1110"/>
      <c r="AW48" s="1110"/>
      <c r="AX48" s="1110"/>
      <c r="AY48" s="1110"/>
      <c r="AZ48" s="1110"/>
      <c r="BA48" s="1110"/>
      <c r="BB48" s="1110"/>
      <c r="BC48" s="1110"/>
      <c r="BD48" s="1507"/>
      <c r="BE48" s="1507"/>
      <c r="BF48" s="1507"/>
      <c r="BG48" s="1507"/>
      <c r="BH48" s="1507"/>
      <c r="BI48" s="1507"/>
      <c r="BJ48" s="1507"/>
      <c r="BK48" s="1507"/>
      <c r="BL48" s="1507"/>
      <c r="BM48" s="1507"/>
      <c r="BN48" s="1507"/>
      <c r="BO48" s="1507"/>
      <c r="BP48" s="1507"/>
      <c r="BQ48" s="1507"/>
      <c r="BR48" s="1507"/>
      <c r="BS48" s="1507"/>
      <c r="BT48" s="1507"/>
      <c r="BU48" s="1507"/>
      <c r="BV48" s="1507"/>
      <c r="BW48" s="1507"/>
      <c r="BX48" s="1507"/>
      <c r="BY48" s="1507"/>
      <c r="BZ48" s="1507"/>
      <c r="CA48" s="1507"/>
      <c r="CB48" s="1507"/>
      <c r="CC48" s="1507"/>
      <c r="CD48" s="1507"/>
      <c r="CE48" s="1507"/>
      <c r="CF48" s="1507"/>
      <c r="CG48" s="1507"/>
      <c r="CH48" s="1508"/>
      <c r="CI48" s="1507"/>
      <c r="CJ48" s="1508"/>
      <c r="CK48" s="1508"/>
      <c r="CL48" s="1507"/>
      <c r="CM48" s="1508"/>
      <c r="CN48" s="1507"/>
      <c r="CO48" s="1507"/>
      <c r="CP48" s="1507"/>
      <c r="CQ48" s="1507"/>
      <c r="CR48" s="1507"/>
      <c r="CS48" s="1507"/>
      <c r="CT48" s="1507"/>
      <c r="CU48" s="1507"/>
      <c r="CV48" s="1507"/>
      <c r="CW48" s="1507"/>
      <c r="CX48" s="1507"/>
      <c r="CY48" s="1507"/>
      <c r="CZ48" s="1507"/>
      <c r="DA48" s="1507"/>
      <c r="DB48" s="1507"/>
      <c r="DC48" s="1507"/>
      <c r="DD48" s="1507"/>
      <c r="DE48" s="1507"/>
      <c r="DF48" s="1507"/>
      <c r="DG48" s="1507"/>
      <c r="DH48" s="1507"/>
      <c r="DI48" s="1507"/>
      <c r="DJ48" s="1507"/>
      <c r="DK48" s="1507"/>
      <c r="DL48" s="1507"/>
      <c r="DM48" s="1507"/>
      <c r="DN48" s="1507"/>
      <c r="DO48" s="1507"/>
      <c r="DP48" s="1507"/>
      <c r="DQ48" s="1507"/>
      <c r="DR48" s="1507"/>
      <c r="DS48" s="1507"/>
      <c r="DT48" s="1507"/>
      <c r="DU48" s="1507"/>
      <c r="DV48" s="1507"/>
      <c r="DW48" s="1507"/>
      <c r="DX48" s="186"/>
      <c r="DY48" s="186"/>
      <c r="DZ48" s="186"/>
    </row>
    <row r="49" ht="15.0" customHeight="1" outlineLevel="1">
      <c r="A49" s="1262">
        <v>55.0</v>
      </c>
      <c r="B49" s="1278" t="s">
        <v>209</v>
      </c>
      <c r="C49" s="1279" t="s">
        <v>210</v>
      </c>
      <c r="D49" s="1280" t="s">
        <v>90</v>
      </c>
      <c r="E49" s="1294" t="s">
        <v>169</v>
      </c>
      <c r="F49" s="1280">
        <v>1112.0</v>
      </c>
      <c r="G49" s="1295" t="s">
        <v>170</v>
      </c>
      <c r="H49" s="1295">
        <v>1129.0</v>
      </c>
      <c r="I49" s="1322" t="str">
        <f>IFERROR(VLOOKUP(C46:C195,'R22 RELATÓRIO ACC'!B:F,5,FALSE),"NOT PUBLISHED")</f>
        <v>V34</v>
      </c>
      <c r="J49" s="1322" t="str">
        <f>IFERROR(VLOOKUP(C46:C195,'R22 RELATÓRIO ACC'!B:P,15,FALSE),"NOT PUBLISHED")</f>
        <v>05/05/2026</v>
      </c>
      <c r="K49" s="1353" t="str">
        <f>IFERROR(VLOOKUP(B48:B202,'RELATÓRIO ACC'!B:F,5,FALSE),"NOT PUBLISHED")</f>
        <v>V3</v>
      </c>
      <c r="L49" s="1285" t="str">
        <f>IFERROR(VLOOKUP(B48:B202,'RELATÓRIO ACC'!B:P,15,FALSE),"NOT PUBLISHED")</f>
        <v>03/07/2026</v>
      </c>
      <c r="M49" s="1420" t="s">
        <v>498</v>
      </c>
      <c r="N49" s="1206">
        <v>45882.0</v>
      </c>
      <c r="O49" s="1397" t="s">
        <v>482</v>
      </c>
      <c r="P49" s="1287"/>
      <c r="Q49" s="1296" t="s">
        <v>477</v>
      </c>
      <c r="R49" s="1402" t="s">
        <v>476</v>
      </c>
      <c r="S49" s="1412">
        <v>0.82</v>
      </c>
      <c r="T49" s="1299" t="s">
        <v>484</v>
      </c>
      <c r="U49" s="1402" t="s">
        <v>476</v>
      </c>
      <c r="V49" s="1412">
        <v>1.0</v>
      </c>
      <c r="W49" s="1299" t="s">
        <v>484</v>
      </c>
      <c r="X49" s="1402" t="s">
        <v>476</v>
      </c>
      <c r="Y49" s="1412">
        <v>1.0</v>
      </c>
      <c r="Z49" s="1299" t="s">
        <v>485</v>
      </c>
      <c r="AA49" s="1402" t="s">
        <v>476</v>
      </c>
      <c r="AB49" s="1412">
        <v>1.0</v>
      </c>
      <c r="AC49" s="1299" t="s">
        <v>485</v>
      </c>
      <c r="AD49" s="1402" t="s">
        <v>476</v>
      </c>
      <c r="AE49" s="1412">
        <v>1.0</v>
      </c>
      <c r="AF49" s="1299" t="s">
        <v>485</v>
      </c>
      <c r="AG49" s="1402" t="s">
        <v>476</v>
      </c>
      <c r="AH49" s="1412">
        <v>1.0</v>
      </c>
      <c r="AI49" s="1299" t="s">
        <v>485</v>
      </c>
      <c r="AJ49" s="1402" t="s">
        <v>476</v>
      </c>
      <c r="AK49" s="1412">
        <v>1.0</v>
      </c>
      <c r="AL49" s="1032" t="s">
        <v>485</v>
      </c>
      <c r="AM49" s="1202" t="s">
        <v>476</v>
      </c>
      <c r="AN49" s="1412">
        <v>1.0</v>
      </c>
      <c r="AO49" s="1032" t="s">
        <v>485</v>
      </c>
      <c r="AP49" s="1202" t="s">
        <v>476</v>
      </c>
      <c r="AQ49" s="1412">
        <v>1.0</v>
      </c>
      <c r="AR49" s="1032" t="s">
        <v>485</v>
      </c>
      <c r="AS49" s="1202" t="s">
        <v>476</v>
      </c>
      <c r="AT49" s="1412">
        <v>1.0</v>
      </c>
      <c r="AU49" s="1032" t="s">
        <v>485</v>
      </c>
      <c r="AV49" s="1202" t="s">
        <v>476</v>
      </c>
      <c r="AW49" s="1412">
        <v>1.0</v>
      </c>
      <c r="AX49" s="1032" t="s">
        <v>485</v>
      </c>
      <c r="AY49" s="1202" t="s">
        <v>476</v>
      </c>
      <c r="AZ49" s="1412">
        <v>1.0</v>
      </c>
      <c r="BA49" s="1032" t="s">
        <v>485</v>
      </c>
      <c r="BB49" s="1202" t="s">
        <v>476</v>
      </c>
      <c r="BC49" s="1412">
        <v>1.0</v>
      </c>
      <c r="BD49" s="1360" t="s">
        <v>485</v>
      </c>
      <c r="BE49" s="1427" t="s">
        <v>476</v>
      </c>
      <c r="BF49" s="1416">
        <v>1.0</v>
      </c>
      <c r="BG49" s="1360" t="s">
        <v>485</v>
      </c>
      <c r="BH49" s="1427" t="s">
        <v>476</v>
      </c>
      <c r="BI49" s="1416">
        <v>1.0</v>
      </c>
      <c r="BJ49" s="1360" t="s">
        <v>485</v>
      </c>
      <c r="BK49" s="1427" t="s">
        <v>476</v>
      </c>
      <c r="BL49" s="1416">
        <v>1.0</v>
      </c>
      <c r="BM49" s="1360" t="s">
        <v>485</v>
      </c>
      <c r="BN49" s="1427" t="s">
        <v>476</v>
      </c>
      <c r="BO49" s="1416">
        <v>1.0</v>
      </c>
      <c r="BP49" s="1360" t="s">
        <v>485</v>
      </c>
      <c r="BQ49" s="1427" t="s">
        <v>476</v>
      </c>
      <c r="BR49" s="1416">
        <v>1.0</v>
      </c>
      <c r="BS49" s="1360" t="s">
        <v>485</v>
      </c>
      <c r="BT49" s="1427" t="s">
        <v>476</v>
      </c>
      <c r="BU49" s="1416">
        <v>1.0</v>
      </c>
      <c r="BV49" s="1360" t="s">
        <v>485</v>
      </c>
      <c r="BW49" s="1427" t="s">
        <v>476</v>
      </c>
      <c r="BX49" s="1416">
        <v>1.0</v>
      </c>
      <c r="BY49" s="1360" t="s">
        <v>485</v>
      </c>
      <c r="BZ49" s="1427" t="s">
        <v>476</v>
      </c>
      <c r="CA49" s="1416">
        <v>1.0</v>
      </c>
      <c r="CB49" s="1360" t="s">
        <v>485</v>
      </c>
      <c r="CC49" s="1427" t="s">
        <v>476</v>
      </c>
      <c r="CD49" s="1416">
        <v>1.0</v>
      </c>
      <c r="CE49" s="1360" t="s">
        <v>485</v>
      </c>
      <c r="CF49" s="1427" t="s">
        <v>476</v>
      </c>
      <c r="CG49" s="1416">
        <v>1.0</v>
      </c>
      <c r="CH49" s="1360" t="s">
        <v>485</v>
      </c>
      <c r="CI49" s="1427" t="s">
        <v>476</v>
      </c>
      <c r="CJ49" s="1416">
        <v>1.0</v>
      </c>
      <c r="CK49" s="1360" t="s">
        <v>485</v>
      </c>
      <c r="CL49" s="1427" t="s">
        <v>476</v>
      </c>
      <c r="CM49" s="1416">
        <v>1.0</v>
      </c>
      <c r="CN49" s="1360" t="s">
        <v>485</v>
      </c>
      <c r="CO49" s="1427" t="s">
        <v>476</v>
      </c>
      <c r="CP49" s="1416">
        <v>1.0</v>
      </c>
      <c r="CQ49" s="1360" t="s">
        <v>485</v>
      </c>
      <c r="CR49" s="1427" t="s">
        <v>476</v>
      </c>
      <c r="CS49" s="1416">
        <v>1.0</v>
      </c>
      <c r="CT49" s="1360" t="s">
        <v>485</v>
      </c>
      <c r="CU49" s="1427" t="s">
        <v>476</v>
      </c>
      <c r="CV49" s="1416">
        <v>1.0</v>
      </c>
      <c r="CW49" s="1360" t="s">
        <v>485</v>
      </c>
      <c r="CX49" s="1427" t="s">
        <v>476</v>
      </c>
      <c r="CY49" s="1416">
        <v>1.0</v>
      </c>
      <c r="CZ49" s="1360" t="s">
        <v>485</v>
      </c>
      <c r="DA49" s="1427" t="s">
        <v>476</v>
      </c>
      <c r="DB49" s="1416">
        <v>1.0</v>
      </c>
      <c r="DC49" s="1360" t="s">
        <v>485</v>
      </c>
      <c r="DD49" s="1427" t="s">
        <v>476</v>
      </c>
      <c r="DE49" s="1416">
        <v>1.0</v>
      </c>
      <c r="DF49" s="1360" t="s">
        <v>485</v>
      </c>
      <c r="DG49" s="1427" t="s">
        <v>476</v>
      </c>
      <c r="DH49" s="1416">
        <v>1.0</v>
      </c>
      <c r="DI49" s="1360" t="s">
        <v>485</v>
      </c>
      <c r="DJ49" s="1427" t="s">
        <v>476</v>
      </c>
      <c r="DK49" s="1416">
        <v>1.0</v>
      </c>
      <c r="DL49" s="1360" t="s">
        <v>485</v>
      </c>
      <c r="DM49" s="1427" t="s">
        <v>476</v>
      </c>
      <c r="DN49" s="1416">
        <v>1.0</v>
      </c>
      <c r="DO49" s="1360" t="s">
        <v>485</v>
      </c>
      <c r="DP49" s="1427" t="s">
        <v>476</v>
      </c>
      <c r="DQ49" s="1416">
        <v>1.0</v>
      </c>
      <c r="DR49" s="1360" t="s">
        <v>485</v>
      </c>
      <c r="DS49" s="1427" t="s">
        <v>476</v>
      </c>
      <c r="DT49" s="1416">
        <v>1.0</v>
      </c>
      <c r="DU49" s="1360" t="s">
        <v>485</v>
      </c>
      <c r="DV49" s="1427" t="s">
        <v>476</v>
      </c>
      <c r="DW49" s="1416">
        <v>1.0</v>
      </c>
      <c r="DX49" s="68"/>
      <c r="DY49" s="68"/>
      <c r="DZ49" s="68"/>
    </row>
    <row r="50" ht="15.0" customHeight="1" outlineLevel="1">
      <c r="A50" s="1262">
        <v>57.0</v>
      </c>
      <c r="B50" s="1278" t="s">
        <v>212</v>
      </c>
      <c r="C50" s="1279" t="s">
        <v>213</v>
      </c>
      <c r="D50" s="1280" t="s">
        <v>90</v>
      </c>
      <c r="E50" s="1294" t="s">
        <v>214</v>
      </c>
      <c r="F50" s="1280">
        <v>1115.0</v>
      </c>
      <c r="G50" s="1295" t="s">
        <v>214</v>
      </c>
      <c r="H50" s="1295">
        <v>1115.0</v>
      </c>
      <c r="I50" s="1322" t="str">
        <f>IFERROR(VLOOKUP(C47:C196,'R22 RELATÓRIO ACC'!B:F,5,FALSE),"NOT PUBLISHED")</f>
        <v>V37</v>
      </c>
      <c r="J50" s="1322" t="str">
        <f>IFERROR(VLOOKUP(C47:C196,'R22 RELATÓRIO ACC'!B:P,15,FALSE),"NOT PUBLISHED")</f>
        <v>10/04/2026</v>
      </c>
      <c r="K50" s="1353" t="str">
        <f>IFERROR(VLOOKUP(B49:B203,'RELATÓRIO ACC'!B:F,5,FALSE),"NOT PUBLISHED")</f>
        <v>V1</v>
      </c>
      <c r="L50" s="1285" t="str">
        <f>IFERROR(VLOOKUP(B49:B203,'RELATÓRIO ACC'!B:P,15,FALSE),"NOT PUBLISHED")</f>
        <v>20/05/2026</v>
      </c>
      <c r="M50" s="1420" t="s">
        <v>501</v>
      </c>
      <c r="N50" s="1304">
        <v>45896.0</v>
      </c>
      <c r="O50" s="856" t="s">
        <v>482</v>
      </c>
      <c r="P50" s="1509" t="s">
        <v>146</v>
      </c>
      <c r="Q50" s="1296" t="s">
        <v>477</v>
      </c>
      <c r="R50" s="1402" t="s">
        <v>476</v>
      </c>
      <c r="S50" s="1422">
        <v>0.42</v>
      </c>
      <c r="T50" s="1299" t="s">
        <v>484</v>
      </c>
      <c r="U50" s="1404" t="s">
        <v>476</v>
      </c>
      <c r="V50" s="1403">
        <v>1.0</v>
      </c>
      <c r="W50" s="1316" t="s">
        <v>484</v>
      </c>
      <c r="X50" s="1404" t="s">
        <v>476</v>
      </c>
      <c r="Y50" s="1405">
        <v>1.0</v>
      </c>
      <c r="Z50" s="1299" t="s">
        <v>485</v>
      </c>
      <c r="AA50" s="1404" t="s">
        <v>476</v>
      </c>
      <c r="AB50" s="1389">
        <v>1.0</v>
      </c>
      <c r="AC50" s="1299" t="s">
        <v>485</v>
      </c>
      <c r="AD50" s="1404" t="s">
        <v>476</v>
      </c>
      <c r="AE50" s="1389">
        <v>1.0</v>
      </c>
      <c r="AF50" s="1299" t="s">
        <v>485</v>
      </c>
      <c r="AG50" s="1404" t="s">
        <v>476</v>
      </c>
      <c r="AH50" s="1389">
        <v>1.0</v>
      </c>
      <c r="AI50" s="1299" t="s">
        <v>485</v>
      </c>
      <c r="AJ50" s="1404" t="s">
        <v>476</v>
      </c>
      <c r="AK50" s="1389">
        <v>1.0</v>
      </c>
      <c r="AL50" s="1032" t="s">
        <v>485</v>
      </c>
      <c r="AM50" s="1327" t="s">
        <v>476</v>
      </c>
      <c r="AN50" s="1389">
        <v>1.0</v>
      </c>
      <c r="AO50" s="1032" t="s">
        <v>485</v>
      </c>
      <c r="AP50" s="1327" t="s">
        <v>476</v>
      </c>
      <c r="AQ50" s="1389">
        <v>1.0</v>
      </c>
      <c r="AR50" s="1032" t="s">
        <v>485</v>
      </c>
      <c r="AS50" s="1327" t="s">
        <v>476</v>
      </c>
      <c r="AT50" s="1389">
        <v>1.0</v>
      </c>
      <c r="AU50" s="1032" t="s">
        <v>485</v>
      </c>
      <c r="AV50" s="1327" t="s">
        <v>476</v>
      </c>
      <c r="AW50" s="1389">
        <v>1.0</v>
      </c>
      <c r="AX50" s="1032" t="s">
        <v>485</v>
      </c>
      <c r="AY50" s="1327" t="s">
        <v>476</v>
      </c>
      <c r="AZ50" s="1389">
        <v>1.0</v>
      </c>
      <c r="BA50" s="1032" t="s">
        <v>485</v>
      </c>
      <c r="BB50" s="1327" t="s">
        <v>476</v>
      </c>
      <c r="BC50" s="1389">
        <v>1.0</v>
      </c>
      <c r="BD50" s="1360" t="s">
        <v>485</v>
      </c>
      <c r="BE50" s="1390" t="s">
        <v>476</v>
      </c>
      <c r="BF50" s="1359">
        <v>1.0</v>
      </c>
      <c r="BG50" s="1360" t="s">
        <v>485</v>
      </c>
      <c r="BH50" s="1390" t="s">
        <v>476</v>
      </c>
      <c r="BI50" s="1359">
        <v>1.0</v>
      </c>
      <c r="BJ50" s="1360" t="s">
        <v>485</v>
      </c>
      <c r="BK50" s="1390" t="s">
        <v>476</v>
      </c>
      <c r="BL50" s="1359">
        <v>1.0</v>
      </c>
      <c r="BM50" s="1360" t="s">
        <v>485</v>
      </c>
      <c r="BN50" s="1390" t="s">
        <v>476</v>
      </c>
      <c r="BO50" s="1359">
        <v>1.0</v>
      </c>
      <c r="BP50" s="1360" t="s">
        <v>485</v>
      </c>
      <c r="BQ50" s="1390" t="s">
        <v>476</v>
      </c>
      <c r="BR50" s="1359">
        <v>1.0</v>
      </c>
      <c r="BS50" s="1360" t="s">
        <v>485</v>
      </c>
      <c r="BT50" s="1390" t="s">
        <v>476</v>
      </c>
      <c r="BU50" s="1359">
        <v>1.0</v>
      </c>
      <c r="BV50" s="1360" t="s">
        <v>485</v>
      </c>
      <c r="BW50" s="1390" t="s">
        <v>476</v>
      </c>
      <c r="BX50" s="1359">
        <v>1.0</v>
      </c>
      <c r="BY50" s="1360" t="s">
        <v>485</v>
      </c>
      <c r="BZ50" s="1390" t="s">
        <v>476</v>
      </c>
      <c r="CA50" s="1359">
        <v>1.0</v>
      </c>
      <c r="CB50" s="1360" t="s">
        <v>485</v>
      </c>
      <c r="CC50" s="1390" t="s">
        <v>476</v>
      </c>
      <c r="CD50" s="1359">
        <v>1.0</v>
      </c>
      <c r="CE50" s="1360" t="s">
        <v>485</v>
      </c>
      <c r="CF50" s="1390" t="s">
        <v>476</v>
      </c>
      <c r="CG50" s="1359">
        <v>1.0</v>
      </c>
      <c r="CH50" s="1360" t="s">
        <v>485</v>
      </c>
      <c r="CI50" s="1390" t="s">
        <v>476</v>
      </c>
      <c r="CJ50" s="1359">
        <v>1.0</v>
      </c>
      <c r="CK50" s="1360" t="s">
        <v>485</v>
      </c>
      <c r="CL50" s="1390" t="s">
        <v>476</v>
      </c>
      <c r="CM50" s="1359">
        <v>1.0</v>
      </c>
      <c r="CN50" s="1360" t="s">
        <v>485</v>
      </c>
      <c r="CO50" s="1390" t="s">
        <v>476</v>
      </c>
      <c r="CP50" s="1359">
        <v>1.0</v>
      </c>
      <c r="CQ50" s="1360" t="s">
        <v>485</v>
      </c>
      <c r="CR50" s="1390" t="s">
        <v>476</v>
      </c>
      <c r="CS50" s="1359">
        <v>1.0</v>
      </c>
      <c r="CT50" s="1360" t="s">
        <v>485</v>
      </c>
      <c r="CU50" s="1390" t="s">
        <v>476</v>
      </c>
      <c r="CV50" s="1392">
        <v>1.0</v>
      </c>
      <c r="CW50" s="1417" t="s">
        <v>485</v>
      </c>
      <c r="CX50" s="1390" t="s">
        <v>476</v>
      </c>
      <c r="CY50" s="1419">
        <v>1.0</v>
      </c>
      <c r="CZ50" s="1417" t="s">
        <v>485</v>
      </c>
      <c r="DA50" s="1390" t="s">
        <v>476</v>
      </c>
      <c r="DB50" s="1419">
        <v>1.0</v>
      </c>
      <c r="DC50" s="1417" t="s">
        <v>485</v>
      </c>
      <c r="DD50" s="1390" t="s">
        <v>476</v>
      </c>
      <c r="DE50" s="1419">
        <v>1.0</v>
      </c>
      <c r="DF50" s="1417" t="s">
        <v>485</v>
      </c>
      <c r="DG50" s="1390" t="s">
        <v>476</v>
      </c>
      <c r="DH50" s="1416">
        <v>1.0</v>
      </c>
      <c r="DI50" s="1417" t="s">
        <v>485</v>
      </c>
      <c r="DJ50" s="1390" t="s">
        <v>476</v>
      </c>
      <c r="DK50" s="1416">
        <v>1.0</v>
      </c>
      <c r="DL50" s="1417" t="s">
        <v>485</v>
      </c>
      <c r="DM50" s="1390" t="s">
        <v>476</v>
      </c>
      <c r="DN50" s="1416">
        <v>1.0</v>
      </c>
      <c r="DO50" s="1417" t="s">
        <v>485</v>
      </c>
      <c r="DP50" s="1390" t="s">
        <v>476</v>
      </c>
      <c r="DQ50" s="1416">
        <v>1.0</v>
      </c>
      <c r="DR50" s="1417" t="s">
        <v>485</v>
      </c>
      <c r="DS50" s="1390" t="s">
        <v>476</v>
      </c>
      <c r="DT50" s="1416">
        <v>1.0</v>
      </c>
      <c r="DU50" s="1417" t="s">
        <v>485</v>
      </c>
      <c r="DV50" s="1390" t="s">
        <v>476</v>
      </c>
      <c r="DW50" s="1416">
        <v>1.0</v>
      </c>
      <c r="DX50" s="135"/>
      <c r="DY50" s="135"/>
      <c r="DZ50" s="135"/>
    </row>
    <row r="51" ht="15.0" customHeight="1" outlineLevel="1">
      <c r="A51" s="1262">
        <v>60.0</v>
      </c>
      <c r="B51" s="1278" t="s">
        <v>220</v>
      </c>
      <c r="C51" s="1279" t="s">
        <v>221</v>
      </c>
      <c r="D51" s="1280" t="s">
        <v>90</v>
      </c>
      <c r="E51" s="1294" t="s">
        <v>169</v>
      </c>
      <c r="F51" s="1282">
        <v>1112.0</v>
      </c>
      <c r="G51" s="1295" t="s">
        <v>170</v>
      </c>
      <c r="H51" s="1283">
        <v>1129.0</v>
      </c>
      <c r="I51" s="1322" t="str">
        <f>IFERROR(VLOOKUP(C48:C197,'R22 RELATÓRIO ACC'!B:F,5,FALSE),"NOT PUBLISHED")</f>
        <v>V33</v>
      </c>
      <c r="J51" s="1322" t="str">
        <f>IFERROR(VLOOKUP(C48:C197,'R22 RELATÓRIO ACC'!B:P,15,FALSE),"NOT PUBLISHED")</f>
        <v>05/03/2026</v>
      </c>
      <c r="K51" s="1353" t="str">
        <f>IFERROR(VLOOKUP(B50:B203,'RELATÓRIO ACC'!B:F,5,FALSE),"NOT PUBLISHED")</f>
        <v>V1</v>
      </c>
      <c r="L51" s="1285" t="str">
        <f>IFERROR(VLOOKUP(B50:B203,'RELATÓRIO ACC'!B:P,15,FALSE),"NOT PUBLISHED")</f>
        <v>19/05/2026</v>
      </c>
      <c r="M51" s="1420" t="s">
        <v>856</v>
      </c>
      <c r="N51" s="1304">
        <v>45889.0</v>
      </c>
      <c r="O51" s="856" t="s">
        <v>482</v>
      </c>
      <c r="P51" s="1425" t="s">
        <v>129</v>
      </c>
      <c r="Q51" s="1281" t="s">
        <v>477</v>
      </c>
      <c r="R51" s="1202" t="s">
        <v>476</v>
      </c>
      <c r="S51" s="1510">
        <v>0.69</v>
      </c>
      <c r="T51" s="1032" t="s">
        <v>484</v>
      </c>
      <c r="U51" s="1202" t="s">
        <v>476</v>
      </c>
      <c r="V51" s="1403">
        <v>1.0</v>
      </c>
      <c r="W51" s="1288" t="s">
        <v>484</v>
      </c>
      <c r="X51" s="1202" t="s">
        <v>476</v>
      </c>
      <c r="Y51" s="1412">
        <v>1.0</v>
      </c>
      <c r="Z51" s="1032" t="s">
        <v>485</v>
      </c>
      <c r="AA51" s="1202" t="s">
        <v>476</v>
      </c>
      <c r="AB51" s="1389">
        <v>1.0</v>
      </c>
      <c r="AC51" s="1032" t="s">
        <v>485</v>
      </c>
      <c r="AD51" s="1202" t="s">
        <v>476</v>
      </c>
      <c r="AE51" s="1389">
        <v>1.0</v>
      </c>
      <c r="AF51" s="1032" t="s">
        <v>485</v>
      </c>
      <c r="AG51" s="1202" t="s">
        <v>476</v>
      </c>
      <c r="AH51" s="1389">
        <v>1.0</v>
      </c>
      <c r="AI51" s="1032" t="s">
        <v>485</v>
      </c>
      <c r="AJ51" s="1202" t="s">
        <v>476</v>
      </c>
      <c r="AK51" s="1389">
        <v>1.0</v>
      </c>
      <c r="AL51" s="1032" t="s">
        <v>485</v>
      </c>
      <c r="AM51" s="1202" t="s">
        <v>476</v>
      </c>
      <c r="AN51" s="1389">
        <v>1.0</v>
      </c>
      <c r="AO51" s="1032" t="s">
        <v>485</v>
      </c>
      <c r="AP51" s="1202" t="s">
        <v>476</v>
      </c>
      <c r="AQ51" s="1389">
        <v>1.0</v>
      </c>
      <c r="AR51" s="1032" t="s">
        <v>485</v>
      </c>
      <c r="AS51" s="1202" t="s">
        <v>476</v>
      </c>
      <c r="AT51" s="1389">
        <v>1.0</v>
      </c>
      <c r="AU51" s="1032" t="s">
        <v>485</v>
      </c>
      <c r="AV51" s="1202" t="s">
        <v>476</v>
      </c>
      <c r="AW51" s="1389">
        <v>1.0</v>
      </c>
      <c r="AX51" s="1032" t="s">
        <v>485</v>
      </c>
      <c r="AY51" s="1202" t="s">
        <v>476</v>
      </c>
      <c r="AZ51" s="1389">
        <v>1.0</v>
      </c>
      <c r="BA51" s="1032" t="s">
        <v>485</v>
      </c>
      <c r="BB51" s="1202" t="s">
        <v>476</v>
      </c>
      <c r="BC51" s="1389">
        <v>1.0</v>
      </c>
      <c r="BD51" s="1360" t="s">
        <v>485</v>
      </c>
      <c r="BE51" s="1427" t="s">
        <v>476</v>
      </c>
      <c r="BF51" s="1359">
        <v>1.0</v>
      </c>
      <c r="BG51" s="1360" t="s">
        <v>485</v>
      </c>
      <c r="BH51" s="1427" t="s">
        <v>476</v>
      </c>
      <c r="BI51" s="1359">
        <v>1.0</v>
      </c>
      <c r="BJ51" s="1360" t="s">
        <v>485</v>
      </c>
      <c r="BK51" s="1427" t="s">
        <v>476</v>
      </c>
      <c r="BL51" s="1359">
        <v>1.0</v>
      </c>
      <c r="BM51" s="1360" t="s">
        <v>485</v>
      </c>
      <c r="BN51" s="1427" t="s">
        <v>476</v>
      </c>
      <c r="BO51" s="1359">
        <v>1.0</v>
      </c>
      <c r="BP51" s="1360" t="s">
        <v>485</v>
      </c>
      <c r="BQ51" s="1427" t="s">
        <v>476</v>
      </c>
      <c r="BR51" s="1359">
        <v>1.0</v>
      </c>
      <c r="BS51" s="1360" t="s">
        <v>485</v>
      </c>
      <c r="BT51" s="1427" t="s">
        <v>476</v>
      </c>
      <c r="BU51" s="1359">
        <v>1.0</v>
      </c>
      <c r="BV51" s="1360" t="s">
        <v>485</v>
      </c>
      <c r="BW51" s="1427" t="s">
        <v>476</v>
      </c>
      <c r="BX51" s="1359">
        <v>1.0</v>
      </c>
      <c r="BY51" s="1360" t="s">
        <v>485</v>
      </c>
      <c r="BZ51" s="1427" t="s">
        <v>476</v>
      </c>
      <c r="CA51" s="1359">
        <v>1.0</v>
      </c>
      <c r="CB51" s="1360" t="s">
        <v>485</v>
      </c>
      <c r="CC51" s="1427" t="s">
        <v>476</v>
      </c>
      <c r="CD51" s="1359">
        <v>1.0</v>
      </c>
      <c r="CE51" s="1360" t="s">
        <v>485</v>
      </c>
      <c r="CF51" s="1427" t="s">
        <v>476</v>
      </c>
      <c r="CG51" s="1359">
        <v>1.0</v>
      </c>
      <c r="CH51" s="1360" t="s">
        <v>485</v>
      </c>
      <c r="CI51" s="1390" t="s">
        <v>476</v>
      </c>
      <c r="CJ51" s="1359">
        <v>1.0</v>
      </c>
      <c r="CK51" s="1360" t="s">
        <v>485</v>
      </c>
      <c r="CL51" s="1390" t="s">
        <v>476</v>
      </c>
      <c r="CM51" s="1359">
        <v>1.0</v>
      </c>
      <c r="CN51" s="1360" t="s">
        <v>485</v>
      </c>
      <c r="CO51" s="1390" t="s">
        <v>476</v>
      </c>
      <c r="CP51" s="1359">
        <v>1.0</v>
      </c>
      <c r="CQ51" s="1360" t="s">
        <v>485</v>
      </c>
      <c r="CR51" s="1390" t="s">
        <v>476</v>
      </c>
      <c r="CS51" s="1359">
        <v>1.0</v>
      </c>
      <c r="CT51" s="1360" t="s">
        <v>485</v>
      </c>
      <c r="CU51" s="1390" t="s">
        <v>476</v>
      </c>
      <c r="CV51" s="1359">
        <v>1.0</v>
      </c>
      <c r="CW51" s="1360" t="s">
        <v>485</v>
      </c>
      <c r="CX51" s="1390" t="s">
        <v>476</v>
      </c>
      <c r="CY51" s="1359">
        <v>1.0</v>
      </c>
      <c r="CZ51" s="1360" t="s">
        <v>485</v>
      </c>
      <c r="DA51" s="1390" t="s">
        <v>476</v>
      </c>
      <c r="DB51" s="1359">
        <v>1.0</v>
      </c>
      <c r="DC51" s="1360" t="s">
        <v>485</v>
      </c>
      <c r="DD51" s="1390" t="s">
        <v>476</v>
      </c>
      <c r="DE51" s="1359">
        <v>1.0</v>
      </c>
      <c r="DF51" s="1360" t="s">
        <v>485</v>
      </c>
      <c r="DG51" s="1390" t="s">
        <v>476</v>
      </c>
      <c r="DH51" s="1359">
        <v>1.0</v>
      </c>
      <c r="DI51" s="1360" t="s">
        <v>485</v>
      </c>
      <c r="DJ51" s="1390" t="s">
        <v>476</v>
      </c>
      <c r="DK51" s="1359">
        <v>1.0</v>
      </c>
      <c r="DL51" s="1360" t="s">
        <v>485</v>
      </c>
      <c r="DM51" s="1390" t="s">
        <v>476</v>
      </c>
      <c r="DN51" s="1359">
        <v>1.0</v>
      </c>
      <c r="DO51" s="1360" t="s">
        <v>485</v>
      </c>
      <c r="DP51" s="1390" t="s">
        <v>476</v>
      </c>
      <c r="DQ51" s="1359">
        <v>1.0</v>
      </c>
      <c r="DR51" s="1360" t="s">
        <v>485</v>
      </c>
      <c r="DS51" s="1390" t="s">
        <v>476</v>
      </c>
      <c r="DT51" s="1359">
        <v>1.0</v>
      </c>
      <c r="DU51" s="1360" t="s">
        <v>485</v>
      </c>
      <c r="DV51" s="1390" t="s">
        <v>476</v>
      </c>
      <c r="DW51" s="1359">
        <v>1.0</v>
      </c>
      <c r="DX51" s="68"/>
      <c r="DY51" s="68"/>
      <c r="DZ51" s="68"/>
    </row>
    <row r="52" ht="15.0" customHeight="1" outlineLevel="1">
      <c r="A52" s="1262">
        <v>68.0</v>
      </c>
      <c r="B52" s="1379" t="s">
        <v>234</v>
      </c>
      <c r="C52" s="1511" t="s">
        <v>235</v>
      </c>
      <c r="D52" s="1280" t="s">
        <v>90</v>
      </c>
      <c r="E52" s="1294" t="s">
        <v>169</v>
      </c>
      <c r="F52" s="1280">
        <v>1112.0</v>
      </c>
      <c r="G52" s="1295" t="s">
        <v>169</v>
      </c>
      <c r="H52" s="1295">
        <v>1112.0</v>
      </c>
      <c r="I52" s="1322" t="str">
        <f>IFERROR(VLOOKUP(C49:C198,'R22 RELATÓRIO ACC'!B:F,5,FALSE),"NOT PUBLISHED")</f>
        <v>V11</v>
      </c>
      <c r="J52" s="1322" t="str">
        <f>IFERROR(VLOOKUP(C49:C198,'R22 RELATÓRIO ACC'!B:P,15,FALSE),"NOT PUBLISHED")</f>
        <v>08/05/2026</v>
      </c>
      <c r="K52" s="1353" t="str">
        <f>IFERROR(VLOOKUP(B51:B204,'RELATÓRIO ACC'!B:F,5,FALSE),"NOT PUBLISHED")</f>
        <v>V3</v>
      </c>
      <c r="L52" s="1285" t="str">
        <f>IFERROR(VLOOKUP(B51:B204,'RELATÓRIO ACC'!B:P,15,FALSE),"NOT PUBLISHED")</f>
        <v>10/07/2026</v>
      </c>
      <c r="M52" s="1382" t="s">
        <v>470</v>
      </c>
      <c r="N52" s="1383">
        <v>46161.0</v>
      </c>
      <c r="O52" s="1397" t="s">
        <v>482</v>
      </c>
      <c r="P52" s="1401" t="s">
        <v>87</v>
      </c>
      <c r="Q52" s="1281" t="s">
        <v>477</v>
      </c>
      <c r="R52" s="1202" t="s">
        <v>476</v>
      </c>
      <c r="S52" s="1403">
        <v>0.73</v>
      </c>
      <c r="T52" s="1032" t="s">
        <v>477</v>
      </c>
      <c r="U52" s="1202" t="s">
        <v>476</v>
      </c>
      <c r="V52" s="1403">
        <v>0.92</v>
      </c>
      <c r="W52" s="758" t="s">
        <v>478</v>
      </c>
      <c r="X52" s="1327" t="s">
        <v>476</v>
      </c>
      <c r="Y52" s="1423" t="s">
        <v>478</v>
      </c>
      <c r="Z52" s="758" t="s">
        <v>478</v>
      </c>
      <c r="AA52" s="1327" t="s">
        <v>476</v>
      </c>
      <c r="AB52" s="1424" t="s">
        <v>478</v>
      </c>
      <c r="AC52" s="758" t="s">
        <v>478</v>
      </c>
      <c r="AD52" s="1327" t="s">
        <v>476</v>
      </c>
      <c r="AE52" s="1424" t="s">
        <v>478</v>
      </c>
      <c r="AF52" s="758" t="s">
        <v>478</v>
      </c>
      <c r="AG52" s="1327" t="s">
        <v>476</v>
      </c>
      <c r="AH52" s="1424" t="s">
        <v>478</v>
      </c>
      <c r="AI52" s="758" t="s">
        <v>478</v>
      </c>
      <c r="AJ52" s="1327" t="s">
        <v>476</v>
      </c>
      <c r="AK52" s="1424" t="s">
        <v>478</v>
      </c>
      <c r="AL52" s="758" t="s">
        <v>478</v>
      </c>
      <c r="AM52" s="1327" t="s">
        <v>476</v>
      </c>
      <c r="AN52" s="1409" t="s">
        <v>478</v>
      </c>
      <c r="AO52" s="758" t="s">
        <v>478</v>
      </c>
      <c r="AP52" s="1327" t="s">
        <v>476</v>
      </c>
      <c r="AQ52" s="1409" t="s">
        <v>478</v>
      </c>
      <c r="AR52" s="758" t="s">
        <v>478</v>
      </c>
      <c r="AS52" s="1327" t="s">
        <v>476</v>
      </c>
      <c r="AT52" s="1409" t="s">
        <v>478</v>
      </c>
      <c r="AU52" s="1048" t="s">
        <v>474</v>
      </c>
      <c r="AV52" s="1327" t="s">
        <v>476</v>
      </c>
      <c r="AW52" s="1388" t="s">
        <v>474</v>
      </c>
      <c r="AX52" s="758" t="s">
        <v>475</v>
      </c>
      <c r="AY52" s="759" t="s">
        <v>476</v>
      </c>
      <c r="AZ52" s="1409" t="s">
        <v>475</v>
      </c>
      <c r="BA52" s="1048" t="s">
        <v>477</v>
      </c>
      <c r="BB52" s="759" t="s">
        <v>476</v>
      </c>
      <c r="BC52" s="1385">
        <v>0.78</v>
      </c>
      <c r="BD52" s="1329" t="s">
        <v>478</v>
      </c>
      <c r="BE52" s="1088" t="s">
        <v>476</v>
      </c>
      <c r="BF52" s="1512" t="s">
        <v>478</v>
      </c>
      <c r="BG52" s="755" t="s">
        <v>475</v>
      </c>
      <c r="BH52" s="1088" t="s">
        <v>476</v>
      </c>
      <c r="BI52" s="1399" t="s">
        <v>475</v>
      </c>
      <c r="BJ52" s="755" t="s">
        <v>474</v>
      </c>
      <c r="BK52" s="1088" t="s">
        <v>476</v>
      </c>
      <c r="BL52" s="1399" t="s">
        <v>474</v>
      </c>
      <c r="BM52" s="1034" t="s">
        <v>474</v>
      </c>
      <c r="BN52" s="1088" t="s">
        <v>476</v>
      </c>
      <c r="BO52" s="1398" t="s">
        <v>474</v>
      </c>
      <c r="BP52" s="1034" t="s">
        <v>474</v>
      </c>
      <c r="BQ52" s="1088" t="s">
        <v>476</v>
      </c>
      <c r="BR52" s="1398" t="s">
        <v>474</v>
      </c>
      <c r="BS52" s="1034" t="s">
        <v>474</v>
      </c>
      <c r="BT52" s="1088" t="s">
        <v>476</v>
      </c>
      <c r="BU52" s="1398" t="s">
        <v>474</v>
      </c>
      <c r="BV52" s="755" t="s">
        <v>477</v>
      </c>
      <c r="BW52" s="1088" t="s">
        <v>476</v>
      </c>
      <c r="BX52" s="1385">
        <v>0.69</v>
      </c>
      <c r="BY52" s="755" t="s">
        <v>477</v>
      </c>
      <c r="BZ52" s="1088" t="s">
        <v>476</v>
      </c>
      <c r="CA52" s="1385">
        <v>0.7</v>
      </c>
      <c r="CB52" s="755" t="s">
        <v>474</v>
      </c>
      <c r="CC52" s="1088" t="s">
        <v>476</v>
      </c>
      <c r="CD52" s="1399" t="s">
        <v>474</v>
      </c>
      <c r="CE52" s="755" t="s">
        <v>484</v>
      </c>
      <c r="CF52" s="1088"/>
      <c r="CG52" s="1359">
        <v>1.0</v>
      </c>
      <c r="CH52" s="1360" t="s">
        <v>485</v>
      </c>
      <c r="CI52" s="1390" t="s">
        <v>476</v>
      </c>
      <c r="CJ52" s="1359">
        <v>1.0</v>
      </c>
      <c r="CK52" s="1360" t="s">
        <v>485</v>
      </c>
      <c r="CL52" s="1390" t="s">
        <v>476</v>
      </c>
      <c r="CM52" s="1359">
        <v>1.0</v>
      </c>
      <c r="CN52" s="1360" t="s">
        <v>485</v>
      </c>
      <c r="CO52" s="1390" t="s">
        <v>476</v>
      </c>
      <c r="CP52" s="1359">
        <v>1.0</v>
      </c>
      <c r="CQ52" s="1360" t="s">
        <v>485</v>
      </c>
      <c r="CR52" s="1390" t="s">
        <v>476</v>
      </c>
      <c r="CS52" s="1359">
        <v>1.0</v>
      </c>
      <c r="CT52" s="1360" t="s">
        <v>485</v>
      </c>
      <c r="CU52" s="1390" t="s">
        <v>476</v>
      </c>
      <c r="CV52" s="1359">
        <v>1.0</v>
      </c>
      <c r="CW52" s="1360" t="s">
        <v>485</v>
      </c>
      <c r="CX52" s="1390" t="s">
        <v>476</v>
      </c>
      <c r="CY52" s="1359">
        <v>1.0</v>
      </c>
      <c r="CZ52" s="1360" t="s">
        <v>485</v>
      </c>
      <c r="DA52" s="1390" t="s">
        <v>476</v>
      </c>
      <c r="DB52" s="1359">
        <v>1.0</v>
      </c>
      <c r="DC52" s="1360" t="s">
        <v>485</v>
      </c>
      <c r="DD52" s="1390" t="s">
        <v>476</v>
      </c>
      <c r="DE52" s="1359">
        <v>1.0</v>
      </c>
      <c r="DF52" s="1360" t="s">
        <v>485</v>
      </c>
      <c r="DG52" s="1390" t="s">
        <v>476</v>
      </c>
      <c r="DH52" s="1359">
        <v>1.0</v>
      </c>
      <c r="DI52" s="1360" t="s">
        <v>485</v>
      </c>
      <c r="DJ52" s="1390" t="s">
        <v>476</v>
      </c>
      <c r="DK52" s="1359">
        <v>1.0</v>
      </c>
      <c r="DL52" s="1360" t="s">
        <v>485</v>
      </c>
      <c r="DM52" s="1390" t="s">
        <v>476</v>
      </c>
      <c r="DN52" s="1359">
        <v>1.0</v>
      </c>
      <c r="DO52" s="1360" t="s">
        <v>485</v>
      </c>
      <c r="DP52" s="1390" t="s">
        <v>476</v>
      </c>
      <c r="DQ52" s="1359">
        <v>1.0</v>
      </c>
      <c r="DR52" s="1360" t="s">
        <v>485</v>
      </c>
      <c r="DS52" s="1390" t="s">
        <v>476</v>
      </c>
      <c r="DT52" s="1359">
        <v>1.0</v>
      </c>
      <c r="DU52" s="1360" t="s">
        <v>485</v>
      </c>
      <c r="DV52" s="1390" t="s">
        <v>476</v>
      </c>
      <c r="DW52" s="1359">
        <v>1.0</v>
      </c>
      <c r="DX52" s="68"/>
      <c r="DY52" s="68"/>
      <c r="DZ52" s="68"/>
    </row>
    <row r="53" ht="15.0" hidden="1" customHeight="1">
      <c r="A53" s="1262">
        <v>81.0</v>
      </c>
      <c r="B53" s="1513" t="s">
        <v>261</v>
      </c>
      <c r="C53" s="1514"/>
      <c r="D53" s="1514"/>
      <c r="E53" s="1514"/>
      <c r="F53" s="1514"/>
      <c r="G53" s="1514"/>
      <c r="H53" s="1515"/>
      <c r="I53" s="1514"/>
      <c r="J53" s="1514"/>
      <c r="K53" s="1516"/>
      <c r="L53" s="1517"/>
      <c r="M53" s="1514"/>
      <c r="N53" s="1518"/>
      <c r="O53" s="1378"/>
      <c r="P53" s="1519"/>
      <c r="Q53" s="1520"/>
      <c r="R53" s="1521"/>
      <c r="S53" s="1522"/>
      <c r="T53" s="1523"/>
      <c r="U53" s="1521"/>
      <c r="V53" s="1522"/>
      <c r="W53" s="1524"/>
      <c r="X53" s="1119"/>
      <c r="Y53" s="1525"/>
      <c r="Z53" s="1119"/>
      <c r="AA53" s="1119"/>
      <c r="AB53" s="1526"/>
      <c r="AC53" s="1119"/>
      <c r="AD53" s="1119"/>
      <c r="AE53" s="1526"/>
      <c r="AF53" s="1119"/>
      <c r="AG53" s="1119"/>
      <c r="AH53" s="1526"/>
      <c r="AI53" s="1119"/>
      <c r="AJ53" s="1119"/>
      <c r="AK53" s="1119"/>
      <c r="AL53" s="1119"/>
      <c r="AM53" s="1119"/>
      <c r="AN53" s="1119"/>
      <c r="AO53" s="1119"/>
      <c r="AP53" s="1119"/>
      <c r="AQ53" s="1119"/>
      <c r="AR53" s="1119"/>
      <c r="AS53" s="1119"/>
      <c r="AT53" s="1119"/>
      <c r="AU53" s="1119"/>
      <c r="AV53" s="1119"/>
      <c r="AW53" s="1119"/>
      <c r="AX53" s="1119"/>
      <c r="AY53" s="1119"/>
      <c r="AZ53" s="1119"/>
      <c r="BA53" s="1119"/>
      <c r="BB53" s="1119"/>
      <c r="BC53" s="1119"/>
      <c r="BD53" s="1527"/>
      <c r="BE53" s="1527"/>
      <c r="BF53" s="1527"/>
      <c r="BG53" s="1527"/>
      <c r="BH53" s="1527"/>
      <c r="BI53" s="1527"/>
      <c r="BJ53" s="1527"/>
      <c r="BK53" s="1527"/>
      <c r="BL53" s="1527"/>
      <c r="BM53" s="1527"/>
      <c r="BN53" s="1527"/>
      <c r="BO53" s="1527"/>
      <c r="BP53" s="1527"/>
      <c r="BQ53" s="1527"/>
      <c r="BR53" s="1527"/>
      <c r="BS53" s="1527"/>
      <c r="BT53" s="1527"/>
      <c r="BU53" s="1527"/>
      <c r="BV53" s="1527"/>
      <c r="BW53" s="1527"/>
      <c r="BX53" s="1527"/>
      <c r="BY53" s="1527"/>
      <c r="BZ53" s="1527"/>
      <c r="CA53" s="1527"/>
      <c r="CB53" s="1527"/>
      <c r="CC53" s="1527"/>
      <c r="CD53" s="1527"/>
      <c r="CE53" s="1527"/>
      <c r="CF53" s="1527"/>
      <c r="CG53" s="1527"/>
      <c r="CH53" s="1527"/>
      <c r="CI53" s="1527"/>
      <c r="CJ53" s="1527"/>
      <c r="CK53" s="1527"/>
      <c r="CL53" s="1527"/>
      <c r="CM53" s="1527"/>
      <c r="CN53" s="1527"/>
      <c r="CO53" s="1527"/>
      <c r="CP53" s="1527"/>
      <c r="CQ53" s="1527"/>
      <c r="CR53" s="1527"/>
      <c r="CS53" s="1527"/>
      <c r="CT53" s="1527"/>
      <c r="CU53" s="1527"/>
      <c r="CV53" s="1527"/>
      <c r="CW53" s="1527"/>
      <c r="CX53" s="1527"/>
      <c r="CY53" s="1527"/>
      <c r="CZ53" s="1527"/>
      <c r="DA53" s="1527"/>
      <c r="DB53" s="1527"/>
      <c r="DC53" s="1527"/>
      <c r="DD53" s="1527"/>
      <c r="DE53" s="1527"/>
      <c r="DF53" s="1527"/>
      <c r="DG53" s="1527"/>
      <c r="DH53" s="1527"/>
      <c r="DI53" s="1527"/>
      <c r="DJ53" s="1527"/>
      <c r="DK53" s="1527"/>
      <c r="DL53" s="1527"/>
      <c r="DM53" s="1527"/>
      <c r="DN53" s="1527"/>
      <c r="DO53" s="1527"/>
      <c r="DP53" s="1527"/>
      <c r="DQ53" s="1527"/>
      <c r="DR53" s="1527"/>
      <c r="DS53" s="1527"/>
      <c r="DT53" s="1527"/>
      <c r="DU53" s="1527"/>
      <c r="DV53" s="1527"/>
      <c r="DW53" s="1527"/>
      <c r="DX53" s="215"/>
      <c r="DY53" s="215"/>
      <c r="DZ53" s="215"/>
    </row>
    <row r="54" ht="15.0" customHeight="1" outlineLevel="1">
      <c r="A54" s="1262">
        <v>73.0</v>
      </c>
      <c r="B54" s="1278" t="s">
        <v>243</v>
      </c>
      <c r="C54" s="1294" t="s">
        <v>244</v>
      </c>
      <c r="D54" s="1280" t="s">
        <v>245</v>
      </c>
      <c r="E54" s="1294" t="s">
        <v>246</v>
      </c>
      <c r="F54" s="1280">
        <v>1117.0</v>
      </c>
      <c r="G54" s="1295" t="s">
        <v>133</v>
      </c>
      <c r="H54" s="1283">
        <v>1128.0</v>
      </c>
      <c r="I54" s="1322" t="str">
        <f>IFERROR(VLOOKUP(C51:C200,'R22 RELATÓRIO ACC'!B:F,5,FALSE),"NOT PUBLISHED")</f>
        <v>V16</v>
      </c>
      <c r="J54" s="1322" t="str">
        <f>IFERROR(VLOOKUP(C51:C200,'R22 RELATÓRIO ACC'!B:P,15,FALSE),"NOT PUBLISHED")</f>
        <v>06/03/2026</v>
      </c>
      <c r="K54" s="1353" t="str">
        <f>IFERROR(VLOOKUP(B53:B206,'RELATÓRIO ACC'!B:F,5,FALSE),"NOT PUBLISHED")</f>
        <v>V5</v>
      </c>
      <c r="L54" s="1285" t="str">
        <f>IFERROR(VLOOKUP(B53:B206,'RELATÓRIO ACC'!B:P,15,FALSE),"NOT PUBLISHED")</f>
        <v>08/07/2026</v>
      </c>
      <c r="M54" s="1420" t="s">
        <v>494</v>
      </c>
      <c r="N54" s="1304">
        <v>45770.0</v>
      </c>
      <c r="O54" s="1528" t="s">
        <v>482</v>
      </c>
      <c r="P54" s="1421" t="s">
        <v>102</v>
      </c>
      <c r="Q54" s="1281" t="s">
        <v>477</v>
      </c>
      <c r="R54" s="1202" t="s">
        <v>476</v>
      </c>
      <c r="S54" s="1426">
        <v>0.5</v>
      </c>
      <c r="T54" s="1032" t="s">
        <v>484</v>
      </c>
      <c r="U54" s="1202" t="s">
        <v>476</v>
      </c>
      <c r="V54" s="1403">
        <v>1.0</v>
      </c>
      <c r="W54" s="1032" t="s">
        <v>484</v>
      </c>
      <c r="X54" s="1202" t="s">
        <v>476</v>
      </c>
      <c r="Y54" s="1405">
        <v>1.0</v>
      </c>
      <c r="Z54" s="1032" t="s">
        <v>485</v>
      </c>
      <c r="AA54" s="1202" t="s">
        <v>476</v>
      </c>
      <c r="AB54" s="1389">
        <v>1.0</v>
      </c>
      <c r="AC54" s="1032" t="s">
        <v>485</v>
      </c>
      <c r="AD54" s="1202" t="s">
        <v>476</v>
      </c>
      <c r="AE54" s="1389">
        <v>1.0</v>
      </c>
      <c r="AF54" s="1032" t="s">
        <v>485</v>
      </c>
      <c r="AG54" s="1202" t="s">
        <v>476</v>
      </c>
      <c r="AH54" s="1389">
        <v>1.0</v>
      </c>
      <c r="AI54" s="1032" t="s">
        <v>485</v>
      </c>
      <c r="AJ54" s="1202" t="s">
        <v>476</v>
      </c>
      <c r="AK54" s="1389">
        <v>1.0</v>
      </c>
      <c r="AL54" s="1032" t="s">
        <v>485</v>
      </c>
      <c r="AM54" s="1202" t="s">
        <v>476</v>
      </c>
      <c r="AN54" s="1389">
        <v>1.0</v>
      </c>
      <c r="AO54" s="1032" t="s">
        <v>485</v>
      </c>
      <c r="AP54" s="1202" t="s">
        <v>476</v>
      </c>
      <c r="AQ54" s="1389">
        <v>1.0</v>
      </c>
      <c r="AR54" s="1032" t="s">
        <v>485</v>
      </c>
      <c r="AS54" s="1202" t="s">
        <v>476</v>
      </c>
      <c r="AT54" s="1389">
        <v>1.0</v>
      </c>
      <c r="AU54" s="1032" t="s">
        <v>485</v>
      </c>
      <c r="AV54" s="1202" t="s">
        <v>476</v>
      </c>
      <c r="AW54" s="1389">
        <v>1.0</v>
      </c>
      <c r="AX54" s="1032" t="s">
        <v>485</v>
      </c>
      <c r="AY54" s="1202" t="s">
        <v>476</v>
      </c>
      <c r="AZ54" s="1389">
        <v>1.0</v>
      </c>
      <c r="BA54" s="1032" t="s">
        <v>485</v>
      </c>
      <c r="BB54" s="1202" t="s">
        <v>476</v>
      </c>
      <c r="BC54" s="1389">
        <v>1.0</v>
      </c>
      <c r="BD54" s="1360" t="s">
        <v>485</v>
      </c>
      <c r="BE54" s="1427" t="s">
        <v>476</v>
      </c>
      <c r="BF54" s="1359">
        <v>1.0</v>
      </c>
      <c r="BG54" s="1360" t="s">
        <v>485</v>
      </c>
      <c r="BH54" s="1427" t="s">
        <v>476</v>
      </c>
      <c r="BI54" s="1359">
        <v>1.0</v>
      </c>
      <c r="BJ54" s="1360" t="s">
        <v>485</v>
      </c>
      <c r="BK54" s="1427" t="s">
        <v>476</v>
      </c>
      <c r="BL54" s="1359">
        <v>1.0</v>
      </c>
      <c r="BM54" s="1360" t="s">
        <v>485</v>
      </c>
      <c r="BN54" s="1427" t="s">
        <v>476</v>
      </c>
      <c r="BO54" s="1359">
        <v>1.0</v>
      </c>
      <c r="BP54" s="1360" t="s">
        <v>485</v>
      </c>
      <c r="BQ54" s="1427" t="s">
        <v>476</v>
      </c>
      <c r="BR54" s="1359">
        <v>1.0</v>
      </c>
      <c r="BS54" s="1360" t="s">
        <v>485</v>
      </c>
      <c r="BT54" s="1427" t="s">
        <v>476</v>
      </c>
      <c r="BU54" s="1359">
        <v>1.0</v>
      </c>
      <c r="BV54" s="1360" t="s">
        <v>485</v>
      </c>
      <c r="BW54" s="1427" t="s">
        <v>476</v>
      </c>
      <c r="BX54" s="1359">
        <v>1.0</v>
      </c>
      <c r="BY54" s="1360" t="s">
        <v>485</v>
      </c>
      <c r="BZ54" s="1427" t="s">
        <v>476</v>
      </c>
      <c r="CA54" s="1359">
        <v>1.0</v>
      </c>
      <c r="CB54" s="1360" t="s">
        <v>485</v>
      </c>
      <c r="CC54" s="1427" t="s">
        <v>476</v>
      </c>
      <c r="CD54" s="1359">
        <v>1.0</v>
      </c>
      <c r="CE54" s="1360" t="s">
        <v>485</v>
      </c>
      <c r="CF54" s="1427" t="s">
        <v>476</v>
      </c>
      <c r="CG54" s="1359">
        <v>1.0</v>
      </c>
      <c r="CH54" s="1360" t="s">
        <v>485</v>
      </c>
      <c r="CI54" s="1390" t="s">
        <v>476</v>
      </c>
      <c r="CJ54" s="1359">
        <v>1.0</v>
      </c>
      <c r="CK54" s="1360" t="s">
        <v>485</v>
      </c>
      <c r="CL54" s="1390" t="s">
        <v>476</v>
      </c>
      <c r="CM54" s="1359">
        <v>1.0</v>
      </c>
      <c r="CN54" s="1360" t="s">
        <v>485</v>
      </c>
      <c r="CO54" s="1390" t="s">
        <v>476</v>
      </c>
      <c r="CP54" s="1359">
        <v>1.0</v>
      </c>
      <c r="CQ54" s="1360" t="s">
        <v>485</v>
      </c>
      <c r="CR54" s="1390" t="s">
        <v>476</v>
      </c>
      <c r="CS54" s="1359">
        <v>1.0</v>
      </c>
      <c r="CT54" s="1360" t="s">
        <v>485</v>
      </c>
      <c r="CU54" s="1390" t="s">
        <v>476</v>
      </c>
      <c r="CV54" s="1359">
        <v>1.0</v>
      </c>
      <c r="CW54" s="1360" t="s">
        <v>485</v>
      </c>
      <c r="CX54" s="1390" t="s">
        <v>476</v>
      </c>
      <c r="CY54" s="1359">
        <v>1.0</v>
      </c>
      <c r="CZ54" s="1360" t="s">
        <v>485</v>
      </c>
      <c r="DA54" s="1390" t="s">
        <v>476</v>
      </c>
      <c r="DB54" s="1359">
        <v>1.0</v>
      </c>
      <c r="DC54" s="1360" t="s">
        <v>485</v>
      </c>
      <c r="DD54" s="1390" t="s">
        <v>476</v>
      </c>
      <c r="DE54" s="1359">
        <v>1.0</v>
      </c>
      <c r="DF54" s="1360" t="s">
        <v>485</v>
      </c>
      <c r="DG54" s="1390" t="s">
        <v>476</v>
      </c>
      <c r="DH54" s="1359">
        <v>1.0</v>
      </c>
      <c r="DI54" s="1360" t="s">
        <v>485</v>
      </c>
      <c r="DJ54" s="1390" t="s">
        <v>476</v>
      </c>
      <c r="DK54" s="1359">
        <v>1.0</v>
      </c>
      <c r="DL54" s="1360" t="s">
        <v>485</v>
      </c>
      <c r="DM54" s="1390" t="s">
        <v>476</v>
      </c>
      <c r="DN54" s="1359">
        <v>1.0</v>
      </c>
      <c r="DO54" s="1360" t="s">
        <v>485</v>
      </c>
      <c r="DP54" s="1390" t="s">
        <v>476</v>
      </c>
      <c r="DQ54" s="1359">
        <v>1.0</v>
      </c>
      <c r="DR54" s="1360" t="s">
        <v>485</v>
      </c>
      <c r="DS54" s="1390" t="s">
        <v>476</v>
      </c>
      <c r="DT54" s="1359">
        <v>1.0</v>
      </c>
      <c r="DU54" s="1360" t="s">
        <v>485</v>
      </c>
      <c r="DV54" s="1390" t="s">
        <v>476</v>
      </c>
      <c r="DW54" s="1359">
        <v>1.0</v>
      </c>
      <c r="DX54" s="135"/>
      <c r="DY54" s="135"/>
      <c r="DZ54" s="135"/>
    </row>
    <row r="55" ht="15.0" hidden="1" customHeight="1">
      <c r="A55" s="1262">
        <v>84.0</v>
      </c>
      <c r="B55" s="1529" t="s">
        <v>266</v>
      </c>
      <c r="C55" s="1530"/>
      <c r="D55" s="1530"/>
      <c r="E55" s="1530"/>
      <c r="F55" s="1530"/>
      <c r="G55" s="1530"/>
      <c r="H55" s="1531"/>
      <c r="I55" s="1530"/>
      <c r="J55" s="1530"/>
      <c r="K55" s="1532"/>
      <c r="L55" s="1533"/>
      <c r="M55" s="1530"/>
      <c r="N55" s="1534"/>
      <c r="O55" s="1378"/>
      <c r="P55" s="1535"/>
      <c r="Q55" s="1536"/>
      <c r="R55" s="1537"/>
      <c r="S55" s="1538"/>
      <c r="T55" s="1539"/>
      <c r="U55" s="1537"/>
      <c r="V55" s="1538"/>
      <c r="W55" s="1540"/>
      <c r="X55" s="1129"/>
      <c r="Y55" s="1541"/>
      <c r="Z55" s="1129"/>
      <c r="AA55" s="1129"/>
      <c r="AB55" s="1542"/>
      <c r="AC55" s="1129"/>
      <c r="AD55" s="1129"/>
      <c r="AE55" s="1542"/>
      <c r="AF55" s="1129"/>
      <c r="AG55" s="1129"/>
      <c r="AH55" s="1542"/>
      <c r="AI55" s="1129"/>
      <c r="AJ55" s="1129"/>
      <c r="AK55" s="1129"/>
      <c r="AL55" s="1129"/>
      <c r="AM55" s="1129"/>
      <c r="AN55" s="1129"/>
      <c r="AO55" s="1129"/>
      <c r="AP55" s="1129"/>
      <c r="AQ55" s="1129"/>
      <c r="AR55" s="1129"/>
      <c r="AS55" s="1129"/>
      <c r="AT55" s="1129"/>
      <c r="AU55" s="1129"/>
      <c r="AV55" s="1129"/>
      <c r="AW55" s="1129"/>
      <c r="AX55" s="1129"/>
      <c r="AY55" s="1129"/>
      <c r="AZ55" s="1129"/>
      <c r="BA55" s="1129"/>
      <c r="BB55" s="1129"/>
      <c r="BC55" s="1129"/>
      <c r="BD55" s="1543"/>
      <c r="BE55" s="1543"/>
      <c r="BF55" s="1543"/>
      <c r="BG55" s="1543"/>
      <c r="BH55" s="1543"/>
      <c r="BI55" s="1543"/>
      <c r="BJ55" s="1543"/>
      <c r="BK55" s="1543"/>
      <c r="BL55" s="1543"/>
      <c r="BM55" s="1543"/>
      <c r="BN55" s="1543"/>
      <c r="BO55" s="1543"/>
      <c r="BP55" s="1543"/>
      <c r="BQ55" s="1543"/>
      <c r="BR55" s="1543"/>
      <c r="BS55" s="1543"/>
      <c r="BT55" s="1543"/>
      <c r="BU55" s="1543"/>
      <c r="BV55" s="1543"/>
      <c r="BW55" s="1543"/>
      <c r="BX55" s="1543"/>
      <c r="BY55" s="1543"/>
      <c r="BZ55" s="1543"/>
      <c r="CA55" s="1543"/>
      <c r="CB55" s="1543"/>
      <c r="CC55" s="1543"/>
      <c r="CD55" s="1543"/>
      <c r="CE55" s="1543"/>
      <c r="CF55" s="1543"/>
      <c r="CG55" s="1543"/>
      <c r="CH55" s="1543"/>
      <c r="CI55" s="1543"/>
      <c r="CJ55" s="1543"/>
      <c r="CK55" s="1543"/>
      <c r="CL55" s="1543"/>
      <c r="CM55" s="1543"/>
      <c r="CN55" s="1543"/>
      <c r="CO55" s="1543"/>
      <c r="CP55" s="1543"/>
      <c r="CQ55" s="1543"/>
      <c r="CR55" s="1543"/>
      <c r="CS55" s="1543"/>
      <c r="CT55" s="1543"/>
      <c r="CU55" s="1543"/>
      <c r="CV55" s="1543"/>
      <c r="CW55" s="1543"/>
      <c r="CX55" s="1543"/>
      <c r="CY55" s="1543"/>
      <c r="CZ55" s="1543"/>
      <c r="DA55" s="1543"/>
      <c r="DB55" s="1543"/>
      <c r="DC55" s="1543"/>
      <c r="DD55" s="1543"/>
      <c r="DE55" s="1543"/>
      <c r="DF55" s="1543"/>
      <c r="DG55" s="1543"/>
      <c r="DH55" s="1543"/>
      <c r="DI55" s="1543"/>
      <c r="DJ55" s="1543"/>
      <c r="DK55" s="1543"/>
      <c r="DL55" s="1543"/>
      <c r="DM55" s="1543"/>
      <c r="DN55" s="1543"/>
      <c r="DO55" s="1543"/>
      <c r="DP55" s="1543"/>
      <c r="DQ55" s="1543"/>
      <c r="DR55" s="1543"/>
      <c r="DS55" s="1543"/>
      <c r="DT55" s="1543"/>
      <c r="DU55" s="1543"/>
      <c r="DV55" s="1543"/>
      <c r="DW55" s="1543"/>
      <c r="DX55" s="215"/>
      <c r="DY55" s="215"/>
      <c r="DZ55" s="215"/>
    </row>
    <row r="56" ht="15.0" customHeight="1" outlineLevel="1">
      <c r="A56" s="1262">
        <v>75.0</v>
      </c>
      <c r="B56" s="1278" t="s">
        <v>248</v>
      </c>
      <c r="C56" s="1294" t="s">
        <v>249</v>
      </c>
      <c r="D56" s="1280" t="s">
        <v>90</v>
      </c>
      <c r="E56" s="1294" t="s">
        <v>169</v>
      </c>
      <c r="F56" s="1280">
        <v>1112.0</v>
      </c>
      <c r="G56" s="1295" t="s">
        <v>170</v>
      </c>
      <c r="H56" s="1295">
        <v>1129.0</v>
      </c>
      <c r="I56" s="1322" t="str">
        <f>IFERROR(VLOOKUP(C53:C202,'R22 RELATÓRIO ACC'!B:F,5,FALSE),"NOT PUBLISHED")</f>
        <v>V27</v>
      </c>
      <c r="J56" s="1322" t="str">
        <f>IFERROR(VLOOKUP(C53:C202,'R22 RELATÓRIO ACC'!B:P,15,FALSE),"NOT PUBLISHED")</f>
        <v>08/04/2026</v>
      </c>
      <c r="K56" s="1353" t="str">
        <f>IFERROR(VLOOKUP(B55:B208,'RELATÓRIO ACC'!B:F,5,FALSE),"NOT PUBLISHED")</f>
        <v>V2</v>
      </c>
      <c r="L56" s="1285" t="str">
        <f>IFERROR(VLOOKUP(B55:B208,'RELATÓRIO ACC'!B:P,15,FALSE),"NOT PUBLISHED")</f>
        <v>23/06/2026</v>
      </c>
      <c r="M56" s="1420" t="s">
        <v>719</v>
      </c>
      <c r="N56" s="1304">
        <v>45889.0</v>
      </c>
      <c r="O56" s="1528" t="s">
        <v>482</v>
      </c>
      <c r="P56" s="1425" t="s">
        <v>129</v>
      </c>
      <c r="Q56" s="1281" t="s">
        <v>477</v>
      </c>
      <c r="R56" s="1202" t="s">
        <v>476</v>
      </c>
      <c r="S56" s="1422">
        <v>0.33</v>
      </c>
      <c r="T56" s="1032" t="s">
        <v>484</v>
      </c>
      <c r="U56" s="1202" t="s">
        <v>476</v>
      </c>
      <c r="V56" s="1403">
        <v>1.0</v>
      </c>
      <c r="W56" s="1032" t="s">
        <v>484</v>
      </c>
      <c r="X56" s="1202" t="s">
        <v>476</v>
      </c>
      <c r="Y56" s="1405">
        <v>1.0</v>
      </c>
      <c r="Z56" s="1032" t="s">
        <v>485</v>
      </c>
      <c r="AA56" s="1202" t="s">
        <v>476</v>
      </c>
      <c r="AB56" s="1389">
        <v>1.0</v>
      </c>
      <c r="AC56" s="1032" t="s">
        <v>485</v>
      </c>
      <c r="AD56" s="1202" t="s">
        <v>476</v>
      </c>
      <c r="AE56" s="1389">
        <v>1.0</v>
      </c>
      <c r="AF56" s="1032" t="s">
        <v>485</v>
      </c>
      <c r="AG56" s="1202" t="s">
        <v>476</v>
      </c>
      <c r="AH56" s="1389">
        <v>1.0</v>
      </c>
      <c r="AI56" s="1032" t="s">
        <v>485</v>
      </c>
      <c r="AJ56" s="1202" t="s">
        <v>476</v>
      </c>
      <c r="AK56" s="1389">
        <v>1.0</v>
      </c>
      <c r="AL56" s="1032" t="s">
        <v>485</v>
      </c>
      <c r="AM56" s="1202" t="s">
        <v>476</v>
      </c>
      <c r="AN56" s="1389">
        <v>1.0</v>
      </c>
      <c r="AO56" s="1032" t="s">
        <v>485</v>
      </c>
      <c r="AP56" s="1202" t="s">
        <v>476</v>
      </c>
      <c r="AQ56" s="1389">
        <v>1.0</v>
      </c>
      <c r="AR56" s="1032" t="s">
        <v>485</v>
      </c>
      <c r="AS56" s="1202" t="s">
        <v>476</v>
      </c>
      <c r="AT56" s="1389">
        <v>1.0</v>
      </c>
      <c r="AU56" s="1032" t="s">
        <v>485</v>
      </c>
      <c r="AV56" s="1202" t="s">
        <v>476</v>
      </c>
      <c r="AW56" s="1389">
        <v>1.0</v>
      </c>
      <c r="AX56" s="1032" t="s">
        <v>485</v>
      </c>
      <c r="AY56" s="1202" t="s">
        <v>476</v>
      </c>
      <c r="AZ56" s="1389">
        <v>1.0</v>
      </c>
      <c r="BA56" s="1032" t="s">
        <v>485</v>
      </c>
      <c r="BB56" s="1202" t="s">
        <v>476</v>
      </c>
      <c r="BC56" s="1389">
        <v>1.0</v>
      </c>
      <c r="BD56" s="1360" t="s">
        <v>485</v>
      </c>
      <c r="BE56" s="1427" t="s">
        <v>476</v>
      </c>
      <c r="BF56" s="1359">
        <v>1.0</v>
      </c>
      <c r="BG56" s="1360" t="s">
        <v>485</v>
      </c>
      <c r="BH56" s="1427" t="s">
        <v>476</v>
      </c>
      <c r="BI56" s="1359">
        <v>1.0</v>
      </c>
      <c r="BJ56" s="1360" t="s">
        <v>485</v>
      </c>
      <c r="BK56" s="1427" t="s">
        <v>476</v>
      </c>
      <c r="BL56" s="1359">
        <v>1.0</v>
      </c>
      <c r="BM56" s="1360" t="s">
        <v>485</v>
      </c>
      <c r="BN56" s="1427" t="s">
        <v>476</v>
      </c>
      <c r="BO56" s="1359">
        <v>1.0</v>
      </c>
      <c r="BP56" s="1360" t="s">
        <v>485</v>
      </c>
      <c r="BQ56" s="1427" t="s">
        <v>476</v>
      </c>
      <c r="BR56" s="1359">
        <v>1.0</v>
      </c>
      <c r="BS56" s="1360" t="s">
        <v>485</v>
      </c>
      <c r="BT56" s="1427" t="s">
        <v>476</v>
      </c>
      <c r="BU56" s="1359">
        <v>1.0</v>
      </c>
      <c r="BV56" s="1360" t="s">
        <v>485</v>
      </c>
      <c r="BW56" s="1427" t="s">
        <v>476</v>
      </c>
      <c r="BX56" s="1359">
        <v>1.0</v>
      </c>
      <c r="BY56" s="1360" t="s">
        <v>485</v>
      </c>
      <c r="BZ56" s="1427" t="s">
        <v>476</v>
      </c>
      <c r="CA56" s="1359">
        <v>1.0</v>
      </c>
      <c r="CB56" s="1360" t="s">
        <v>485</v>
      </c>
      <c r="CC56" s="1427" t="s">
        <v>476</v>
      </c>
      <c r="CD56" s="1359">
        <v>1.0</v>
      </c>
      <c r="CE56" s="1360" t="s">
        <v>485</v>
      </c>
      <c r="CF56" s="1427" t="s">
        <v>476</v>
      </c>
      <c r="CG56" s="1359">
        <v>1.0</v>
      </c>
      <c r="CH56" s="1360" t="s">
        <v>485</v>
      </c>
      <c r="CI56" s="1427" t="s">
        <v>476</v>
      </c>
      <c r="CJ56" s="1359">
        <v>1.0</v>
      </c>
      <c r="CK56" s="1360" t="s">
        <v>485</v>
      </c>
      <c r="CL56" s="1427" t="s">
        <v>476</v>
      </c>
      <c r="CM56" s="1359">
        <v>1.0</v>
      </c>
      <c r="CN56" s="1360" t="s">
        <v>485</v>
      </c>
      <c r="CO56" s="1427" t="s">
        <v>476</v>
      </c>
      <c r="CP56" s="1359">
        <v>1.0</v>
      </c>
      <c r="CQ56" s="1360" t="s">
        <v>485</v>
      </c>
      <c r="CR56" s="1427" t="s">
        <v>476</v>
      </c>
      <c r="CS56" s="1359">
        <v>1.0</v>
      </c>
      <c r="CT56" s="1360" t="s">
        <v>485</v>
      </c>
      <c r="CU56" s="1427" t="s">
        <v>476</v>
      </c>
      <c r="CV56" s="1359">
        <v>1.0</v>
      </c>
      <c r="CW56" s="1360" t="s">
        <v>485</v>
      </c>
      <c r="CX56" s="1427" t="s">
        <v>476</v>
      </c>
      <c r="CY56" s="1359">
        <v>1.0</v>
      </c>
      <c r="CZ56" s="1360" t="s">
        <v>485</v>
      </c>
      <c r="DA56" s="1427" t="s">
        <v>476</v>
      </c>
      <c r="DB56" s="1359">
        <v>1.0</v>
      </c>
      <c r="DC56" s="1360" t="s">
        <v>485</v>
      </c>
      <c r="DD56" s="1427" t="s">
        <v>476</v>
      </c>
      <c r="DE56" s="1359">
        <v>1.0</v>
      </c>
      <c r="DF56" s="1360" t="s">
        <v>485</v>
      </c>
      <c r="DG56" s="1427" t="s">
        <v>476</v>
      </c>
      <c r="DH56" s="1359">
        <v>1.0</v>
      </c>
      <c r="DI56" s="1360" t="s">
        <v>485</v>
      </c>
      <c r="DJ56" s="1427" t="s">
        <v>476</v>
      </c>
      <c r="DK56" s="1359">
        <v>1.0</v>
      </c>
      <c r="DL56" s="1360" t="s">
        <v>485</v>
      </c>
      <c r="DM56" s="1427" t="s">
        <v>476</v>
      </c>
      <c r="DN56" s="1359">
        <v>1.0</v>
      </c>
      <c r="DO56" s="1360" t="s">
        <v>485</v>
      </c>
      <c r="DP56" s="1427" t="s">
        <v>476</v>
      </c>
      <c r="DQ56" s="1359">
        <v>1.0</v>
      </c>
      <c r="DR56" s="1360" t="s">
        <v>485</v>
      </c>
      <c r="DS56" s="1427" t="s">
        <v>476</v>
      </c>
      <c r="DT56" s="1359">
        <v>1.0</v>
      </c>
      <c r="DU56" s="1360" t="s">
        <v>485</v>
      </c>
      <c r="DV56" s="1427" t="s">
        <v>476</v>
      </c>
      <c r="DW56" s="1359">
        <v>1.0</v>
      </c>
      <c r="DX56" s="68"/>
      <c r="DY56" s="68"/>
      <c r="DZ56" s="68"/>
    </row>
    <row r="57" ht="15.0" hidden="1" customHeight="1">
      <c r="A57" s="1262">
        <v>86.0</v>
      </c>
      <c r="B57" s="1544" t="s">
        <v>270</v>
      </c>
      <c r="C57" s="1545"/>
      <c r="D57" s="1545"/>
      <c r="E57" s="1545"/>
      <c r="F57" s="1545"/>
      <c r="G57" s="1545"/>
      <c r="H57" s="1546"/>
      <c r="I57" s="1545"/>
      <c r="J57" s="1545"/>
      <c r="K57" s="1547"/>
      <c r="L57" s="1548"/>
      <c r="M57" s="1545"/>
      <c r="N57" s="1549"/>
      <c r="O57" s="1394"/>
      <c r="P57" s="1550"/>
      <c r="Q57" s="1551"/>
      <c r="R57" s="1552"/>
      <c r="S57" s="1553"/>
      <c r="T57" s="1554"/>
      <c r="U57" s="1552"/>
      <c r="V57" s="1553"/>
      <c r="W57" s="1555"/>
      <c r="X57" s="1556"/>
      <c r="Y57" s="1557"/>
      <c r="Z57" s="1556"/>
      <c r="AA57" s="1556"/>
      <c r="AB57" s="1558"/>
      <c r="AC57" s="1556"/>
      <c r="AD57" s="1556"/>
      <c r="AE57" s="1558"/>
      <c r="AF57" s="1556"/>
      <c r="AG57" s="1556"/>
      <c r="AH57" s="1558"/>
      <c r="AI57" s="1556"/>
      <c r="AJ57" s="1556"/>
      <c r="AK57" s="1556"/>
      <c r="AL57" s="1556"/>
      <c r="AM57" s="1556"/>
      <c r="AN57" s="1556"/>
      <c r="AO57" s="1556"/>
      <c r="AP57" s="1556"/>
      <c r="AQ57" s="1556"/>
      <c r="AR57" s="1556"/>
      <c r="AS57" s="1556"/>
      <c r="AT57" s="1556"/>
      <c r="AU57" s="1556"/>
      <c r="AV57" s="1556"/>
      <c r="AW57" s="1556"/>
      <c r="AX57" s="1556"/>
      <c r="AY57" s="1556"/>
      <c r="AZ57" s="1556"/>
      <c r="BA57" s="1556"/>
      <c r="BB57" s="1556"/>
      <c r="BC57" s="1556"/>
      <c r="BD57" s="1559"/>
      <c r="BE57" s="1559"/>
      <c r="BF57" s="1559"/>
      <c r="BG57" s="1559"/>
      <c r="BH57" s="1559"/>
      <c r="BI57" s="1559"/>
      <c r="BJ57" s="1559"/>
      <c r="BK57" s="1559"/>
      <c r="BL57" s="1559"/>
      <c r="BM57" s="1559"/>
      <c r="BN57" s="1559"/>
      <c r="BO57" s="1559"/>
      <c r="BP57" s="1559"/>
      <c r="BQ57" s="1559"/>
      <c r="BR57" s="1559"/>
      <c r="BS57" s="1559"/>
      <c r="BT57" s="1559"/>
      <c r="BU57" s="1559"/>
      <c r="BV57" s="1559"/>
      <c r="BW57" s="1559"/>
      <c r="BX57" s="1559"/>
      <c r="BY57" s="1559"/>
      <c r="BZ57" s="1559"/>
      <c r="CA57" s="1559"/>
      <c r="CB57" s="1559"/>
      <c r="CC57" s="1559"/>
      <c r="CD57" s="1559"/>
      <c r="CE57" s="1559"/>
      <c r="CF57" s="1559"/>
      <c r="CG57" s="1559"/>
      <c r="CH57" s="1559"/>
      <c r="CI57" s="1559"/>
      <c r="CJ57" s="1559"/>
      <c r="CK57" s="1559"/>
      <c r="CL57" s="1559"/>
      <c r="CM57" s="1559"/>
      <c r="CN57" s="1559"/>
      <c r="CO57" s="1559"/>
      <c r="CP57" s="1559"/>
      <c r="CQ57" s="1559"/>
      <c r="CR57" s="1559"/>
      <c r="CS57" s="1559"/>
      <c r="CT57" s="1559"/>
      <c r="CU57" s="1559"/>
      <c r="CV57" s="1559"/>
      <c r="CW57" s="1559"/>
      <c r="CX57" s="1559"/>
      <c r="CY57" s="1559"/>
      <c r="CZ57" s="1559"/>
      <c r="DA57" s="1559"/>
      <c r="DB57" s="1559"/>
      <c r="DC57" s="1559"/>
      <c r="DD57" s="1559"/>
      <c r="DE57" s="1559"/>
      <c r="DF57" s="1559"/>
      <c r="DG57" s="1559"/>
      <c r="DH57" s="1559"/>
      <c r="DI57" s="1559"/>
      <c r="DJ57" s="1559"/>
      <c r="DK57" s="1559"/>
      <c r="DL57" s="1559"/>
      <c r="DM57" s="1559"/>
      <c r="DN57" s="1559"/>
      <c r="DO57" s="1559"/>
      <c r="DP57" s="1559"/>
      <c r="DQ57" s="1559"/>
      <c r="DR57" s="1559"/>
      <c r="DS57" s="1559"/>
      <c r="DT57" s="1559"/>
      <c r="DU57" s="1559"/>
      <c r="DV57" s="1559"/>
      <c r="DW57" s="1559"/>
      <c r="DX57" s="215"/>
      <c r="DY57" s="215"/>
      <c r="DZ57" s="215"/>
    </row>
    <row r="58" ht="15.0" customHeight="1" outlineLevel="1">
      <c r="A58" s="1262">
        <v>77.0</v>
      </c>
      <c r="B58" s="1278" t="s">
        <v>252</v>
      </c>
      <c r="C58" s="1294" t="s">
        <v>253</v>
      </c>
      <c r="D58" s="1280" t="s">
        <v>90</v>
      </c>
      <c r="E58" s="1294" t="s">
        <v>169</v>
      </c>
      <c r="F58" s="1280">
        <v>1112.0</v>
      </c>
      <c r="G58" s="1295" t="s">
        <v>169</v>
      </c>
      <c r="H58" s="1283">
        <v>1112.0</v>
      </c>
      <c r="I58" s="1322" t="str">
        <f>IFERROR(VLOOKUP(C55:C204,'R22 RELATÓRIO ACC'!B:F,5,FALSE),"NOT PUBLISHED")</f>
        <v>V14</v>
      </c>
      <c r="J58" s="1322" t="str">
        <f>IFERROR(VLOOKUP(C55:C204,'R22 RELATÓRIO ACC'!B:P,15,FALSE),"NOT PUBLISHED")</f>
        <v>03/03/2026</v>
      </c>
      <c r="K58" s="1353" t="str">
        <f>IFERROR(VLOOKUP(B57:B210,'RELATÓRIO ACC'!B:F,5,FALSE),"NOT PUBLISHED")</f>
        <v>V4</v>
      </c>
      <c r="L58" s="1285" t="str">
        <f>IFERROR(VLOOKUP(B57:B210,'RELATÓRIO ACC'!B:P,15,FALSE),"NOT PUBLISHED")</f>
        <v>13/07/2026</v>
      </c>
      <c r="M58" s="1205" t="s">
        <v>490</v>
      </c>
      <c r="N58" s="1309">
        <v>45915.0</v>
      </c>
      <c r="O58" s="1560" t="s">
        <v>482</v>
      </c>
      <c r="P58" s="1425" t="s">
        <v>129</v>
      </c>
      <c r="Q58" s="1281" t="s">
        <v>477</v>
      </c>
      <c r="R58" s="1327" t="s">
        <v>476</v>
      </c>
      <c r="S58" s="1426">
        <v>0.55</v>
      </c>
      <c r="T58" s="1032" t="s">
        <v>477</v>
      </c>
      <c r="U58" s="1561" t="s">
        <v>476</v>
      </c>
      <c r="V58" s="1403">
        <v>0.84</v>
      </c>
      <c r="W58" s="1032" t="s">
        <v>477</v>
      </c>
      <c r="X58" s="1327" t="s">
        <v>476</v>
      </c>
      <c r="Y58" s="1405">
        <v>0.95</v>
      </c>
      <c r="Z58" s="1562" t="s">
        <v>484</v>
      </c>
      <c r="AA58" s="1327" t="s">
        <v>476</v>
      </c>
      <c r="AB58" s="1389">
        <v>1.0</v>
      </c>
      <c r="AC58" s="1281" t="s">
        <v>485</v>
      </c>
      <c r="AD58" s="1327" t="s">
        <v>476</v>
      </c>
      <c r="AE58" s="1412">
        <v>1.0</v>
      </c>
      <c r="AF58" s="1281" t="s">
        <v>485</v>
      </c>
      <c r="AG58" s="1327" t="s">
        <v>476</v>
      </c>
      <c r="AH58" s="1389">
        <v>1.0</v>
      </c>
      <c r="AI58" s="1281" t="s">
        <v>485</v>
      </c>
      <c r="AJ58" s="1327" t="s">
        <v>476</v>
      </c>
      <c r="AK58" s="1389">
        <v>1.0</v>
      </c>
      <c r="AL58" s="1281" t="s">
        <v>485</v>
      </c>
      <c r="AM58" s="1327" t="s">
        <v>476</v>
      </c>
      <c r="AN58" s="1389">
        <v>1.0</v>
      </c>
      <c r="AO58" s="1281" t="s">
        <v>485</v>
      </c>
      <c r="AP58" s="1327" t="s">
        <v>476</v>
      </c>
      <c r="AQ58" s="1389">
        <v>1.0</v>
      </c>
      <c r="AR58" s="1281" t="s">
        <v>485</v>
      </c>
      <c r="AS58" s="1327" t="s">
        <v>476</v>
      </c>
      <c r="AT58" s="1389">
        <v>1.0</v>
      </c>
      <c r="AU58" s="1281" t="s">
        <v>485</v>
      </c>
      <c r="AV58" s="1327" t="s">
        <v>476</v>
      </c>
      <c r="AW58" s="1389">
        <v>1.0</v>
      </c>
      <c r="AX58" s="1281" t="s">
        <v>485</v>
      </c>
      <c r="AY58" s="1327" t="s">
        <v>476</v>
      </c>
      <c r="AZ58" s="1389">
        <v>1.0</v>
      </c>
      <c r="BA58" s="1281" t="s">
        <v>485</v>
      </c>
      <c r="BB58" s="1327" t="s">
        <v>476</v>
      </c>
      <c r="BC58" s="1389">
        <v>1.0</v>
      </c>
      <c r="BD58" s="1410" t="s">
        <v>485</v>
      </c>
      <c r="BE58" s="1390" t="s">
        <v>476</v>
      </c>
      <c r="BF58" s="1359">
        <v>1.0</v>
      </c>
      <c r="BG58" s="1410" t="s">
        <v>485</v>
      </c>
      <c r="BH58" s="1390" t="s">
        <v>476</v>
      </c>
      <c r="BI58" s="1359">
        <v>1.0</v>
      </c>
      <c r="BJ58" s="1410" t="s">
        <v>485</v>
      </c>
      <c r="BK58" s="1390" t="s">
        <v>476</v>
      </c>
      <c r="BL58" s="1359">
        <v>1.0</v>
      </c>
      <c r="BM58" s="1410" t="s">
        <v>485</v>
      </c>
      <c r="BN58" s="1390" t="s">
        <v>476</v>
      </c>
      <c r="BO58" s="1359">
        <v>1.0</v>
      </c>
      <c r="BP58" s="1410" t="s">
        <v>485</v>
      </c>
      <c r="BQ58" s="1390" t="s">
        <v>476</v>
      </c>
      <c r="BR58" s="1359">
        <v>1.0</v>
      </c>
      <c r="BS58" s="1410" t="s">
        <v>485</v>
      </c>
      <c r="BT58" s="1390" t="s">
        <v>476</v>
      </c>
      <c r="BU58" s="1359">
        <v>1.0</v>
      </c>
      <c r="BV58" s="1410" t="s">
        <v>485</v>
      </c>
      <c r="BW58" s="1390" t="s">
        <v>476</v>
      </c>
      <c r="BX58" s="1359">
        <v>1.0</v>
      </c>
      <c r="BY58" s="1410" t="s">
        <v>485</v>
      </c>
      <c r="BZ58" s="1390" t="s">
        <v>476</v>
      </c>
      <c r="CA58" s="1359">
        <v>1.0</v>
      </c>
      <c r="CB58" s="1410" t="s">
        <v>485</v>
      </c>
      <c r="CC58" s="1390" t="s">
        <v>476</v>
      </c>
      <c r="CD58" s="1359">
        <v>1.0</v>
      </c>
      <c r="CE58" s="1410" t="s">
        <v>485</v>
      </c>
      <c r="CF58" s="1390" t="s">
        <v>476</v>
      </c>
      <c r="CG58" s="1359">
        <v>1.0</v>
      </c>
      <c r="CH58" s="1417" t="s">
        <v>485</v>
      </c>
      <c r="CI58" s="1418" t="s">
        <v>476</v>
      </c>
      <c r="CJ58" s="1419">
        <v>1.0</v>
      </c>
      <c r="CK58" s="1417" t="s">
        <v>485</v>
      </c>
      <c r="CL58" s="1418" t="s">
        <v>476</v>
      </c>
      <c r="CM58" s="1419">
        <v>1.0</v>
      </c>
      <c r="CN58" s="1417" t="s">
        <v>485</v>
      </c>
      <c r="CO58" s="1418" t="s">
        <v>476</v>
      </c>
      <c r="CP58" s="1419">
        <v>1.0</v>
      </c>
      <c r="CQ58" s="1417" t="s">
        <v>485</v>
      </c>
      <c r="CR58" s="1418" t="s">
        <v>476</v>
      </c>
      <c r="CS58" s="1419">
        <v>1.0</v>
      </c>
      <c r="CT58" s="1417" t="s">
        <v>485</v>
      </c>
      <c r="CU58" s="1418" t="s">
        <v>476</v>
      </c>
      <c r="CV58" s="1419">
        <v>1.0</v>
      </c>
      <c r="CW58" s="1417" t="s">
        <v>485</v>
      </c>
      <c r="CX58" s="1418" t="s">
        <v>476</v>
      </c>
      <c r="CY58" s="1419">
        <v>1.0</v>
      </c>
      <c r="CZ58" s="1417" t="s">
        <v>485</v>
      </c>
      <c r="DA58" s="1418" t="s">
        <v>476</v>
      </c>
      <c r="DB58" s="1419">
        <v>1.0</v>
      </c>
      <c r="DC58" s="1417" t="s">
        <v>485</v>
      </c>
      <c r="DD58" s="1418" t="s">
        <v>476</v>
      </c>
      <c r="DE58" s="1419">
        <v>1.0</v>
      </c>
      <c r="DF58" s="1417" t="s">
        <v>485</v>
      </c>
      <c r="DG58" s="1418" t="s">
        <v>476</v>
      </c>
      <c r="DH58" s="1419">
        <v>1.0</v>
      </c>
      <c r="DI58" s="1417" t="s">
        <v>485</v>
      </c>
      <c r="DJ58" s="1418" t="s">
        <v>476</v>
      </c>
      <c r="DK58" s="1419">
        <v>1.0</v>
      </c>
      <c r="DL58" s="1417" t="s">
        <v>485</v>
      </c>
      <c r="DM58" s="1418" t="s">
        <v>476</v>
      </c>
      <c r="DN58" s="1419">
        <v>1.0</v>
      </c>
      <c r="DO58" s="1417" t="s">
        <v>485</v>
      </c>
      <c r="DP58" s="1418" t="s">
        <v>476</v>
      </c>
      <c r="DQ58" s="1419">
        <v>1.0</v>
      </c>
      <c r="DR58" s="1417" t="s">
        <v>485</v>
      </c>
      <c r="DS58" s="1418" t="s">
        <v>476</v>
      </c>
      <c r="DT58" s="1419">
        <v>1.0</v>
      </c>
      <c r="DU58" s="1417" t="s">
        <v>485</v>
      </c>
      <c r="DV58" s="1418" t="s">
        <v>476</v>
      </c>
      <c r="DW58" s="1419">
        <v>1.0</v>
      </c>
      <c r="DX58" s="135"/>
      <c r="DY58" s="135"/>
      <c r="DZ58" s="135"/>
    </row>
    <row r="59" ht="15.0" customHeight="1" outlineLevel="1">
      <c r="A59" s="1262">
        <v>78.0</v>
      </c>
      <c r="B59" s="1278" t="s">
        <v>254</v>
      </c>
      <c r="C59" s="1294" t="s">
        <v>255</v>
      </c>
      <c r="D59" s="1280" t="s">
        <v>90</v>
      </c>
      <c r="E59" s="1294" t="s">
        <v>256</v>
      </c>
      <c r="F59" s="1280">
        <v>1118.0</v>
      </c>
      <c r="G59" s="1295" t="s">
        <v>256</v>
      </c>
      <c r="H59" s="1295">
        <v>1118.0</v>
      </c>
      <c r="I59" s="1322" t="str">
        <f>IFERROR(VLOOKUP(C56:C205,'R22 RELATÓRIO ACC'!B:F,5,FALSE),"NOT PUBLISHED")</f>
        <v>V46</v>
      </c>
      <c r="J59" s="1322" t="str">
        <f>IFERROR(VLOOKUP(C56:C205,'R22 RELATÓRIO ACC'!B:P,15,FALSE),"NOT PUBLISHED")</f>
        <v>24/04/2026</v>
      </c>
      <c r="K59" s="1353" t="str">
        <f>IFERROR(VLOOKUP(B58:B211,'RELATÓRIO ACC'!B:F,5,FALSE),"NOT PUBLISHED")</f>
        <v>V2</v>
      </c>
      <c r="L59" s="1285" t="str">
        <f>IFERROR(VLOOKUP(B58:B211,'RELATÓRIO ACC'!B:P,15,FALSE),"NOT PUBLISHED")</f>
        <v>15/06/2026</v>
      </c>
      <c r="M59" s="1420" t="s">
        <v>857</v>
      </c>
      <c r="N59" s="1309" t="s">
        <v>858</v>
      </c>
      <c r="O59" s="1560" t="s">
        <v>482</v>
      </c>
      <c r="P59" s="1563" t="s">
        <v>129</v>
      </c>
      <c r="Q59" s="1281" t="s">
        <v>477</v>
      </c>
      <c r="R59" s="1202" t="s">
        <v>476</v>
      </c>
      <c r="S59" s="1426">
        <v>0.57</v>
      </c>
      <c r="T59" s="1564" t="s">
        <v>477</v>
      </c>
      <c r="U59" s="1202" t="s">
        <v>476</v>
      </c>
      <c r="V59" s="1565">
        <v>0.99</v>
      </c>
      <c r="W59" s="1566" t="s">
        <v>478</v>
      </c>
      <c r="X59" s="1327" t="s">
        <v>476</v>
      </c>
      <c r="Y59" s="1567" t="s">
        <v>478</v>
      </c>
      <c r="Z59" s="1032" t="s">
        <v>484</v>
      </c>
      <c r="AA59" s="1327" t="s">
        <v>476</v>
      </c>
      <c r="AB59" s="1568">
        <v>1.0</v>
      </c>
      <c r="AC59" s="1032" t="s">
        <v>485</v>
      </c>
      <c r="AD59" s="1327" t="s">
        <v>476</v>
      </c>
      <c r="AE59" s="1568">
        <v>1.0</v>
      </c>
      <c r="AF59" s="1032" t="s">
        <v>485</v>
      </c>
      <c r="AG59" s="1327" t="s">
        <v>476</v>
      </c>
      <c r="AH59" s="1568">
        <v>1.0</v>
      </c>
      <c r="AI59" s="1032" t="s">
        <v>485</v>
      </c>
      <c r="AJ59" s="1327" t="s">
        <v>476</v>
      </c>
      <c r="AK59" s="1568">
        <v>1.0</v>
      </c>
      <c r="AL59" s="1032" t="s">
        <v>485</v>
      </c>
      <c r="AM59" s="1327" t="s">
        <v>476</v>
      </c>
      <c r="AN59" s="1568">
        <v>1.0</v>
      </c>
      <c r="AO59" s="1032" t="s">
        <v>485</v>
      </c>
      <c r="AP59" s="1327" t="s">
        <v>476</v>
      </c>
      <c r="AQ59" s="1568">
        <v>1.0</v>
      </c>
      <c r="AR59" s="1032" t="s">
        <v>485</v>
      </c>
      <c r="AS59" s="1327" t="s">
        <v>476</v>
      </c>
      <c r="AT59" s="1568">
        <v>1.0</v>
      </c>
      <c r="AU59" s="1032" t="s">
        <v>485</v>
      </c>
      <c r="AV59" s="1327" t="s">
        <v>476</v>
      </c>
      <c r="AW59" s="1568">
        <v>1.0</v>
      </c>
      <c r="AX59" s="1032" t="s">
        <v>485</v>
      </c>
      <c r="AY59" s="1327" t="s">
        <v>476</v>
      </c>
      <c r="AZ59" s="1568">
        <v>1.0</v>
      </c>
      <c r="BA59" s="1032" t="s">
        <v>485</v>
      </c>
      <c r="BB59" s="1327" t="s">
        <v>476</v>
      </c>
      <c r="BC59" s="1568">
        <v>1.0</v>
      </c>
      <c r="BD59" s="1360" t="s">
        <v>485</v>
      </c>
      <c r="BE59" s="1390" t="s">
        <v>476</v>
      </c>
      <c r="BF59" s="1569">
        <v>1.0</v>
      </c>
      <c r="BG59" s="1360" t="s">
        <v>485</v>
      </c>
      <c r="BH59" s="1390" t="s">
        <v>476</v>
      </c>
      <c r="BI59" s="1569">
        <v>1.0</v>
      </c>
      <c r="BJ59" s="1360" t="s">
        <v>485</v>
      </c>
      <c r="BK59" s="1390" t="s">
        <v>476</v>
      </c>
      <c r="BL59" s="1569">
        <v>1.0</v>
      </c>
      <c r="BM59" s="1360" t="s">
        <v>485</v>
      </c>
      <c r="BN59" s="1390" t="s">
        <v>476</v>
      </c>
      <c r="BO59" s="1569">
        <v>1.0</v>
      </c>
      <c r="BP59" s="1360" t="s">
        <v>485</v>
      </c>
      <c r="BQ59" s="1390" t="s">
        <v>476</v>
      </c>
      <c r="BR59" s="1569">
        <v>1.0</v>
      </c>
      <c r="BS59" s="1360" t="s">
        <v>485</v>
      </c>
      <c r="BT59" s="1390" t="s">
        <v>476</v>
      </c>
      <c r="BU59" s="1569">
        <v>1.0</v>
      </c>
      <c r="BV59" s="1360" t="s">
        <v>485</v>
      </c>
      <c r="BW59" s="1390" t="s">
        <v>476</v>
      </c>
      <c r="BX59" s="1569">
        <v>1.0</v>
      </c>
      <c r="BY59" s="1360" t="s">
        <v>485</v>
      </c>
      <c r="BZ59" s="1390" t="s">
        <v>476</v>
      </c>
      <c r="CA59" s="1569">
        <v>1.0</v>
      </c>
      <c r="CB59" s="1360" t="s">
        <v>485</v>
      </c>
      <c r="CC59" s="1390" t="s">
        <v>476</v>
      </c>
      <c r="CD59" s="1569">
        <v>1.0</v>
      </c>
      <c r="CE59" s="1360" t="s">
        <v>485</v>
      </c>
      <c r="CF59" s="1390" t="s">
        <v>476</v>
      </c>
      <c r="CG59" s="1569">
        <v>1.0</v>
      </c>
      <c r="CH59" s="1417" t="s">
        <v>485</v>
      </c>
      <c r="CI59" s="1418" t="s">
        <v>476</v>
      </c>
      <c r="CJ59" s="1419">
        <v>1.0</v>
      </c>
      <c r="CK59" s="1417" t="s">
        <v>485</v>
      </c>
      <c r="CL59" s="1418" t="s">
        <v>476</v>
      </c>
      <c r="CM59" s="1419">
        <v>1.0</v>
      </c>
      <c r="CN59" s="1417" t="s">
        <v>485</v>
      </c>
      <c r="CO59" s="1418" t="s">
        <v>476</v>
      </c>
      <c r="CP59" s="1419">
        <v>1.0</v>
      </c>
      <c r="CQ59" s="1417" t="s">
        <v>485</v>
      </c>
      <c r="CR59" s="1418" t="s">
        <v>476</v>
      </c>
      <c r="CS59" s="1419">
        <v>1.0</v>
      </c>
      <c r="CT59" s="1417" t="s">
        <v>485</v>
      </c>
      <c r="CU59" s="1418" t="s">
        <v>476</v>
      </c>
      <c r="CV59" s="1419">
        <v>1.0</v>
      </c>
      <c r="CW59" s="1417" t="s">
        <v>485</v>
      </c>
      <c r="CX59" s="1418" t="s">
        <v>476</v>
      </c>
      <c r="CY59" s="1419">
        <v>1.0</v>
      </c>
      <c r="CZ59" s="1417" t="s">
        <v>485</v>
      </c>
      <c r="DA59" s="1418" t="s">
        <v>476</v>
      </c>
      <c r="DB59" s="1419">
        <v>1.0</v>
      </c>
      <c r="DC59" s="1417" t="s">
        <v>485</v>
      </c>
      <c r="DD59" s="1418" t="s">
        <v>476</v>
      </c>
      <c r="DE59" s="1419">
        <v>1.0</v>
      </c>
      <c r="DF59" s="1417" t="s">
        <v>485</v>
      </c>
      <c r="DG59" s="1418" t="s">
        <v>476</v>
      </c>
      <c r="DH59" s="1419">
        <v>1.0</v>
      </c>
      <c r="DI59" s="1417" t="s">
        <v>485</v>
      </c>
      <c r="DJ59" s="1418" t="s">
        <v>476</v>
      </c>
      <c r="DK59" s="1419">
        <v>1.0</v>
      </c>
      <c r="DL59" s="1417" t="s">
        <v>485</v>
      </c>
      <c r="DM59" s="1418" t="s">
        <v>476</v>
      </c>
      <c r="DN59" s="1419">
        <v>1.0</v>
      </c>
      <c r="DO59" s="1417" t="s">
        <v>485</v>
      </c>
      <c r="DP59" s="1418" t="s">
        <v>476</v>
      </c>
      <c r="DQ59" s="1419">
        <v>1.0</v>
      </c>
      <c r="DR59" s="1417" t="s">
        <v>485</v>
      </c>
      <c r="DS59" s="1418" t="s">
        <v>476</v>
      </c>
      <c r="DT59" s="1419">
        <v>1.0</v>
      </c>
      <c r="DU59" s="1417" t="s">
        <v>485</v>
      </c>
      <c r="DV59" s="1418" t="s">
        <v>476</v>
      </c>
      <c r="DW59" s="1419">
        <v>1.0</v>
      </c>
      <c r="DX59" s="68"/>
      <c r="DY59" s="68"/>
      <c r="DZ59" s="68"/>
    </row>
    <row r="60" ht="15.0" customHeight="1" outlineLevel="1">
      <c r="A60" s="1262">
        <v>80.0</v>
      </c>
      <c r="B60" s="1278" t="s">
        <v>259</v>
      </c>
      <c r="C60" s="1279" t="s">
        <v>260</v>
      </c>
      <c r="D60" s="1280" t="s">
        <v>245</v>
      </c>
      <c r="E60" s="1294" t="s">
        <v>256</v>
      </c>
      <c r="F60" s="1280">
        <v>1118.0</v>
      </c>
      <c r="G60" s="1295" t="s">
        <v>256</v>
      </c>
      <c r="H60" s="1283">
        <v>1118.0</v>
      </c>
      <c r="I60" s="1322" t="str">
        <f>IFERROR(VLOOKUP(C57:C206,'R22 RELATÓRIO ACC'!B:F,5,FALSE),"NOT PUBLISHED")</f>
        <v>V28</v>
      </c>
      <c r="J60" s="1322" t="str">
        <f>IFERROR(VLOOKUP(C57:C206,'R22 RELATÓRIO ACC'!B:P,15,FALSE),"NOT PUBLISHED")</f>
        <v>26/02/2026</v>
      </c>
      <c r="K60" s="1353" t="str">
        <f>IFERROR(VLOOKUP(B59:B212,'RELATÓRIO ACC'!B:F,5,FALSE),"NOT PUBLISHED")</f>
        <v>V1</v>
      </c>
      <c r="L60" s="1285" t="str">
        <f>IFERROR(VLOOKUP(B59:B212,'RELATÓRIO ACC'!B:P,15,FALSE),"NOT PUBLISHED")</f>
        <v>19/05/2026</v>
      </c>
      <c r="M60" s="1420" t="s">
        <v>856</v>
      </c>
      <c r="N60" s="1304">
        <v>45860.0</v>
      </c>
      <c r="O60" s="1570" t="s">
        <v>482</v>
      </c>
      <c r="P60" s="1425" t="s">
        <v>129</v>
      </c>
      <c r="Q60" s="1281" t="s">
        <v>477</v>
      </c>
      <c r="R60" s="1202" t="s">
        <v>476</v>
      </c>
      <c r="S60" s="1426">
        <v>0.62</v>
      </c>
      <c r="T60" s="1032" t="s">
        <v>484</v>
      </c>
      <c r="U60" s="1202" t="s">
        <v>476</v>
      </c>
      <c r="V60" s="1403">
        <v>1.0</v>
      </c>
      <c r="W60" s="1032" t="s">
        <v>484</v>
      </c>
      <c r="X60" s="1202" t="s">
        <v>476</v>
      </c>
      <c r="Y60" s="1405">
        <v>1.0</v>
      </c>
      <c r="Z60" s="1032" t="s">
        <v>485</v>
      </c>
      <c r="AA60" s="1202" t="s">
        <v>476</v>
      </c>
      <c r="AB60" s="1389">
        <v>1.0</v>
      </c>
      <c r="AC60" s="1281" t="s">
        <v>485</v>
      </c>
      <c r="AD60" s="1202" t="s">
        <v>476</v>
      </c>
      <c r="AE60" s="1412">
        <v>1.0</v>
      </c>
      <c r="AF60" s="1281" t="s">
        <v>485</v>
      </c>
      <c r="AG60" s="1202" t="s">
        <v>476</v>
      </c>
      <c r="AH60" s="1389">
        <v>1.0</v>
      </c>
      <c r="AI60" s="1032" t="s">
        <v>485</v>
      </c>
      <c r="AJ60" s="1202" t="s">
        <v>476</v>
      </c>
      <c r="AK60" s="1389">
        <v>1.0</v>
      </c>
      <c r="AL60" s="1032" t="s">
        <v>485</v>
      </c>
      <c r="AM60" s="1202" t="s">
        <v>476</v>
      </c>
      <c r="AN60" s="1389">
        <v>1.0</v>
      </c>
      <c r="AO60" s="1032" t="s">
        <v>485</v>
      </c>
      <c r="AP60" s="1202" t="s">
        <v>476</v>
      </c>
      <c r="AQ60" s="1389">
        <v>1.0</v>
      </c>
      <c r="AR60" s="1032" t="s">
        <v>485</v>
      </c>
      <c r="AS60" s="1202" t="s">
        <v>476</v>
      </c>
      <c r="AT60" s="1389">
        <v>1.0</v>
      </c>
      <c r="AU60" s="1032" t="s">
        <v>485</v>
      </c>
      <c r="AV60" s="1202" t="s">
        <v>476</v>
      </c>
      <c r="AW60" s="1389">
        <v>1.0</v>
      </c>
      <c r="AX60" s="1032" t="s">
        <v>485</v>
      </c>
      <c r="AY60" s="1202" t="s">
        <v>476</v>
      </c>
      <c r="AZ60" s="1389">
        <v>1.0</v>
      </c>
      <c r="BA60" s="1032" t="s">
        <v>485</v>
      </c>
      <c r="BB60" s="1202" t="s">
        <v>476</v>
      </c>
      <c r="BC60" s="1389">
        <v>1.0</v>
      </c>
      <c r="BD60" s="1360" t="s">
        <v>485</v>
      </c>
      <c r="BE60" s="1427" t="s">
        <v>476</v>
      </c>
      <c r="BF60" s="1359">
        <v>1.0</v>
      </c>
      <c r="BG60" s="1360" t="s">
        <v>485</v>
      </c>
      <c r="BH60" s="1427" t="s">
        <v>476</v>
      </c>
      <c r="BI60" s="1359">
        <v>1.0</v>
      </c>
      <c r="BJ60" s="1360" t="s">
        <v>485</v>
      </c>
      <c r="BK60" s="1427" t="s">
        <v>476</v>
      </c>
      <c r="BL60" s="1359">
        <v>1.0</v>
      </c>
      <c r="BM60" s="1360" t="s">
        <v>485</v>
      </c>
      <c r="BN60" s="1427" t="s">
        <v>476</v>
      </c>
      <c r="BO60" s="1359">
        <v>1.0</v>
      </c>
      <c r="BP60" s="1360" t="s">
        <v>485</v>
      </c>
      <c r="BQ60" s="1427" t="s">
        <v>476</v>
      </c>
      <c r="BR60" s="1359">
        <v>1.0</v>
      </c>
      <c r="BS60" s="1360" t="s">
        <v>485</v>
      </c>
      <c r="BT60" s="1427" t="s">
        <v>476</v>
      </c>
      <c r="BU60" s="1359">
        <v>1.0</v>
      </c>
      <c r="BV60" s="1360" t="s">
        <v>485</v>
      </c>
      <c r="BW60" s="1427" t="s">
        <v>476</v>
      </c>
      <c r="BX60" s="1359">
        <v>1.0</v>
      </c>
      <c r="BY60" s="1360" t="s">
        <v>485</v>
      </c>
      <c r="BZ60" s="1427" t="s">
        <v>476</v>
      </c>
      <c r="CA60" s="1359">
        <v>1.0</v>
      </c>
      <c r="CB60" s="1360" t="s">
        <v>485</v>
      </c>
      <c r="CC60" s="1427" t="s">
        <v>476</v>
      </c>
      <c r="CD60" s="1359">
        <v>1.0</v>
      </c>
      <c r="CE60" s="1360" t="s">
        <v>485</v>
      </c>
      <c r="CF60" s="1427" t="s">
        <v>476</v>
      </c>
      <c r="CG60" s="1359">
        <v>1.0</v>
      </c>
      <c r="CH60" s="1417" t="s">
        <v>485</v>
      </c>
      <c r="CI60" s="1429" t="s">
        <v>476</v>
      </c>
      <c r="CJ60" s="1419">
        <v>1.0</v>
      </c>
      <c r="CK60" s="1417" t="s">
        <v>485</v>
      </c>
      <c r="CL60" s="1429" t="s">
        <v>476</v>
      </c>
      <c r="CM60" s="1419">
        <v>1.0</v>
      </c>
      <c r="CN60" s="1417" t="s">
        <v>485</v>
      </c>
      <c r="CO60" s="1429" t="s">
        <v>476</v>
      </c>
      <c r="CP60" s="1419">
        <v>1.0</v>
      </c>
      <c r="CQ60" s="1417" t="s">
        <v>485</v>
      </c>
      <c r="CR60" s="1429" t="s">
        <v>476</v>
      </c>
      <c r="CS60" s="1419">
        <v>1.0</v>
      </c>
      <c r="CT60" s="1417" t="s">
        <v>485</v>
      </c>
      <c r="CU60" s="1429" t="s">
        <v>476</v>
      </c>
      <c r="CV60" s="1419">
        <v>1.0</v>
      </c>
      <c r="CW60" s="1417" t="s">
        <v>485</v>
      </c>
      <c r="CX60" s="1429" t="s">
        <v>476</v>
      </c>
      <c r="CY60" s="1419">
        <v>1.0</v>
      </c>
      <c r="CZ60" s="1417" t="s">
        <v>485</v>
      </c>
      <c r="DA60" s="1429" t="s">
        <v>476</v>
      </c>
      <c r="DB60" s="1419">
        <v>1.0</v>
      </c>
      <c r="DC60" s="1417" t="s">
        <v>485</v>
      </c>
      <c r="DD60" s="1429" t="s">
        <v>476</v>
      </c>
      <c r="DE60" s="1419">
        <v>1.0</v>
      </c>
      <c r="DF60" s="1417" t="s">
        <v>485</v>
      </c>
      <c r="DG60" s="1429" t="s">
        <v>476</v>
      </c>
      <c r="DH60" s="1419">
        <v>1.0</v>
      </c>
      <c r="DI60" s="1417" t="s">
        <v>485</v>
      </c>
      <c r="DJ60" s="1429" t="s">
        <v>476</v>
      </c>
      <c r="DK60" s="1419">
        <v>1.0</v>
      </c>
      <c r="DL60" s="1417" t="s">
        <v>485</v>
      </c>
      <c r="DM60" s="1429" t="s">
        <v>476</v>
      </c>
      <c r="DN60" s="1419">
        <v>1.0</v>
      </c>
      <c r="DO60" s="1417" t="s">
        <v>485</v>
      </c>
      <c r="DP60" s="1429" t="s">
        <v>476</v>
      </c>
      <c r="DQ60" s="1419">
        <v>1.0</v>
      </c>
      <c r="DR60" s="1417" t="s">
        <v>485</v>
      </c>
      <c r="DS60" s="1429" t="s">
        <v>476</v>
      </c>
      <c r="DT60" s="1419">
        <v>1.0</v>
      </c>
      <c r="DU60" s="1417" t="s">
        <v>485</v>
      </c>
      <c r="DV60" s="1429" t="s">
        <v>476</v>
      </c>
      <c r="DW60" s="1419">
        <v>1.0</v>
      </c>
      <c r="DX60" s="135"/>
      <c r="DY60" s="135"/>
      <c r="DZ60" s="135"/>
    </row>
    <row r="61" ht="15.0" customHeight="1" outlineLevel="1">
      <c r="A61" s="1262">
        <v>83.0</v>
      </c>
      <c r="B61" s="1278" t="s">
        <v>264</v>
      </c>
      <c r="C61" s="1294" t="s">
        <v>265</v>
      </c>
      <c r="D61" s="1280" t="s">
        <v>127</v>
      </c>
      <c r="E61" s="1294" t="s">
        <v>256</v>
      </c>
      <c r="F61" s="1280">
        <v>1118.0</v>
      </c>
      <c r="G61" s="1295" t="s">
        <v>256</v>
      </c>
      <c r="H61" s="1283">
        <v>1118.0</v>
      </c>
      <c r="I61" s="1322" t="str">
        <f>IFERROR(VLOOKUP(C58:C207,'R22 RELATÓRIO ACC'!B:F,5,FALSE),"NOT PUBLISHED")</f>
        <v>V23</v>
      </c>
      <c r="J61" s="1322" t="str">
        <f>IFERROR(VLOOKUP(C58:C207,'R22 RELATÓRIO ACC'!B:P,15,FALSE),"NOT PUBLISHED")</f>
        <v>16/04/2026</v>
      </c>
      <c r="K61" s="1353" t="str">
        <f>IFERROR(VLOOKUP(B60:B213,'RELATÓRIO ACC'!B:F,5,FALSE),"NOT PUBLISHED")</f>
        <v>V1</v>
      </c>
      <c r="L61" s="1285" t="str">
        <f>IFERROR(VLOOKUP(B60:B213,'RELATÓRIO ACC'!B:P,15,FALSE),"NOT PUBLISHED")</f>
        <v>19/05/2026</v>
      </c>
      <c r="M61" s="1205" t="s">
        <v>719</v>
      </c>
      <c r="N61" s="1415">
        <v>45862.0</v>
      </c>
      <c r="O61" s="1528" t="s">
        <v>482</v>
      </c>
      <c r="P61" s="1425" t="s">
        <v>129</v>
      </c>
      <c r="Q61" s="1281" t="s">
        <v>477</v>
      </c>
      <c r="R61" s="1202" t="s">
        <v>476</v>
      </c>
      <c r="S61" s="1412">
        <v>0.82</v>
      </c>
      <c r="T61" s="1032" t="s">
        <v>484</v>
      </c>
      <c r="U61" s="1202" t="s">
        <v>476</v>
      </c>
      <c r="V61" s="1412">
        <v>1.0</v>
      </c>
      <c r="W61" s="1032" t="s">
        <v>484</v>
      </c>
      <c r="X61" s="1202" t="s">
        <v>476</v>
      </c>
      <c r="Y61" s="1412">
        <v>1.0</v>
      </c>
      <c r="Z61" s="1032" t="s">
        <v>485</v>
      </c>
      <c r="AA61" s="1202" t="s">
        <v>476</v>
      </c>
      <c r="AB61" s="1412">
        <v>1.0</v>
      </c>
      <c r="AC61" s="1032" t="s">
        <v>485</v>
      </c>
      <c r="AD61" s="1202" t="s">
        <v>476</v>
      </c>
      <c r="AE61" s="1412">
        <v>1.0</v>
      </c>
      <c r="AF61" s="1032" t="s">
        <v>485</v>
      </c>
      <c r="AG61" s="1202" t="s">
        <v>476</v>
      </c>
      <c r="AH61" s="1412">
        <v>1.0</v>
      </c>
      <c r="AI61" s="1032" t="s">
        <v>485</v>
      </c>
      <c r="AJ61" s="1202" t="s">
        <v>476</v>
      </c>
      <c r="AK61" s="1412">
        <v>1.0</v>
      </c>
      <c r="AL61" s="1032" t="s">
        <v>485</v>
      </c>
      <c r="AM61" s="1202" t="s">
        <v>476</v>
      </c>
      <c r="AN61" s="1412">
        <v>1.0</v>
      </c>
      <c r="AO61" s="1032" t="s">
        <v>485</v>
      </c>
      <c r="AP61" s="1202" t="s">
        <v>476</v>
      </c>
      <c r="AQ61" s="1412">
        <v>1.0</v>
      </c>
      <c r="AR61" s="1032" t="s">
        <v>485</v>
      </c>
      <c r="AS61" s="1202" t="s">
        <v>476</v>
      </c>
      <c r="AT61" s="1412">
        <v>1.0</v>
      </c>
      <c r="AU61" s="1032" t="s">
        <v>485</v>
      </c>
      <c r="AV61" s="1202" t="s">
        <v>476</v>
      </c>
      <c r="AW61" s="1412">
        <v>1.0</v>
      </c>
      <c r="AX61" s="1032" t="s">
        <v>485</v>
      </c>
      <c r="AY61" s="1202" t="s">
        <v>476</v>
      </c>
      <c r="AZ61" s="1412">
        <v>1.0</v>
      </c>
      <c r="BA61" s="1032" t="s">
        <v>485</v>
      </c>
      <c r="BB61" s="1202" t="s">
        <v>476</v>
      </c>
      <c r="BC61" s="1412">
        <v>1.0</v>
      </c>
      <c r="BD61" s="1360" t="s">
        <v>485</v>
      </c>
      <c r="BE61" s="1427" t="s">
        <v>476</v>
      </c>
      <c r="BF61" s="1416">
        <v>1.0</v>
      </c>
      <c r="BG61" s="1360" t="s">
        <v>485</v>
      </c>
      <c r="BH61" s="1427" t="s">
        <v>476</v>
      </c>
      <c r="BI61" s="1416">
        <v>1.0</v>
      </c>
      <c r="BJ61" s="1360" t="s">
        <v>485</v>
      </c>
      <c r="BK61" s="1427" t="s">
        <v>476</v>
      </c>
      <c r="BL61" s="1416">
        <v>1.0</v>
      </c>
      <c r="BM61" s="1360" t="s">
        <v>485</v>
      </c>
      <c r="BN61" s="1427" t="s">
        <v>476</v>
      </c>
      <c r="BO61" s="1416">
        <v>1.0</v>
      </c>
      <c r="BP61" s="1360" t="s">
        <v>485</v>
      </c>
      <c r="BQ61" s="1427" t="s">
        <v>476</v>
      </c>
      <c r="BR61" s="1416">
        <v>1.0</v>
      </c>
      <c r="BS61" s="1360" t="s">
        <v>485</v>
      </c>
      <c r="BT61" s="1427" t="s">
        <v>476</v>
      </c>
      <c r="BU61" s="1416">
        <v>1.0</v>
      </c>
      <c r="BV61" s="1360" t="s">
        <v>485</v>
      </c>
      <c r="BW61" s="1427" t="s">
        <v>476</v>
      </c>
      <c r="BX61" s="1416">
        <v>1.0</v>
      </c>
      <c r="BY61" s="1360" t="s">
        <v>485</v>
      </c>
      <c r="BZ61" s="1427" t="s">
        <v>476</v>
      </c>
      <c r="CA61" s="1416">
        <v>1.0</v>
      </c>
      <c r="CB61" s="1360" t="s">
        <v>485</v>
      </c>
      <c r="CC61" s="1427" t="s">
        <v>476</v>
      </c>
      <c r="CD61" s="1416">
        <v>1.0</v>
      </c>
      <c r="CE61" s="1360" t="s">
        <v>485</v>
      </c>
      <c r="CF61" s="1427" t="s">
        <v>476</v>
      </c>
      <c r="CG61" s="1416">
        <v>1.0</v>
      </c>
      <c r="CH61" s="1417" t="s">
        <v>485</v>
      </c>
      <c r="CI61" s="1418" t="s">
        <v>476</v>
      </c>
      <c r="CJ61" s="1419">
        <v>1.0</v>
      </c>
      <c r="CK61" s="1417" t="s">
        <v>485</v>
      </c>
      <c r="CL61" s="1418" t="s">
        <v>476</v>
      </c>
      <c r="CM61" s="1419">
        <v>1.0</v>
      </c>
      <c r="CN61" s="1417" t="s">
        <v>485</v>
      </c>
      <c r="CO61" s="1418" t="s">
        <v>476</v>
      </c>
      <c r="CP61" s="1419">
        <v>1.0</v>
      </c>
      <c r="CQ61" s="1417" t="s">
        <v>485</v>
      </c>
      <c r="CR61" s="1418" t="s">
        <v>476</v>
      </c>
      <c r="CS61" s="1419">
        <v>1.0</v>
      </c>
      <c r="CT61" s="1417" t="s">
        <v>485</v>
      </c>
      <c r="CU61" s="1418" t="s">
        <v>476</v>
      </c>
      <c r="CV61" s="1419">
        <v>1.0</v>
      </c>
      <c r="CW61" s="1417" t="s">
        <v>485</v>
      </c>
      <c r="CX61" s="1418" t="s">
        <v>476</v>
      </c>
      <c r="CY61" s="1419">
        <v>1.0</v>
      </c>
      <c r="CZ61" s="1417" t="s">
        <v>485</v>
      </c>
      <c r="DA61" s="1418" t="s">
        <v>476</v>
      </c>
      <c r="DB61" s="1419">
        <v>1.0</v>
      </c>
      <c r="DC61" s="1417" t="s">
        <v>485</v>
      </c>
      <c r="DD61" s="1418" t="s">
        <v>476</v>
      </c>
      <c r="DE61" s="1419">
        <v>1.0</v>
      </c>
      <c r="DF61" s="1417" t="s">
        <v>485</v>
      </c>
      <c r="DG61" s="1418" t="s">
        <v>476</v>
      </c>
      <c r="DH61" s="1419">
        <v>1.0</v>
      </c>
      <c r="DI61" s="1417" t="s">
        <v>485</v>
      </c>
      <c r="DJ61" s="1418" t="s">
        <v>476</v>
      </c>
      <c r="DK61" s="1419">
        <v>1.0</v>
      </c>
      <c r="DL61" s="1417" t="s">
        <v>485</v>
      </c>
      <c r="DM61" s="1418" t="s">
        <v>476</v>
      </c>
      <c r="DN61" s="1419">
        <v>1.0</v>
      </c>
      <c r="DO61" s="1417" t="s">
        <v>485</v>
      </c>
      <c r="DP61" s="1418" t="s">
        <v>476</v>
      </c>
      <c r="DQ61" s="1419">
        <v>1.0</v>
      </c>
      <c r="DR61" s="1417" t="s">
        <v>485</v>
      </c>
      <c r="DS61" s="1418" t="s">
        <v>476</v>
      </c>
      <c r="DT61" s="1419">
        <v>1.0</v>
      </c>
      <c r="DU61" s="1417" t="s">
        <v>485</v>
      </c>
      <c r="DV61" s="1418" t="s">
        <v>476</v>
      </c>
      <c r="DW61" s="1419">
        <v>1.0</v>
      </c>
      <c r="DX61" s="68"/>
      <c r="DY61" s="68"/>
      <c r="DZ61" s="68"/>
    </row>
    <row r="62" ht="15.0" customHeight="1" outlineLevel="1">
      <c r="A62" s="1262">
        <v>87.0</v>
      </c>
      <c r="B62" s="1278" t="s">
        <v>271</v>
      </c>
      <c r="C62" s="1294" t="s">
        <v>272</v>
      </c>
      <c r="D62" s="1280" t="s">
        <v>90</v>
      </c>
      <c r="E62" s="1294" t="s">
        <v>273</v>
      </c>
      <c r="F62" s="1280">
        <v>1119.0</v>
      </c>
      <c r="G62" s="1295" t="s">
        <v>133</v>
      </c>
      <c r="H62" s="1283">
        <v>0.0</v>
      </c>
      <c r="I62" s="1322" t="str">
        <f>IFERROR(VLOOKUP(C59:C208,'R22 RELATÓRIO ACC'!B:F,5,FALSE),"NOT PUBLISHED")</f>
        <v>V20</v>
      </c>
      <c r="J62" s="1322" t="str">
        <f>IFERROR(VLOOKUP(C59:C208,'R22 RELATÓRIO ACC'!B:P,15,FALSE),"NOT PUBLISHED")</f>
        <v>06/05/2026</v>
      </c>
      <c r="K62" s="1353" t="str">
        <f>IFERROR(VLOOKUP(B61:B214,'RELATÓRIO ACC'!B:F,5,FALSE),"NOT PUBLISHED")</f>
        <v>V4</v>
      </c>
      <c r="L62" s="1285" t="str">
        <f>IFERROR(VLOOKUP(B61:B214,'RELATÓRIO ACC'!B:P,15,FALSE),"NOT PUBLISHED")</f>
        <v>11/06/2026</v>
      </c>
      <c r="M62" s="1205" t="s">
        <v>480</v>
      </c>
      <c r="N62" s="1309" t="s">
        <v>859</v>
      </c>
      <c r="O62" s="1560" t="s">
        <v>482</v>
      </c>
      <c r="P62" s="1287"/>
      <c r="Q62" s="1281" t="s">
        <v>466</v>
      </c>
      <c r="R62" s="1280" t="s">
        <v>462</v>
      </c>
      <c r="S62" s="1306" t="s">
        <v>466</v>
      </c>
      <c r="T62" s="1032" t="s">
        <v>466</v>
      </c>
      <c r="U62" s="1031" t="s">
        <v>462</v>
      </c>
      <c r="V62" s="1306" t="s">
        <v>466</v>
      </c>
      <c r="W62" s="1032" t="s">
        <v>466</v>
      </c>
      <c r="X62" s="1031" t="s">
        <v>462</v>
      </c>
      <c r="Y62" s="1355" t="s">
        <v>466</v>
      </c>
      <c r="Z62" s="1032" t="s">
        <v>477</v>
      </c>
      <c r="AA62" s="1327" t="s">
        <v>476</v>
      </c>
      <c r="AB62" s="1571">
        <v>0.51</v>
      </c>
      <c r="AC62" s="758" t="s">
        <v>478</v>
      </c>
      <c r="AD62" s="1327" t="s">
        <v>476</v>
      </c>
      <c r="AE62" s="1424" t="s">
        <v>478</v>
      </c>
      <c r="AF62" s="758" t="s">
        <v>484</v>
      </c>
      <c r="AG62" s="1327" t="s">
        <v>476</v>
      </c>
      <c r="AH62" s="1389">
        <v>1.0</v>
      </c>
      <c r="AI62" s="1032" t="s">
        <v>485</v>
      </c>
      <c r="AJ62" s="1327" t="s">
        <v>476</v>
      </c>
      <c r="AK62" s="1389">
        <v>1.0</v>
      </c>
      <c r="AL62" s="1032" t="s">
        <v>485</v>
      </c>
      <c r="AM62" s="1327" t="s">
        <v>476</v>
      </c>
      <c r="AN62" s="1389">
        <v>1.0</v>
      </c>
      <c r="AO62" s="1032" t="s">
        <v>485</v>
      </c>
      <c r="AP62" s="1327" t="s">
        <v>476</v>
      </c>
      <c r="AQ62" s="1389">
        <v>1.0</v>
      </c>
      <c r="AR62" s="1032" t="s">
        <v>485</v>
      </c>
      <c r="AS62" s="1327" t="s">
        <v>476</v>
      </c>
      <c r="AT62" s="1389">
        <v>1.0</v>
      </c>
      <c r="AU62" s="1032" t="s">
        <v>485</v>
      </c>
      <c r="AV62" s="1327" t="s">
        <v>476</v>
      </c>
      <c r="AW62" s="1389">
        <v>1.0</v>
      </c>
      <c r="AX62" s="1032" t="s">
        <v>485</v>
      </c>
      <c r="AY62" s="1327" t="s">
        <v>476</v>
      </c>
      <c r="AZ62" s="1389">
        <v>1.0</v>
      </c>
      <c r="BA62" s="1032" t="s">
        <v>485</v>
      </c>
      <c r="BB62" s="1327" t="s">
        <v>476</v>
      </c>
      <c r="BC62" s="1389">
        <v>1.0</v>
      </c>
      <c r="BD62" s="1360" t="s">
        <v>485</v>
      </c>
      <c r="BE62" s="1390" t="s">
        <v>476</v>
      </c>
      <c r="BF62" s="1359">
        <v>1.0</v>
      </c>
      <c r="BG62" s="1360" t="s">
        <v>485</v>
      </c>
      <c r="BH62" s="1390" t="s">
        <v>476</v>
      </c>
      <c r="BI62" s="1359">
        <v>1.0</v>
      </c>
      <c r="BJ62" s="1360" t="s">
        <v>485</v>
      </c>
      <c r="BK62" s="1390" t="s">
        <v>476</v>
      </c>
      <c r="BL62" s="1359">
        <v>1.0</v>
      </c>
      <c r="BM62" s="1360" t="s">
        <v>485</v>
      </c>
      <c r="BN62" s="1390" t="s">
        <v>476</v>
      </c>
      <c r="BO62" s="1359">
        <v>1.0</v>
      </c>
      <c r="BP62" s="1360" t="s">
        <v>485</v>
      </c>
      <c r="BQ62" s="1390" t="s">
        <v>476</v>
      </c>
      <c r="BR62" s="1359">
        <v>1.0</v>
      </c>
      <c r="BS62" s="1360" t="s">
        <v>485</v>
      </c>
      <c r="BT62" s="1390" t="s">
        <v>476</v>
      </c>
      <c r="BU62" s="1359">
        <v>1.0</v>
      </c>
      <c r="BV62" s="1360" t="s">
        <v>485</v>
      </c>
      <c r="BW62" s="1390" t="s">
        <v>476</v>
      </c>
      <c r="BX62" s="1359">
        <v>1.0</v>
      </c>
      <c r="BY62" s="1360" t="s">
        <v>485</v>
      </c>
      <c r="BZ62" s="1390" t="s">
        <v>476</v>
      </c>
      <c r="CA62" s="1359">
        <v>1.0</v>
      </c>
      <c r="CB62" s="1360" t="s">
        <v>485</v>
      </c>
      <c r="CC62" s="1390" t="s">
        <v>476</v>
      </c>
      <c r="CD62" s="1359">
        <v>1.0</v>
      </c>
      <c r="CE62" s="1360" t="s">
        <v>485</v>
      </c>
      <c r="CF62" s="1390" t="s">
        <v>476</v>
      </c>
      <c r="CG62" s="1359">
        <v>1.0</v>
      </c>
      <c r="CH62" s="1417" t="s">
        <v>485</v>
      </c>
      <c r="CI62" s="1418" t="s">
        <v>476</v>
      </c>
      <c r="CJ62" s="1419">
        <v>1.0</v>
      </c>
      <c r="CK62" s="1417" t="s">
        <v>485</v>
      </c>
      <c r="CL62" s="1418" t="s">
        <v>476</v>
      </c>
      <c r="CM62" s="1419">
        <v>1.0</v>
      </c>
      <c r="CN62" s="1417" t="s">
        <v>485</v>
      </c>
      <c r="CO62" s="1418" t="s">
        <v>476</v>
      </c>
      <c r="CP62" s="1419">
        <v>1.0</v>
      </c>
      <c r="CQ62" s="1417" t="s">
        <v>485</v>
      </c>
      <c r="CR62" s="1418" t="s">
        <v>476</v>
      </c>
      <c r="CS62" s="1419">
        <v>1.0</v>
      </c>
      <c r="CT62" s="1417" t="s">
        <v>485</v>
      </c>
      <c r="CU62" s="1418" t="s">
        <v>476</v>
      </c>
      <c r="CV62" s="1419">
        <v>1.0</v>
      </c>
      <c r="CW62" s="1417" t="s">
        <v>485</v>
      </c>
      <c r="CX62" s="1418" t="s">
        <v>476</v>
      </c>
      <c r="CY62" s="1419">
        <v>1.0</v>
      </c>
      <c r="CZ62" s="1417" t="s">
        <v>485</v>
      </c>
      <c r="DA62" s="1418" t="s">
        <v>476</v>
      </c>
      <c r="DB62" s="1419">
        <v>1.0</v>
      </c>
      <c r="DC62" s="1417" t="s">
        <v>485</v>
      </c>
      <c r="DD62" s="1418" t="s">
        <v>476</v>
      </c>
      <c r="DE62" s="1419">
        <v>1.0</v>
      </c>
      <c r="DF62" s="1417" t="s">
        <v>485</v>
      </c>
      <c r="DG62" s="1418" t="s">
        <v>476</v>
      </c>
      <c r="DH62" s="1419">
        <v>1.0</v>
      </c>
      <c r="DI62" s="1417" t="s">
        <v>485</v>
      </c>
      <c r="DJ62" s="1418" t="s">
        <v>476</v>
      </c>
      <c r="DK62" s="1419">
        <v>1.0</v>
      </c>
      <c r="DL62" s="1417" t="s">
        <v>485</v>
      </c>
      <c r="DM62" s="1418" t="s">
        <v>476</v>
      </c>
      <c r="DN62" s="1419">
        <v>1.0</v>
      </c>
      <c r="DO62" s="1417" t="s">
        <v>485</v>
      </c>
      <c r="DP62" s="1418" t="s">
        <v>476</v>
      </c>
      <c r="DQ62" s="1419">
        <v>1.0</v>
      </c>
      <c r="DR62" s="1417" t="s">
        <v>485</v>
      </c>
      <c r="DS62" s="1418" t="s">
        <v>476</v>
      </c>
      <c r="DT62" s="1419">
        <v>1.0</v>
      </c>
      <c r="DU62" s="1417" t="s">
        <v>485</v>
      </c>
      <c r="DV62" s="1418" t="s">
        <v>476</v>
      </c>
      <c r="DW62" s="1419">
        <v>1.0</v>
      </c>
      <c r="DX62" s="135"/>
      <c r="DY62" s="135"/>
      <c r="DZ62" s="135"/>
    </row>
    <row r="63" ht="15.0" hidden="1" customHeight="1">
      <c r="A63" s="1262">
        <v>92.0</v>
      </c>
      <c r="B63" s="1572" t="s">
        <v>284</v>
      </c>
      <c r="C63" s="1573"/>
      <c r="D63" s="1573"/>
      <c r="E63" s="1573"/>
      <c r="F63" s="1573"/>
      <c r="G63" s="1573"/>
      <c r="H63" s="1574"/>
      <c r="I63" s="1573"/>
      <c r="J63" s="1573"/>
      <c r="K63" s="1575"/>
      <c r="L63" s="1576"/>
      <c r="M63" s="1573"/>
      <c r="N63" s="1573"/>
      <c r="O63" s="73"/>
      <c r="P63" s="1576"/>
      <c r="Q63" s="1577"/>
      <c r="R63" s="1578"/>
      <c r="S63" s="1579"/>
      <c r="T63" s="1580"/>
      <c r="U63" s="1578"/>
      <c r="V63" s="1579"/>
      <c r="W63" s="1581"/>
      <c r="X63" s="1148"/>
      <c r="Y63" s="1582"/>
      <c r="Z63" s="1148"/>
      <c r="AA63" s="1148"/>
      <c r="AB63" s="1583"/>
      <c r="AC63" s="1148"/>
      <c r="AD63" s="1148"/>
      <c r="AE63" s="1583"/>
      <c r="AF63" s="1148"/>
      <c r="AG63" s="1148"/>
      <c r="AH63" s="1583"/>
      <c r="AI63" s="1148"/>
      <c r="AJ63" s="1148"/>
      <c r="AK63" s="1148"/>
      <c r="AL63" s="1148"/>
      <c r="AM63" s="1148"/>
      <c r="AN63" s="1148"/>
      <c r="AO63" s="1148"/>
      <c r="AP63" s="1148"/>
      <c r="AQ63" s="1148"/>
      <c r="AR63" s="1148"/>
      <c r="AS63" s="1148"/>
      <c r="AT63" s="1148"/>
      <c r="AU63" s="1148"/>
      <c r="AV63" s="1148"/>
      <c r="AW63" s="1148"/>
      <c r="AX63" s="1148"/>
      <c r="AY63" s="1148"/>
      <c r="AZ63" s="1148"/>
      <c r="BA63" s="1148"/>
      <c r="BB63" s="1148"/>
      <c r="BC63" s="1148"/>
      <c r="BD63" s="1584"/>
      <c r="BE63" s="1584"/>
      <c r="BF63" s="1584"/>
      <c r="BG63" s="1584"/>
      <c r="BH63" s="1584"/>
      <c r="BI63" s="1584"/>
      <c r="BJ63" s="1584"/>
      <c r="BK63" s="1584"/>
      <c r="BL63" s="1584"/>
      <c r="BM63" s="1584"/>
      <c r="BN63" s="1584"/>
      <c r="BO63" s="1584"/>
      <c r="BP63" s="1584"/>
      <c r="BQ63" s="1584"/>
      <c r="BR63" s="1584"/>
      <c r="BS63" s="1584"/>
      <c r="BT63" s="1584"/>
      <c r="BU63" s="1584"/>
      <c r="BV63" s="1584"/>
      <c r="BW63" s="1584"/>
      <c r="BX63" s="1584"/>
      <c r="BY63" s="1584"/>
      <c r="BZ63" s="1584"/>
      <c r="CA63" s="1584"/>
      <c r="CB63" s="1584"/>
      <c r="CC63" s="1584"/>
      <c r="CD63" s="1584"/>
      <c r="CE63" s="1584"/>
      <c r="CF63" s="1584"/>
      <c r="CG63" s="1584"/>
      <c r="CH63" s="1584"/>
      <c r="CI63" s="1584"/>
      <c r="CJ63" s="1584"/>
      <c r="CK63" s="1584"/>
      <c r="CL63" s="1584"/>
      <c r="CM63" s="1584"/>
      <c r="CN63" s="1584"/>
      <c r="CO63" s="1584"/>
      <c r="CP63" s="1584"/>
      <c r="CQ63" s="1584"/>
      <c r="CR63" s="1584"/>
      <c r="CS63" s="1584"/>
      <c r="CT63" s="1584"/>
      <c r="CU63" s="1584"/>
      <c r="CV63" s="1584"/>
      <c r="CW63" s="1584"/>
      <c r="CX63" s="1584"/>
      <c r="CY63" s="1584"/>
      <c r="CZ63" s="1584"/>
      <c r="DA63" s="1584"/>
      <c r="DB63" s="1584"/>
      <c r="DC63" s="1584"/>
      <c r="DD63" s="1584"/>
      <c r="DE63" s="1584"/>
      <c r="DF63" s="1584"/>
      <c r="DG63" s="1584"/>
      <c r="DH63" s="1584"/>
      <c r="DI63" s="1584"/>
      <c r="DJ63" s="1584"/>
      <c r="DK63" s="1584"/>
      <c r="DL63" s="1584"/>
      <c r="DM63" s="1584"/>
      <c r="DN63" s="1584"/>
      <c r="DO63" s="1584"/>
      <c r="DP63" s="1584"/>
      <c r="DQ63" s="1584"/>
      <c r="DR63" s="1584"/>
      <c r="DS63" s="1584"/>
      <c r="DT63" s="1584"/>
      <c r="DU63" s="1584"/>
      <c r="DV63" s="1584"/>
      <c r="DW63" s="1584"/>
      <c r="DX63" s="186"/>
      <c r="DY63" s="186"/>
      <c r="DZ63" s="186"/>
    </row>
    <row r="64" ht="15.0" customHeight="1" outlineLevel="1">
      <c r="A64" s="1262">
        <v>88.0</v>
      </c>
      <c r="B64" s="1278" t="s">
        <v>274</v>
      </c>
      <c r="C64" s="1279" t="s">
        <v>275</v>
      </c>
      <c r="D64" s="1280" t="s">
        <v>90</v>
      </c>
      <c r="E64" s="1294" t="s">
        <v>273</v>
      </c>
      <c r="F64" s="1280">
        <v>1119.0</v>
      </c>
      <c r="G64" s="1295" t="s">
        <v>133</v>
      </c>
      <c r="H64" s="1283">
        <v>0.0</v>
      </c>
      <c r="I64" s="1322" t="str">
        <f>IFERROR(VLOOKUP(C61:C210,'R22 RELATÓRIO ACC'!B:F,5,FALSE),"NOT PUBLISHED")</f>
        <v>V18</v>
      </c>
      <c r="J64" s="1322" t="str">
        <f>IFERROR(VLOOKUP(C61:C210,'R22 RELATÓRIO ACC'!B:P,15,FALSE),"NOT PUBLISHED")</f>
        <v>08/04/2026</v>
      </c>
      <c r="K64" s="1353" t="str">
        <f>IFERROR(VLOOKUP(B63:B216,'RELATÓRIO ACC'!B:F,5,FALSE),"NOT PUBLISHED")</f>
        <v>V6</v>
      </c>
      <c r="L64" s="1285" t="str">
        <f>IFERROR(VLOOKUP(B63:B216,'RELATÓRIO ACC'!B:P,15,FALSE),"NOT PUBLISHED")</f>
        <v>24/06/2026</v>
      </c>
      <c r="M64" s="1420" t="s">
        <v>596</v>
      </c>
      <c r="N64" s="1415">
        <v>45895.0</v>
      </c>
      <c r="O64" s="1570" t="s">
        <v>482</v>
      </c>
      <c r="P64" s="1287"/>
      <c r="Q64" s="1281" t="s">
        <v>477</v>
      </c>
      <c r="R64" s="1202" t="s">
        <v>476</v>
      </c>
      <c r="S64" s="1408">
        <v>0.67</v>
      </c>
      <c r="T64" s="1032" t="s">
        <v>484</v>
      </c>
      <c r="U64" s="1202" t="s">
        <v>476</v>
      </c>
      <c r="V64" s="1412">
        <v>1.0</v>
      </c>
      <c r="W64" s="1288" t="s">
        <v>484</v>
      </c>
      <c r="X64" s="1202" t="s">
        <v>476</v>
      </c>
      <c r="Y64" s="1412">
        <v>1.0</v>
      </c>
      <c r="Z64" s="1032" t="s">
        <v>485</v>
      </c>
      <c r="AA64" s="1202" t="s">
        <v>476</v>
      </c>
      <c r="AB64" s="1412">
        <v>1.0</v>
      </c>
      <c r="AC64" s="1281" t="s">
        <v>485</v>
      </c>
      <c r="AD64" s="1202" t="s">
        <v>476</v>
      </c>
      <c r="AE64" s="1412">
        <v>1.0</v>
      </c>
      <c r="AF64" s="1281" t="s">
        <v>485</v>
      </c>
      <c r="AG64" s="1585" t="s">
        <v>476</v>
      </c>
      <c r="AH64" s="1412">
        <v>1.0</v>
      </c>
      <c r="AI64" s="1032" t="s">
        <v>485</v>
      </c>
      <c r="AJ64" s="1202" t="s">
        <v>476</v>
      </c>
      <c r="AK64" s="1412">
        <v>1.0</v>
      </c>
      <c r="AL64" s="1032" t="s">
        <v>485</v>
      </c>
      <c r="AM64" s="1202" t="s">
        <v>476</v>
      </c>
      <c r="AN64" s="1412">
        <v>1.0</v>
      </c>
      <c r="AO64" s="1032" t="s">
        <v>485</v>
      </c>
      <c r="AP64" s="1202" t="s">
        <v>476</v>
      </c>
      <c r="AQ64" s="1412">
        <v>1.0</v>
      </c>
      <c r="AR64" s="1032" t="s">
        <v>485</v>
      </c>
      <c r="AS64" s="1202" t="s">
        <v>476</v>
      </c>
      <c r="AT64" s="1412">
        <v>1.0</v>
      </c>
      <c r="AU64" s="1032" t="s">
        <v>485</v>
      </c>
      <c r="AV64" s="1202" t="s">
        <v>476</v>
      </c>
      <c r="AW64" s="1412">
        <v>1.0</v>
      </c>
      <c r="AX64" s="1032" t="s">
        <v>485</v>
      </c>
      <c r="AY64" s="1202" t="s">
        <v>476</v>
      </c>
      <c r="AZ64" s="1412">
        <v>1.0</v>
      </c>
      <c r="BA64" s="1032" t="s">
        <v>485</v>
      </c>
      <c r="BB64" s="1202" t="s">
        <v>476</v>
      </c>
      <c r="BC64" s="1412">
        <v>1.0</v>
      </c>
      <c r="BD64" s="1360" t="s">
        <v>485</v>
      </c>
      <c r="BE64" s="1427" t="s">
        <v>476</v>
      </c>
      <c r="BF64" s="1416">
        <v>1.0</v>
      </c>
      <c r="BG64" s="1360" t="s">
        <v>485</v>
      </c>
      <c r="BH64" s="1427" t="s">
        <v>476</v>
      </c>
      <c r="BI64" s="1416">
        <v>1.0</v>
      </c>
      <c r="BJ64" s="1360" t="s">
        <v>485</v>
      </c>
      <c r="BK64" s="1427" t="s">
        <v>476</v>
      </c>
      <c r="BL64" s="1416">
        <v>1.0</v>
      </c>
      <c r="BM64" s="1360" t="s">
        <v>485</v>
      </c>
      <c r="BN64" s="1427" t="s">
        <v>476</v>
      </c>
      <c r="BO64" s="1416">
        <v>1.0</v>
      </c>
      <c r="BP64" s="1360" t="s">
        <v>485</v>
      </c>
      <c r="BQ64" s="1427" t="s">
        <v>476</v>
      </c>
      <c r="BR64" s="1416">
        <v>1.0</v>
      </c>
      <c r="BS64" s="1360" t="s">
        <v>485</v>
      </c>
      <c r="BT64" s="1427" t="s">
        <v>476</v>
      </c>
      <c r="BU64" s="1416">
        <v>1.0</v>
      </c>
      <c r="BV64" s="1360" t="s">
        <v>485</v>
      </c>
      <c r="BW64" s="1427" t="s">
        <v>476</v>
      </c>
      <c r="BX64" s="1416">
        <v>1.0</v>
      </c>
      <c r="BY64" s="1360" t="s">
        <v>485</v>
      </c>
      <c r="BZ64" s="1427" t="s">
        <v>476</v>
      </c>
      <c r="CA64" s="1416">
        <v>1.0</v>
      </c>
      <c r="CB64" s="1360" t="s">
        <v>485</v>
      </c>
      <c r="CC64" s="1427" t="s">
        <v>476</v>
      </c>
      <c r="CD64" s="1416">
        <v>1.0</v>
      </c>
      <c r="CE64" s="1360" t="s">
        <v>485</v>
      </c>
      <c r="CF64" s="1427" t="s">
        <v>476</v>
      </c>
      <c r="CG64" s="1416">
        <v>1.0</v>
      </c>
      <c r="CH64" s="1417" t="s">
        <v>485</v>
      </c>
      <c r="CI64" s="1418" t="s">
        <v>476</v>
      </c>
      <c r="CJ64" s="1419">
        <v>1.0</v>
      </c>
      <c r="CK64" s="1417" t="s">
        <v>485</v>
      </c>
      <c r="CL64" s="1418" t="s">
        <v>476</v>
      </c>
      <c r="CM64" s="1419">
        <v>1.0</v>
      </c>
      <c r="CN64" s="1417" t="s">
        <v>485</v>
      </c>
      <c r="CO64" s="1418" t="s">
        <v>476</v>
      </c>
      <c r="CP64" s="1419">
        <v>1.0</v>
      </c>
      <c r="CQ64" s="1417" t="s">
        <v>485</v>
      </c>
      <c r="CR64" s="1418" t="s">
        <v>476</v>
      </c>
      <c r="CS64" s="1419">
        <v>1.0</v>
      </c>
      <c r="CT64" s="1417" t="s">
        <v>485</v>
      </c>
      <c r="CU64" s="1418" t="s">
        <v>476</v>
      </c>
      <c r="CV64" s="1419">
        <v>1.0</v>
      </c>
      <c r="CW64" s="1417" t="s">
        <v>485</v>
      </c>
      <c r="CX64" s="1418" t="s">
        <v>476</v>
      </c>
      <c r="CY64" s="1419">
        <v>1.0</v>
      </c>
      <c r="CZ64" s="1417" t="s">
        <v>485</v>
      </c>
      <c r="DA64" s="1418" t="s">
        <v>476</v>
      </c>
      <c r="DB64" s="1419">
        <v>1.0</v>
      </c>
      <c r="DC64" s="1417" t="s">
        <v>485</v>
      </c>
      <c r="DD64" s="1418" t="s">
        <v>476</v>
      </c>
      <c r="DE64" s="1419">
        <v>1.0</v>
      </c>
      <c r="DF64" s="1417" t="s">
        <v>485</v>
      </c>
      <c r="DG64" s="1418" t="s">
        <v>476</v>
      </c>
      <c r="DH64" s="1419">
        <v>1.0</v>
      </c>
      <c r="DI64" s="1417" t="s">
        <v>485</v>
      </c>
      <c r="DJ64" s="1418" t="s">
        <v>476</v>
      </c>
      <c r="DK64" s="1419">
        <v>1.0</v>
      </c>
      <c r="DL64" s="1417" t="s">
        <v>485</v>
      </c>
      <c r="DM64" s="1418" t="s">
        <v>476</v>
      </c>
      <c r="DN64" s="1419">
        <v>1.0</v>
      </c>
      <c r="DO64" s="1417" t="s">
        <v>485</v>
      </c>
      <c r="DP64" s="1418" t="s">
        <v>476</v>
      </c>
      <c r="DQ64" s="1419">
        <v>1.0</v>
      </c>
      <c r="DR64" s="1417" t="s">
        <v>485</v>
      </c>
      <c r="DS64" s="1418" t="s">
        <v>476</v>
      </c>
      <c r="DT64" s="1419">
        <v>1.0</v>
      </c>
      <c r="DU64" s="1417" t="s">
        <v>485</v>
      </c>
      <c r="DV64" s="1418" t="s">
        <v>476</v>
      </c>
      <c r="DW64" s="1419">
        <v>1.0</v>
      </c>
      <c r="DX64" s="135"/>
      <c r="DY64" s="135"/>
      <c r="DZ64" s="135"/>
    </row>
    <row r="65" ht="15.0" customHeight="1" outlineLevel="1">
      <c r="A65" s="1262">
        <v>89.0</v>
      </c>
      <c r="B65" s="1278" t="s">
        <v>276</v>
      </c>
      <c r="C65" s="1279" t="s">
        <v>277</v>
      </c>
      <c r="D65" s="1280" t="s">
        <v>90</v>
      </c>
      <c r="E65" s="1294" t="s">
        <v>273</v>
      </c>
      <c r="F65" s="1280">
        <v>1119.0</v>
      </c>
      <c r="G65" s="1295" t="s">
        <v>133</v>
      </c>
      <c r="H65" s="1283">
        <v>0.0</v>
      </c>
      <c r="I65" s="1322" t="str">
        <f>IFERROR(VLOOKUP(C62:C211,'R22 RELATÓRIO ACC'!B:F,5,FALSE),"NOT PUBLISHED")</f>
        <v>V18</v>
      </c>
      <c r="J65" s="1322" t="str">
        <f>IFERROR(VLOOKUP(C62:C211,'R22 RELATÓRIO ACC'!B:P,15,FALSE),"NOT PUBLISHED")</f>
        <v>30/04/2026</v>
      </c>
      <c r="K65" s="1353" t="str">
        <f>IFERROR(VLOOKUP(B64:B217,'RELATÓRIO ACC'!B:F,5,FALSE),"NOT PUBLISHED")</f>
        <v>V2</v>
      </c>
      <c r="L65" s="1285" t="str">
        <f>IFERROR(VLOOKUP(B64:B217,'RELATÓRIO ACC'!B:P,15,FALSE),"NOT PUBLISHED")</f>
        <v>20/05/2026</v>
      </c>
      <c r="M65" s="1205" t="s">
        <v>480</v>
      </c>
      <c r="N65" s="1206" t="s">
        <v>860</v>
      </c>
      <c r="O65" s="1586" t="s">
        <v>482</v>
      </c>
      <c r="P65" s="1287"/>
      <c r="Q65" s="1281" t="s">
        <v>466</v>
      </c>
      <c r="R65" s="1280" t="s">
        <v>462</v>
      </c>
      <c r="S65" s="1311" t="s">
        <v>466</v>
      </c>
      <c r="T65" s="1032" t="s">
        <v>466</v>
      </c>
      <c r="U65" s="1031" t="s">
        <v>462</v>
      </c>
      <c r="V65" s="1311" t="s">
        <v>466</v>
      </c>
      <c r="W65" s="1288" t="s">
        <v>466</v>
      </c>
      <c r="X65" s="1031" t="s">
        <v>462</v>
      </c>
      <c r="Y65" s="1311" t="s">
        <v>466</v>
      </c>
      <c r="Z65" s="1281" t="s">
        <v>477</v>
      </c>
      <c r="AA65" s="1327" t="s">
        <v>476</v>
      </c>
      <c r="AB65" s="1408">
        <v>0.58</v>
      </c>
      <c r="AC65" s="1328" t="s">
        <v>478</v>
      </c>
      <c r="AD65" s="1327" t="s">
        <v>476</v>
      </c>
      <c r="AE65" s="1587" t="s">
        <v>478</v>
      </c>
      <c r="AF65" s="1328" t="s">
        <v>477</v>
      </c>
      <c r="AG65" s="1588">
        <v>45946.0</v>
      </c>
      <c r="AH65" s="1412">
        <v>0.94</v>
      </c>
      <c r="AI65" s="758" t="s">
        <v>484</v>
      </c>
      <c r="AJ65" s="1327" t="s">
        <v>476</v>
      </c>
      <c r="AK65" s="1589">
        <v>1.0</v>
      </c>
      <c r="AL65" s="1032" t="s">
        <v>485</v>
      </c>
      <c r="AM65" s="1327" t="s">
        <v>476</v>
      </c>
      <c r="AN65" s="1589">
        <v>1.0</v>
      </c>
      <c r="AO65" s="1032" t="s">
        <v>485</v>
      </c>
      <c r="AP65" s="1327" t="s">
        <v>476</v>
      </c>
      <c r="AQ65" s="1589">
        <v>1.0</v>
      </c>
      <c r="AR65" s="1032" t="s">
        <v>485</v>
      </c>
      <c r="AS65" s="1327" t="s">
        <v>476</v>
      </c>
      <c r="AT65" s="1589">
        <v>1.0</v>
      </c>
      <c r="AU65" s="1032" t="s">
        <v>485</v>
      </c>
      <c r="AV65" s="1327" t="s">
        <v>476</v>
      </c>
      <c r="AW65" s="1589">
        <v>1.0</v>
      </c>
      <c r="AX65" s="1032" t="s">
        <v>485</v>
      </c>
      <c r="AY65" s="1327" t="s">
        <v>476</v>
      </c>
      <c r="AZ65" s="1589">
        <v>1.0</v>
      </c>
      <c r="BA65" s="1032" t="s">
        <v>485</v>
      </c>
      <c r="BB65" s="1327" t="s">
        <v>476</v>
      </c>
      <c r="BC65" s="1589">
        <v>1.0</v>
      </c>
      <c r="BD65" s="1360" t="s">
        <v>485</v>
      </c>
      <c r="BE65" s="1390" t="s">
        <v>476</v>
      </c>
      <c r="BF65" s="1590">
        <v>1.0</v>
      </c>
      <c r="BG65" s="1360" t="s">
        <v>485</v>
      </c>
      <c r="BH65" s="1390" t="s">
        <v>476</v>
      </c>
      <c r="BI65" s="1590">
        <v>1.0</v>
      </c>
      <c r="BJ65" s="1360" t="s">
        <v>485</v>
      </c>
      <c r="BK65" s="1390" t="s">
        <v>476</v>
      </c>
      <c r="BL65" s="1590">
        <v>1.0</v>
      </c>
      <c r="BM65" s="1360" t="s">
        <v>485</v>
      </c>
      <c r="BN65" s="1390" t="s">
        <v>476</v>
      </c>
      <c r="BO65" s="1590">
        <v>1.0</v>
      </c>
      <c r="BP65" s="1360" t="s">
        <v>485</v>
      </c>
      <c r="BQ65" s="1390" t="s">
        <v>476</v>
      </c>
      <c r="BR65" s="1590">
        <v>1.0</v>
      </c>
      <c r="BS65" s="1360" t="s">
        <v>485</v>
      </c>
      <c r="BT65" s="1390" t="s">
        <v>476</v>
      </c>
      <c r="BU65" s="1590">
        <v>1.0</v>
      </c>
      <c r="BV65" s="1360" t="s">
        <v>485</v>
      </c>
      <c r="BW65" s="1390" t="s">
        <v>476</v>
      </c>
      <c r="BX65" s="1590">
        <v>1.0</v>
      </c>
      <c r="BY65" s="1360" t="s">
        <v>485</v>
      </c>
      <c r="BZ65" s="1390" t="s">
        <v>476</v>
      </c>
      <c r="CA65" s="1590">
        <v>1.0</v>
      </c>
      <c r="CB65" s="1360" t="s">
        <v>485</v>
      </c>
      <c r="CC65" s="1390" t="s">
        <v>476</v>
      </c>
      <c r="CD65" s="1590">
        <v>1.0</v>
      </c>
      <c r="CE65" s="1360" t="s">
        <v>485</v>
      </c>
      <c r="CF65" s="1390" t="s">
        <v>476</v>
      </c>
      <c r="CG65" s="1590">
        <v>1.0</v>
      </c>
      <c r="CH65" s="1417" t="s">
        <v>485</v>
      </c>
      <c r="CI65" s="1418" t="s">
        <v>476</v>
      </c>
      <c r="CJ65" s="1591">
        <v>1.0</v>
      </c>
      <c r="CK65" s="1417" t="s">
        <v>485</v>
      </c>
      <c r="CL65" s="1418" t="s">
        <v>476</v>
      </c>
      <c r="CM65" s="1591">
        <v>1.0</v>
      </c>
      <c r="CN65" s="1417" t="s">
        <v>485</v>
      </c>
      <c r="CO65" s="1418" t="s">
        <v>476</v>
      </c>
      <c r="CP65" s="1591">
        <v>1.0</v>
      </c>
      <c r="CQ65" s="1360" t="s">
        <v>485</v>
      </c>
      <c r="CR65" s="1418" t="s">
        <v>476</v>
      </c>
      <c r="CS65" s="1591">
        <v>1.0</v>
      </c>
      <c r="CT65" s="1360" t="s">
        <v>485</v>
      </c>
      <c r="CU65" s="1418" t="s">
        <v>476</v>
      </c>
      <c r="CV65" s="1592">
        <v>1.0</v>
      </c>
      <c r="CW65" s="1360" t="s">
        <v>485</v>
      </c>
      <c r="CX65" s="1418" t="s">
        <v>476</v>
      </c>
      <c r="CY65" s="1592">
        <v>1.0</v>
      </c>
      <c r="CZ65" s="1417" t="s">
        <v>485</v>
      </c>
      <c r="DA65" s="1418" t="s">
        <v>476</v>
      </c>
      <c r="DB65" s="1591">
        <v>1.0</v>
      </c>
      <c r="DC65" s="1417" t="s">
        <v>485</v>
      </c>
      <c r="DD65" s="1418" t="s">
        <v>476</v>
      </c>
      <c r="DE65" s="1591">
        <v>1.0</v>
      </c>
      <c r="DF65" s="1417" t="s">
        <v>485</v>
      </c>
      <c r="DG65" s="1418" t="s">
        <v>476</v>
      </c>
      <c r="DH65" s="1591">
        <v>1.0</v>
      </c>
      <c r="DI65" s="1417" t="s">
        <v>485</v>
      </c>
      <c r="DJ65" s="1418" t="s">
        <v>476</v>
      </c>
      <c r="DK65" s="1591">
        <v>1.0</v>
      </c>
      <c r="DL65" s="1417" t="s">
        <v>485</v>
      </c>
      <c r="DM65" s="1418" t="s">
        <v>476</v>
      </c>
      <c r="DN65" s="1591">
        <v>1.0</v>
      </c>
      <c r="DO65" s="1417" t="s">
        <v>485</v>
      </c>
      <c r="DP65" s="1418" t="s">
        <v>476</v>
      </c>
      <c r="DQ65" s="1591">
        <v>1.0</v>
      </c>
      <c r="DR65" s="1417" t="s">
        <v>485</v>
      </c>
      <c r="DS65" s="1418" t="s">
        <v>476</v>
      </c>
      <c r="DT65" s="1591">
        <v>1.0</v>
      </c>
      <c r="DU65" s="1417" t="s">
        <v>485</v>
      </c>
      <c r="DV65" s="1418" t="s">
        <v>476</v>
      </c>
      <c r="DW65" s="1591">
        <v>1.0</v>
      </c>
      <c r="DX65" s="135"/>
      <c r="DY65" s="135"/>
      <c r="DZ65" s="135"/>
    </row>
    <row r="66" ht="15.0" customHeight="1" outlineLevel="1">
      <c r="A66" s="1262">
        <v>91.0</v>
      </c>
      <c r="B66" s="1278" t="s">
        <v>280</v>
      </c>
      <c r="C66" s="1279" t="s">
        <v>281</v>
      </c>
      <c r="D66" s="1280" t="s">
        <v>90</v>
      </c>
      <c r="E66" s="1294" t="s">
        <v>282</v>
      </c>
      <c r="F66" s="1282">
        <v>0.0</v>
      </c>
      <c r="G66" s="1295" t="s">
        <v>283</v>
      </c>
      <c r="H66" s="1283">
        <v>0.0</v>
      </c>
      <c r="I66" s="1322" t="str">
        <f>IFERROR(VLOOKUP(C63:C212,'R22 RELATÓRIO ACC'!B:F,5,FALSE),"NOT PUBLISHED")</f>
        <v>V11</v>
      </c>
      <c r="J66" s="1322" t="str">
        <f>IFERROR(VLOOKUP(C63:C212,'R22 RELATÓRIO ACC'!B:P,15,FALSE),"NOT PUBLISHED")</f>
        <v>21/03/2026</v>
      </c>
      <c r="K66" s="1353" t="str">
        <f>IFERROR(VLOOKUP(B65:B218,'RELATÓRIO ACC'!B:F,5,FALSE),"NOT PUBLISHED")</f>
        <v>V1</v>
      </c>
      <c r="L66" s="1285" t="str">
        <f>IFERROR(VLOOKUP(B65:B218,'RELATÓRIO ACC'!B:P,15,FALSE),"NOT PUBLISHED")</f>
        <v>18/05/2026</v>
      </c>
      <c r="M66" s="1593" t="s">
        <v>486</v>
      </c>
      <c r="N66" s="1594">
        <v>45896.0</v>
      </c>
      <c r="O66" s="856" t="s">
        <v>482</v>
      </c>
      <c r="P66" s="1425" t="s">
        <v>129</v>
      </c>
      <c r="Q66" s="1281" t="s">
        <v>477</v>
      </c>
      <c r="R66" s="1202" t="s">
        <v>476</v>
      </c>
      <c r="S66" s="1426">
        <v>0.51</v>
      </c>
      <c r="T66" s="758" t="s">
        <v>484</v>
      </c>
      <c r="U66" s="1202" t="s">
        <v>476</v>
      </c>
      <c r="V66" s="1595">
        <v>1.0</v>
      </c>
      <c r="W66" s="758" t="s">
        <v>484</v>
      </c>
      <c r="X66" s="1202" t="s">
        <v>476</v>
      </c>
      <c r="Y66" s="1596">
        <v>1.0</v>
      </c>
      <c r="Z66" s="1032" t="s">
        <v>485</v>
      </c>
      <c r="AA66" s="1202" t="s">
        <v>476</v>
      </c>
      <c r="AB66" s="1597">
        <v>1.0</v>
      </c>
      <c r="AC66" s="1032" t="s">
        <v>485</v>
      </c>
      <c r="AD66" s="1202" t="s">
        <v>476</v>
      </c>
      <c r="AE66" s="1597">
        <v>1.0</v>
      </c>
      <c r="AF66" s="1032" t="s">
        <v>485</v>
      </c>
      <c r="AG66" s="1202" t="s">
        <v>476</v>
      </c>
      <c r="AH66" s="1597">
        <v>1.0</v>
      </c>
      <c r="AI66" s="1032" t="s">
        <v>485</v>
      </c>
      <c r="AJ66" s="1202" t="s">
        <v>476</v>
      </c>
      <c r="AK66" s="1597">
        <v>1.0</v>
      </c>
      <c r="AL66" s="1032" t="s">
        <v>485</v>
      </c>
      <c r="AM66" s="1202" t="s">
        <v>476</v>
      </c>
      <c r="AN66" s="1597">
        <v>1.0</v>
      </c>
      <c r="AO66" s="1032" t="s">
        <v>485</v>
      </c>
      <c r="AP66" s="1202" t="s">
        <v>476</v>
      </c>
      <c r="AQ66" s="1597">
        <v>1.0</v>
      </c>
      <c r="AR66" s="1032" t="s">
        <v>485</v>
      </c>
      <c r="AS66" s="1202" t="s">
        <v>476</v>
      </c>
      <c r="AT66" s="1597">
        <v>1.0</v>
      </c>
      <c r="AU66" s="1032" t="s">
        <v>485</v>
      </c>
      <c r="AV66" s="1202" t="s">
        <v>476</v>
      </c>
      <c r="AW66" s="1597">
        <v>1.0</v>
      </c>
      <c r="AX66" s="1032" t="s">
        <v>485</v>
      </c>
      <c r="AY66" s="1202" t="s">
        <v>476</v>
      </c>
      <c r="AZ66" s="1597">
        <v>1.0</v>
      </c>
      <c r="BA66" s="1032" t="s">
        <v>485</v>
      </c>
      <c r="BB66" s="1202" t="s">
        <v>476</v>
      </c>
      <c r="BC66" s="1597">
        <v>1.0</v>
      </c>
      <c r="BD66" s="1360" t="s">
        <v>485</v>
      </c>
      <c r="BE66" s="1427" t="s">
        <v>476</v>
      </c>
      <c r="BF66" s="1598">
        <v>1.0</v>
      </c>
      <c r="BG66" s="1360" t="s">
        <v>485</v>
      </c>
      <c r="BH66" s="1427" t="s">
        <v>476</v>
      </c>
      <c r="BI66" s="1598">
        <v>1.0</v>
      </c>
      <c r="BJ66" s="1360" t="s">
        <v>485</v>
      </c>
      <c r="BK66" s="1427" t="s">
        <v>476</v>
      </c>
      <c r="BL66" s="1598">
        <v>1.0</v>
      </c>
      <c r="BM66" s="1360" t="s">
        <v>485</v>
      </c>
      <c r="BN66" s="1427" t="s">
        <v>476</v>
      </c>
      <c r="BO66" s="1598">
        <v>1.0</v>
      </c>
      <c r="BP66" s="1360" t="s">
        <v>485</v>
      </c>
      <c r="BQ66" s="1427" t="s">
        <v>476</v>
      </c>
      <c r="BR66" s="1598">
        <v>1.0</v>
      </c>
      <c r="BS66" s="1360" t="s">
        <v>485</v>
      </c>
      <c r="BT66" s="1427" t="s">
        <v>476</v>
      </c>
      <c r="BU66" s="1598">
        <v>1.0</v>
      </c>
      <c r="BV66" s="1360" t="s">
        <v>485</v>
      </c>
      <c r="BW66" s="1427" t="s">
        <v>476</v>
      </c>
      <c r="BX66" s="1598">
        <v>1.0</v>
      </c>
      <c r="BY66" s="1360" t="s">
        <v>485</v>
      </c>
      <c r="BZ66" s="1427" t="s">
        <v>476</v>
      </c>
      <c r="CA66" s="1598">
        <v>1.0</v>
      </c>
      <c r="CB66" s="1360" t="s">
        <v>485</v>
      </c>
      <c r="CC66" s="1427" t="s">
        <v>476</v>
      </c>
      <c r="CD66" s="1598">
        <v>1.0</v>
      </c>
      <c r="CE66" s="1360" t="s">
        <v>485</v>
      </c>
      <c r="CF66" s="1427" t="s">
        <v>476</v>
      </c>
      <c r="CG66" s="1598">
        <v>1.0</v>
      </c>
      <c r="CH66" s="1417" t="s">
        <v>485</v>
      </c>
      <c r="CI66" s="1418" t="s">
        <v>476</v>
      </c>
      <c r="CJ66" s="1591">
        <v>1.0</v>
      </c>
      <c r="CK66" s="1417" t="s">
        <v>485</v>
      </c>
      <c r="CL66" s="1418" t="s">
        <v>476</v>
      </c>
      <c r="CM66" s="1591">
        <v>1.0</v>
      </c>
      <c r="CN66" s="1417" t="s">
        <v>485</v>
      </c>
      <c r="CO66" s="1418" t="s">
        <v>476</v>
      </c>
      <c r="CP66" s="1591">
        <v>1.0</v>
      </c>
      <c r="CQ66" s="1417" t="s">
        <v>485</v>
      </c>
      <c r="CR66" s="1418" t="s">
        <v>476</v>
      </c>
      <c r="CS66" s="1591">
        <v>1.0</v>
      </c>
      <c r="CT66" s="1417" t="s">
        <v>485</v>
      </c>
      <c r="CU66" s="1418" t="s">
        <v>476</v>
      </c>
      <c r="CV66" s="1591">
        <v>1.0</v>
      </c>
      <c r="CW66" s="1417" t="s">
        <v>485</v>
      </c>
      <c r="CX66" s="1418" t="s">
        <v>476</v>
      </c>
      <c r="CY66" s="1591">
        <v>1.0</v>
      </c>
      <c r="CZ66" s="1417" t="s">
        <v>485</v>
      </c>
      <c r="DA66" s="1418" t="s">
        <v>476</v>
      </c>
      <c r="DB66" s="1591">
        <v>1.0</v>
      </c>
      <c r="DC66" s="1417" t="s">
        <v>485</v>
      </c>
      <c r="DD66" s="1418" t="s">
        <v>476</v>
      </c>
      <c r="DE66" s="1591">
        <v>1.0</v>
      </c>
      <c r="DF66" s="1417" t="s">
        <v>485</v>
      </c>
      <c r="DG66" s="1418" t="s">
        <v>476</v>
      </c>
      <c r="DH66" s="1591">
        <v>1.0</v>
      </c>
      <c r="DI66" s="1417" t="s">
        <v>485</v>
      </c>
      <c r="DJ66" s="1418" t="s">
        <v>476</v>
      </c>
      <c r="DK66" s="1591">
        <v>1.0</v>
      </c>
      <c r="DL66" s="1417" t="s">
        <v>485</v>
      </c>
      <c r="DM66" s="1418" t="s">
        <v>476</v>
      </c>
      <c r="DN66" s="1591">
        <v>1.0</v>
      </c>
      <c r="DO66" s="1417" t="s">
        <v>485</v>
      </c>
      <c r="DP66" s="1418" t="s">
        <v>476</v>
      </c>
      <c r="DQ66" s="1591">
        <v>1.0</v>
      </c>
      <c r="DR66" s="1417" t="s">
        <v>485</v>
      </c>
      <c r="DS66" s="1418" t="s">
        <v>476</v>
      </c>
      <c r="DT66" s="1591">
        <v>1.0</v>
      </c>
      <c r="DU66" s="1417" t="s">
        <v>485</v>
      </c>
      <c r="DV66" s="1418" t="s">
        <v>476</v>
      </c>
      <c r="DW66" s="1591">
        <v>1.0</v>
      </c>
      <c r="DX66" s="68"/>
      <c r="DY66" s="68"/>
      <c r="DZ66" s="68"/>
    </row>
    <row r="67" ht="15.0" customHeight="1" outlineLevel="1">
      <c r="A67" s="1262">
        <v>94.0</v>
      </c>
      <c r="B67" s="1278" t="s">
        <v>289</v>
      </c>
      <c r="C67" s="1294" t="s">
        <v>290</v>
      </c>
      <c r="D67" s="1280" t="s">
        <v>90</v>
      </c>
      <c r="E67" s="1294" t="s">
        <v>287</v>
      </c>
      <c r="F67" s="1280">
        <v>1120.0</v>
      </c>
      <c r="G67" s="1295" t="s">
        <v>288</v>
      </c>
      <c r="H67" s="1283">
        <v>0.0</v>
      </c>
      <c r="I67" s="1322" t="str">
        <f>IFERROR(VLOOKUP(C64:C213,'R22 RELATÓRIO ACC'!B:F,5,FALSE),"NOT PUBLISHED")</f>
        <v>V17</v>
      </c>
      <c r="J67" s="1322" t="str">
        <f>IFERROR(VLOOKUP(C64:C213,'R22 RELATÓRIO ACC'!B:P,15,FALSE),"NOT PUBLISHED")</f>
        <v>12/05/2026</v>
      </c>
      <c r="K67" s="1353" t="str">
        <f>IFERROR(VLOOKUP(B66:B219,'RELATÓRIO ACC'!B:F,5,FALSE),"NOT PUBLISHED")</f>
        <v>V1</v>
      </c>
      <c r="L67" s="1285" t="str">
        <f>IFERROR(VLOOKUP(B66:B219,'RELATÓRIO ACC'!B:P,15,FALSE),"NOT PUBLISHED")</f>
        <v>15/05/2026</v>
      </c>
      <c r="M67" s="1420" t="s">
        <v>486</v>
      </c>
      <c r="N67" s="1206" t="s">
        <v>511</v>
      </c>
      <c r="O67" s="1599" t="s">
        <v>482</v>
      </c>
      <c r="P67" s="1600" t="s">
        <v>129</v>
      </c>
      <c r="Q67" s="1281" t="s">
        <v>477</v>
      </c>
      <c r="R67" s="1202" t="s">
        <v>476</v>
      </c>
      <c r="S67" s="1601">
        <v>0.31</v>
      </c>
      <c r="T67" s="1032" t="s">
        <v>477</v>
      </c>
      <c r="U67" s="1202" t="s">
        <v>476</v>
      </c>
      <c r="V67" s="1408">
        <v>0.65</v>
      </c>
      <c r="W67" s="758" t="s">
        <v>478</v>
      </c>
      <c r="X67" s="1327" t="s">
        <v>476</v>
      </c>
      <c r="Y67" s="1328" t="s">
        <v>478</v>
      </c>
      <c r="Z67" s="1562" t="s">
        <v>477</v>
      </c>
      <c r="AA67" s="1327" t="s">
        <v>476</v>
      </c>
      <c r="AB67" s="1412">
        <v>0.89</v>
      </c>
      <c r="AC67" s="758" t="s">
        <v>478</v>
      </c>
      <c r="AD67" s="1327" t="s">
        <v>476</v>
      </c>
      <c r="AE67" s="1328" t="s">
        <v>478</v>
      </c>
      <c r="AF67" s="758" t="s">
        <v>477</v>
      </c>
      <c r="AG67" s="1327" t="s">
        <v>476</v>
      </c>
      <c r="AH67" s="1412">
        <v>0.97</v>
      </c>
      <c r="AI67" s="758" t="s">
        <v>478</v>
      </c>
      <c r="AJ67" s="1327" t="s">
        <v>476</v>
      </c>
      <c r="AK67" s="1328" t="s">
        <v>478</v>
      </c>
      <c r="AL67" s="1048" t="s">
        <v>484</v>
      </c>
      <c r="AM67" s="1327" t="s">
        <v>476</v>
      </c>
      <c r="AN67" s="1412">
        <v>1.0</v>
      </c>
      <c r="AO67" s="1032" t="s">
        <v>485</v>
      </c>
      <c r="AP67" s="1327" t="s">
        <v>476</v>
      </c>
      <c r="AQ67" s="1412">
        <v>1.0</v>
      </c>
      <c r="AR67" s="1032" t="s">
        <v>485</v>
      </c>
      <c r="AS67" s="1327" t="s">
        <v>476</v>
      </c>
      <c r="AT67" s="1412">
        <v>1.0</v>
      </c>
      <c r="AU67" s="1032" t="s">
        <v>485</v>
      </c>
      <c r="AV67" s="1327" t="s">
        <v>476</v>
      </c>
      <c r="AW67" s="1412">
        <v>1.0</v>
      </c>
      <c r="AX67" s="1032" t="s">
        <v>485</v>
      </c>
      <c r="AY67" s="1327" t="s">
        <v>476</v>
      </c>
      <c r="AZ67" s="1412">
        <v>1.0</v>
      </c>
      <c r="BA67" s="1032" t="s">
        <v>485</v>
      </c>
      <c r="BB67" s="1327" t="s">
        <v>476</v>
      </c>
      <c r="BC67" s="1412">
        <v>1.0</v>
      </c>
      <c r="BD67" s="1360" t="s">
        <v>485</v>
      </c>
      <c r="BE67" s="1390" t="s">
        <v>476</v>
      </c>
      <c r="BF67" s="1416">
        <v>1.0</v>
      </c>
      <c r="BG67" s="1360" t="s">
        <v>485</v>
      </c>
      <c r="BH67" s="1390" t="s">
        <v>476</v>
      </c>
      <c r="BI67" s="1416">
        <v>1.0</v>
      </c>
      <c r="BJ67" s="1360" t="s">
        <v>485</v>
      </c>
      <c r="BK67" s="1390" t="s">
        <v>476</v>
      </c>
      <c r="BL67" s="1416">
        <v>1.0</v>
      </c>
      <c r="BM67" s="1360" t="s">
        <v>485</v>
      </c>
      <c r="BN67" s="1390" t="s">
        <v>476</v>
      </c>
      <c r="BO67" s="1416">
        <v>1.0</v>
      </c>
      <c r="BP67" s="1360" t="s">
        <v>485</v>
      </c>
      <c r="BQ67" s="1390" t="s">
        <v>476</v>
      </c>
      <c r="BR67" s="1416">
        <v>1.0</v>
      </c>
      <c r="BS67" s="1360" t="s">
        <v>485</v>
      </c>
      <c r="BT67" s="1390" t="s">
        <v>476</v>
      </c>
      <c r="BU67" s="1416">
        <v>1.0</v>
      </c>
      <c r="BV67" s="1360" t="s">
        <v>485</v>
      </c>
      <c r="BW67" s="1390" t="s">
        <v>476</v>
      </c>
      <c r="BX67" s="1416">
        <v>1.0</v>
      </c>
      <c r="BY67" s="1360" t="s">
        <v>485</v>
      </c>
      <c r="BZ67" s="1390" t="s">
        <v>476</v>
      </c>
      <c r="CA67" s="1416">
        <v>1.0</v>
      </c>
      <c r="CB67" s="1360" t="s">
        <v>485</v>
      </c>
      <c r="CC67" s="1390" t="s">
        <v>476</v>
      </c>
      <c r="CD67" s="1416">
        <v>1.0</v>
      </c>
      <c r="CE67" s="1360" t="s">
        <v>485</v>
      </c>
      <c r="CF67" s="1390" t="s">
        <v>476</v>
      </c>
      <c r="CG67" s="1416">
        <v>1.0</v>
      </c>
      <c r="CH67" s="1417" t="s">
        <v>485</v>
      </c>
      <c r="CI67" s="1418" t="s">
        <v>476</v>
      </c>
      <c r="CJ67" s="1419">
        <v>1.0</v>
      </c>
      <c r="CK67" s="1417" t="s">
        <v>485</v>
      </c>
      <c r="CL67" s="1418" t="s">
        <v>476</v>
      </c>
      <c r="CM67" s="1419">
        <v>1.0</v>
      </c>
      <c r="CN67" s="1417" t="s">
        <v>485</v>
      </c>
      <c r="CO67" s="1418" t="s">
        <v>476</v>
      </c>
      <c r="CP67" s="1419">
        <v>1.0</v>
      </c>
      <c r="CQ67" s="1417" t="s">
        <v>485</v>
      </c>
      <c r="CR67" s="1418" t="s">
        <v>476</v>
      </c>
      <c r="CS67" s="1419">
        <v>1.0</v>
      </c>
      <c r="CT67" s="1417" t="s">
        <v>485</v>
      </c>
      <c r="CU67" s="1418" t="s">
        <v>476</v>
      </c>
      <c r="CV67" s="1419">
        <v>1.0</v>
      </c>
      <c r="CW67" s="1417" t="s">
        <v>485</v>
      </c>
      <c r="CX67" s="1418" t="s">
        <v>476</v>
      </c>
      <c r="CY67" s="1419">
        <v>1.0</v>
      </c>
      <c r="CZ67" s="1417" t="s">
        <v>485</v>
      </c>
      <c r="DA67" s="1418" t="s">
        <v>476</v>
      </c>
      <c r="DB67" s="1419">
        <v>1.0</v>
      </c>
      <c r="DC67" s="1417" t="s">
        <v>485</v>
      </c>
      <c r="DD67" s="1418" t="s">
        <v>476</v>
      </c>
      <c r="DE67" s="1419">
        <v>1.0</v>
      </c>
      <c r="DF67" s="1417" t="s">
        <v>485</v>
      </c>
      <c r="DG67" s="1418" t="s">
        <v>476</v>
      </c>
      <c r="DH67" s="1419">
        <v>1.0</v>
      </c>
      <c r="DI67" s="1417" t="s">
        <v>485</v>
      </c>
      <c r="DJ67" s="1418" t="s">
        <v>476</v>
      </c>
      <c r="DK67" s="1419">
        <v>1.0</v>
      </c>
      <c r="DL67" s="1417" t="s">
        <v>485</v>
      </c>
      <c r="DM67" s="1418" t="s">
        <v>476</v>
      </c>
      <c r="DN67" s="1419">
        <v>1.0</v>
      </c>
      <c r="DO67" s="1417" t="s">
        <v>485</v>
      </c>
      <c r="DP67" s="1418" t="s">
        <v>476</v>
      </c>
      <c r="DQ67" s="1419">
        <v>1.0</v>
      </c>
      <c r="DR67" s="1417" t="s">
        <v>485</v>
      </c>
      <c r="DS67" s="1418" t="s">
        <v>476</v>
      </c>
      <c r="DT67" s="1419">
        <v>1.0</v>
      </c>
      <c r="DU67" s="1417" t="s">
        <v>485</v>
      </c>
      <c r="DV67" s="1418" t="s">
        <v>476</v>
      </c>
      <c r="DW67" s="1419">
        <v>1.0</v>
      </c>
      <c r="DX67" s="68"/>
      <c r="DY67" s="68"/>
      <c r="DZ67" s="68"/>
    </row>
    <row r="68" ht="15.0" customHeight="1" outlineLevel="1">
      <c r="A68" s="1262">
        <v>96.0</v>
      </c>
      <c r="B68" s="1278" t="s">
        <v>294</v>
      </c>
      <c r="C68" s="1294" t="s">
        <v>295</v>
      </c>
      <c r="D68" s="1280" t="s">
        <v>90</v>
      </c>
      <c r="E68" s="1294" t="s">
        <v>293</v>
      </c>
      <c r="F68" s="1317"/>
      <c r="G68" s="1295" t="s">
        <v>288</v>
      </c>
      <c r="H68" s="1313"/>
      <c r="I68" s="1322" t="str">
        <f>IFERROR(VLOOKUP(C65:C214,'R22 RELATÓRIO ACC'!B:F,5,FALSE),"NOT PUBLISHED")</f>
        <v>V13</v>
      </c>
      <c r="J68" s="1322" t="str">
        <f>IFERROR(VLOOKUP(C65:C214,'R22 RELATÓRIO ACC'!B:P,15,FALSE),"NOT PUBLISHED")</f>
        <v>12/05/2026</v>
      </c>
      <c r="K68" s="1353" t="str">
        <f>IFERROR(VLOOKUP(B67:B220,'RELATÓRIO ACC'!B:F,5,FALSE),"NOT PUBLISHED")</f>
        <v>V1</v>
      </c>
      <c r="L68" s="1285" t="str">
        <f>IFERROR(VLOOKUP(B67:B220,'RELATÓRIO ACC'!B:P,15,FALSE),"NOT PUBLISHED")</f>
        <v>15/05/2026</v>
      </c>
      <c r="M68" s="1420" t="s">
        <v>479</v>
      </c>
      <c r="N68" s="1206" t="s">
        <v>861</v>
      </c>
      <c r="O68" s="1599" t="s">
        <v>482</v>
      </c>
      <c r="P68" s="1602" t="s">
        <v>102</v>
      </c>
      <c r="Q68" s="1296" t="s">
        <v>477</v>
      </c>
      <c r="R68" s="1402" t="s">
        <v>476</v>
      </c>
      <c r="S68" s="1601">
        <v>0.2</v>
      </c>
      <c r="T68" s="1299" t="s">
        <v>477</v>
      </c>
      <c r="U68" s="1402" t="s">
        <v>476</v>
      </c>
      <c r="V68" s="1601">
        <v>0.2</v>
      </c>
      <c r="W68" s="1406" t="s">
        <v>478</v>
      </c>
      <c r="X68" s="1404" t="s">
        <v>476</v>
      </c>
      <c r="Y68" s="1603" t="s">
        <v>478</v>
      </c>
      <c r="Z68" s="1406" t="s">
        <v>478</v>
      </c>
      <c r="AA68" s="1404" t="s">
        <v>476</v>
      </c>
      <c r="AB68" s="1603" t="s">
        <v>478</v>
      </c>
      <c r="AC68" s="1406" t="s">
        <v>478</v>
      </c>
      <c r="AD68" s="1404" t="s">
        <v>476</v>
      </c>
      <c r="AE68" s="1603" t="s">
        <v>478</v>
      </c>
      <c r="AF68" s="1406" t="s">
        <v>484</v>
      </c>
      <c r="AG68" s="1404" t="s">
        <v>476</v>
      </c>
      <c r="AH68" s="1412">
        <v>1.0</v>
      </c>
      <c r="AI68" s="1299" t="s">
        <v>485</v>
      </c>
      <c r="AJ68" s="1404" t="s">
        <v>476</v>
      </c>
      <c r="AK68" s="1412">
        <v>1.0</v>
      </c>
      <c r="AL68" s="1032" t="s">
        <v>485</v>
      </c>
      <c r="AM68" s="1327" t="s">
        <v>476</v>
      </c>
      <c r="AN68" s="1412">
        <v>1.0</v>
      </c>
      <c r="AO68" s="1032" t="s">
        <v>485</v>
      </c>
      <c r="AP68" s="1327" t="s">
        <v>476</v>
      </c>
      <c r="AQ68" s="1412">
        <v>1.0</v>
      </c>
      <c r="AR68" s="1032" t="s">
        <v>485</v>
      </c>
      <c r="AS68" s="1327" t="s">
        <v>476</v>
      </c>
      <c r="AT68" s="1412">
        <v>1.0</v>
      </c>
      <c r="AU68" s="1032" t="s">
        <v>485</v>
      </c>
      <c r="AV68" s="1327" t="s">
        <v>476</v>
      </c>
      <c r="AW68" s="1412">
        <v>1.0</v>
      </c>
      <c r="AX68" s="1032" t="s">
        <v>485</v>
      </c>
      <c r="AY68" s="1327" t="s">
        <v>476</v>
      </c>
      <c r="AZ68" s="1412">
        <v>1.0</v>
      </c>
      <c r="BA68" s="1032" t="s">
        <v>485</v>
      </c>
      <c r="BB68" s="1327" t="s">
        <v>476</v>
      </c>
      <c r="BC68" s="1412">
        <v>1.0</v>
      </c>
      <c r="BD68" s="1360" t="s">
        <v>485</v>
      </c>
      <c r="BE68" s="1390" t="s">
        <v>476</v>
      </c>
      <c r="BF68" s="1416">
        <v>1.0</v>
      </c>
      <c r="BG68" s="1360" t="s">
        <v>485</v>
      </c>
      <c r="BH68" s="1390" t="s">
        <v>476</v>
      </c>
      <c r="BI68" s="1416">
        <v>1.0</v>
      </c>
      <c r="BJ68" s="1360" t="s">
        <v>485</v>
      </c>
      <c r="BK68" s="1390" t="s">
        <v>476</v>
      </c>
      <c r="BL68" s="1416">
        <v>1.0</v>
      </c>
      <c r="BM68" s="1360" t="s">
        <v>485</v>
      </c>
      <c r="BN68" s="1390" t="s">
        <v>476</v>
      </c>
      <c r="BO68" s="1416">
        <v>1.0</v>
      </c>
      <c r="BP68" s="1360" t="s">
        <v>485</v>
      </c>
      <c r="BQ68" s="1390" t="s">
        <v>476</v>
      </c>
      <c r="BR68" s="1416">
        <v>1.0</v>
      </c>
      <c r="BS68" s="1360" t="s">
        <v>485</v>
      </c>
      <c r="BT68" s="1390" t="s">
        <v>476</v>
      </c>
      <c r="BU68" s="1416">
        <v>1.0</v>
      </c>
      <c r="BV68" s="1360" t="s">
        <v>485</v>
      </c>
      <c r="BW68" s="1390" t="s">
        <v>476</v>
      </c>
      <c r="BX68" s="1416">
        <v>1.0</v>
      </c>
      <c r="BY68" s="1360" t="s">
        <v>485</v>
      </c>
      <c r="BZ68" s="1390" t="s">
        <v>476</v>
      </c>
      <c r="CA68" s="1416">
        <v>1.0</v>
      </c>
      <c r="CB68" s="1360" t="s">
        <v>485</v>
      </c>
      <c r="CC68" s="1390" t="s">
        <v>476</v>
      </c>
      <c r="CD68" s="1416">
        <v>1.0</v>
      </c>
      <c r="CE68" s="1360" t="s">
        <v>485</v>
      </c>
      <c r="CF68" s="1390" t="s">
        <v>476</v>
      </c>
      <c r="CG68" s="1416">
        <v>1.0</v>
      </c>
      <c r="CH68" s="1417" t="s">
        <v>485</v>
      </c>
      <c r="CI68" s="1418" t="s">
        <v>476</v>
      </c>
      <c r="CJ68" s="1419">
        <v>1.0</v>
      </c>
      <c r="CK68" s="1417" t="s">
        <v>485</v>
      </c>
      <c r="CL68" s="1418" t="s">
        <v>476</v>
      </c>
      <c r="CM68" s="1419">
        <v>1.0</v>
      </c>
      <c r="CN68" s="1417" t="s">
        <v>485</v>
      </c>
      <c r="CO68" s="1418" t="s">
        <v>476</v>
      </c>
      <c r="CP68" s="1419">
        <v>1.0</v>
      </c>
      <c r="CQ68" s="1417" t="s">
        <v>485</v>
      </c>
      <c r="CR68" s="1418" t="s">
        <v>476</v>
      </c>
      <c r="CS68" s="1419">
        <v>1.0</v>
      </c>
      <c r="CT68" s="1417" t="s">
        <v>485</v>
      </c>
      <c r="CU68" s="1418" t="s">
        <v>476</v>
      </c>
      <c r="CV68" s="1419">
        <v>1.0</v>
      </c>
      <c r="CW68" s="1417" t="s">
        <v>485</v>
      </c>
      <c r="CX68" s="1418" t="s">
        <v>476</v>
      </c>
      <c r="CY68" s="1419">
        <v>1.0</v>
      </c>
      <c r="CZ68" s="1417" t="s">
        <v>485</v>
      </c>
      <c r="DA68" s="1418" t="s">
        <v>476</v>
      </c>
      <c r="DB68" s="1419">
        <v>1.0</v>
      </c>
      <c r="DC68" s="1417" t="s">
        <v>485</v>
      </c>
      <c r="DD68" s="1418" t="s">
        <v>476</v>
      </c>
      <c r="DE68" s="1419">
        <v>1.0</v>
      </c>
      <c r="DF68" s="1417" t="s">
        <v>485</v>
      </c>
      <c r="DG68" s="1418" t="s">
        <v>476</v>
      </c>
      <c r="DH68" s="1419">
        <v>1.0</v>
      </c>
      <c r="DI68" s="1417" t="s">
        <v>485</v>
      </c>
      <c r="DJ68" s="1418" t="s">
        <v>476</v>
      </c>
      <c r="DK68" s="1419">
        <v>1.0</v>
      </c>
      <c r="DL68" s="1417" t="s">
        <v>485</v>
      </c>
      <c r="DM68" s="1418" t="s">
        <v>476</v>
      </c>
      <c r="DN68" s="1419">
        <v>1.0</v>
      </c>
      <c r="DO68" s="1417" t="s">
        <v>485</v>
      </c>
      <c r="DP68" s="1418" t="s">
        <v>476</v>
      </c>
      <c r="DQ68" s="1419">
        <v>1.0</v>
      </c>
      <c r="DR68" s="1417" t="s">
        <v>485</v>
      </c>
      <c r="DS68" s="1418" t="s">
        <v>476</v>
      </c>
      <c r="DT68" s="1419">
        <v>1.0</v>
      </c>
      <c r="DU68" s="1417" t="s">
        <v>485</v>
      </c>
      <c r="DV68" s="1418" t="s">
        <v>476</v>
      </c>
      <c r="DW68" s="1419">
        <v>1.0</v>
      </c>
      <c r="DX68" s="68"/>
      <c r="DY68" s="68"/>
      <c r="DZ68" s="68"/>
    </row>
    <row r="69" ht="15.0" customHeight="1" outlineLevel="1">
      <c r="A69" s="1262">
        <v>111.0</v>
      </c>
      <c r="B69" s="1279" t="s">
        <v>327</v>
      </c>
      <c r="C69" s="1294" t="s">
        <v>327</v>
      </c>
      <c r="D69" s="1280" t="s">
        <v>245</v>
      </c>
      <c r="E69" s="1294" t="s">
        <v>317</v>
      </c>
      <c r="F69" s="1280">
        <v>1125.0</v>
      </c>
      <c r="G69" s="1294" t="s">
        <v>317</v>
      </c>
      <c r="H69" s="1295">
        <v>1125.0</v>
      </c>
      <c r="I69" s="1322" t="str">
        <f>IFERROR(VLOOKUP(C66:C215,'R22 RELATÓRIO ACC'!B:F,5,FALSE),"NOT PUBLISHED")</f>
        <v>V6</v>
      </c>
      <c r="J69" s="1322" t="str">
        <f>IFERROR(VLOOKUP(C66:C215,'R22 RELATÓRIO ACC'!B:P,15,FALSE),"NOT PUBLISHED")</f>
        <v>11/02/2026</v>
      </c>
      <c r="K69" s="1353" t="str">
        <f>IFERROR(VLOOKUP(B68:B221,'RELATÓRIO ACC'!B:F,5,FALSE),"NOT PUBLISHED")</f>
        <v>V1</v>
      </c>
      <c r="L69" s="1285" t="str">
        <f>IFERROR(VLOOKUP(B68:B221,'RELATÓRIO ACC'!B:P,15,FALSE),"NOT PUBLISHED")</f>
        <v>21/05/2026</v>
      </c>
      <c r="M69" s="1604" t="s">
        <v>479</v>
      </c>
      <c r="N69" s="1605">
        <v>45856.0</v>
      </c>
      <c r="O69" s="851" t="s">
        <v>482</v>
      </c>
      <c r="P69" s="1602" t="s">
        <v>102</v>
      </c>
      <c r="Q69" s="1296" t="s">
        <v>477</v>
      </c>
      <c r="R69" s="1402" t="s">
        <v>476</v>
      </c>
      <c r="S69" s="1403">
        <v>0.95</v>
      </c>
      <c r="T69" s="1299" t="s">
        <v>477</v>
      </c>
      <c r="U69" s="1402" t="s">
        <v>476</v>
      </c>
      <c r="V69" s="1403">
        <v>0.99</v>
      </c>
      <c r="W69" s="1406" t="s">
        <v>484</v>
      </c>
      <c r="X69" s="1402" t="s">
        <v>476</v>
      </c>
      <c r="Y69" s="1405">
        <v>1.0</v>
      </c>
      <c r="Z69" s="1299" t="s">
        <v>485</v>
      </c>
      <c r="AA69" s="1402" t="s">
        <v>476</v>
      </c>
      <c r="AB69" s="1389">
        <v>1.0</v>
      </c>
      <c r="AC69" s="1299" t="s">
        <v>485</v>
      </c>
      <c r="AD69" s="1402" t="s">
        <v>476</v>
      </c>
      <c r="AE69" s="1389">
        <v>1.0</v>
      </c>
      <c r="AF69" s="1299" t="s">
        <v>485</v>
      </c>
      <c r="AG69" s="1402" t="s">
        <v>476</v>
      </c>
      <c r="AH69" s="1389">
        <v>1.0</v>
      </c>
      <c r="AI69" s="1299" t="s">
        <v>485</v>
      </c>
      <c r="AJ69" s="1402" t="s">
        <v>476</v>
      </c>
      <c r="AK69" s="1389">
        <v>1.0</v>
      </c>
      <c r="AL69" s="1032" t="s">
        <v>485</v>
      </c>
      <c r="AM69" s="1202" t="s">
        <v>476</v>
      </c>
      <c r="AN69" s="1389">
        <v>1.0</v>
      </c>
      <c r="AO69" s="1032" t="s">
        <v>485</v>
      </c>
      <c r="AP69" s="1202" t="s">
        <v>476</v>
      </c>
      <c r="AQ69" s="1389">
        <v>1.0</v>
      </c>
      <c r="AR69" s="1032" t="s">
        <v>485</v>
      </c>
      <c r="AS69" s="1202" t="s">
        <v>476</v>
      </c>
      <c r="AT69" s="1389">
        <v>1.0</v>
      </c>
      <c r="AU69" s="1032" t="s">
        <v>485</v>
      </c>
      <c r="AV69" s="1202" t="s">
        <v>476</v>
      </c>
      <c r="AW69" s="1389">
        <v>1.0</v>
      </c>
      <c r="AX69" s="1032" t="s">
        <v>485</v>
      </c>
      <c r="AY69" s="1202" t="s">
        <v>476</v>
      </c>
      <c r="AZ69" s="1389">
        <v>1.0</v>
      </c>
      <c r="BA69" s="1032" t="s">
        <v>485</v>
      </c>
      <c r="BB69" s="1202" t="s">
        <v>476</v>
      </c>
      <c r="BC69" s="1389">
        <v>1.0</v>
      </c>
      <c r="BD69" s="1360" t="s">
        <v>485</v>
      </c>
      <c r="BE69" s="1427" t="s">
        <v>476</v>
      </c>
      <c r="BF69" s="1359">
        <v>1.0</v>
      </c>
      <c r="BG69" s="1360" t="s">
        <v>485</v>
      </c>
      <c r="BH69" s="1427" t="s">
        <v>476</v>
      </c>
      <c r="BI69" s="1359">
        <v>1.0</v>
      </c>
      <c r="BJ69" s="1360" t="s">
        <v>485</v>
      </c>
      <c r="BK69" s="1427" t="s">
        <v>476</v>
      </c>
      <c r="BL69" s="1359">
        <v>1.0</v>
      </c>
      <c r="BM69" s="1360" t="s">
        <v>485</v>
      </c>
      <c r="BN69" s="1427" t="s">
        <v>476</v>
      </c>
      <c r="BO69" s="1359">
        <v>1.0</v>
      </c>
      <c r="BP69" s="1360" t="s">
        <v>485</v>
      </c>
      <c r="BQ69" s="1427" t="s">
        <v>476</v>
      </c>
      <c r="BR69" s="1359">
        <v>1.0</v>
      </c>
      <c r="BS69" s="1360" t="s">
        <v>485</v>
      </c>
      <c r="BT69" s="1427" t="s">
        <v>476</v>
      </c>
      <c r="BU69" s="1359">
        <v>1.0</v>
      </c>
      <c r="BV69" s="1360" t="s">
        <v>485</v>
      </c>
      <c r="BW69" s="1427" t="s">
        <v>476</v>
      </c>
      <c r="BX69" s="1359">
        <v>1.0</v>
      </c>
      <c r="BY69" s="1360" t="s">
        <v>485</v>
      </c>
      <c r="BZ69" s="1427" t="s">
        <v>476</v>
      </c>
      <c r="CA69" s="1359">
        <v>1.0</v>
      </c>
      <c r="CB69" s="1360" t="s">
        <v>485</v>
      </c>
      <c r="CC69" s="1427" t="s">
        <v>476</v>
      </c>
      <c r="CD69" s="1359">
        <v>1.0</v>
      </c>
      <c r="CE69" s="1360" t="s">
        <v>485</v>
      </c>
      <c r="CF69" s="1427" t="s">
        <v>476</v>
      </c>
      <c r="CG69" s="1359">
        <v>1.0</v>
      </c>
      <c r="CH69" s="1417" t="s">
        <v>485</v>
      </c>
      <c r="CI69" s="1429" t="s">
        <v>476</v>
      </c>
      <c r="CJ69" s="1419">
        <v>1.0</v>
      </c>
      <c r="CK69" s="1417" t="s">
        <v>485</v>
      </c>
      <c r="CL69" s="1429" t="s">
        <v>476</v>
      </c>
      <c r="CM69" s="1419">
        <v>1.0</v>
      </c>
      <c r="CN69" s="1417" t="s">
        <v>485</v>
      </c>
      <c r="CO69" s="1429" t="s">
        <v>476</v>
      </c>
      <c r="CP69" s="1419">
        <v>1.0</v>
      </c>
      <c r="CQ69" s="1417" t="s">
        <v>485</v>
      </c>
      <c r="CR69" s="1429" t="s">
        <v>476</v>
      </c>
      <c r="CS69" s="1419">
        <v>1.0</v>
      </c>
      <c r="CT69" s="1417" t="s">
        <v>485</v>
      </c>
      <c r="CU69" s="1429" t="s">
        <v>476</v>
      </c>
      <c r="CV69" s="1419">
        <v>1.0</v>
      </c>
      <c r="CW69" s="1417" t="s">
        <v>485</v>
      </c>
      <c r="CX69" s="1429" t="s">
        <v>476</v>
      </c>
      <c r="CY69" s="1419">
        <v>1.0</v>
      </c>
      <c r="CZ69" s="1417" t="s">
        <v>485</v>
      </c>
      <c r="DA69" s="1429" t="s">
        <v>476</v>
      </c>
      <c r="DB69" s="1419">
        <v>1.0</v>
      </c>
      <c r="DC69" s="1417" t="s">
        <v>485</v>
      </c>
      <c r="DD69" s="1429" t="s">
        <v>476</v>
      </c>
      <c r="DE69" s="1392">
        <v>1.0</v>
      </c>
      <c r="DF69" s="1417" t="s">
        <v>485</v>
      </c>
      <c r="DG69" s="1429" t="s">
        <v>476</v>
      </c>
      <c r="DH69" s="1419">
        <v>1.0</v>
      </c>
      <c r="DI69" s="1417" t="s">
        <v>485</v>
      </c>
      <c r="DJ69" s="1429" t="s">
        <v>476</v>
      </c>
      <c r="DK69" s="1419">
        <v>1.0</v>
      </c>
      <c r="DL69" s="1417" t="s">
        <v>485</v>
      </c>
      <c r="DM69" s="1429" t="s">
        <v>476</v>
      </c>
      <c r="DN69" s="1419">
        <v>1.0</v>
      </c>
      <c r="DO69" s="1417" t="s">
        <v>485</v>
      </c>
      <c r="DP69" s="1429" t="s">
        <v>476</v>
      </c>
      <c r="DQ69" s="1419">
        <v>1.0</v>
      </c>
      <c r="DR69" s="1417" t="s">
        <v>485</v>
      </c>
      <c r="DS69" s="1429" t="s">
        <v>476</v>
      </c>
      <c r="DT69" s="1419">
        <v>1.0</v>
      </c>
      <c r="DU69" s="1417" t="s">
        <v>485</v>
      </c>
      <c r="DV69" s="1429" t="s">
        <v>476</v>
      </c>
      <c r="DW69" s="1419">
        <v>1.0</v>
      </c>
      <c r="DX69" s="68"/>
      <c r="DY69" s="68"/>
      <c r="DZ69" s="68"/>
    </row>
    <row r="70" ht="15.0" customHeight="1" outlineLevel="1">
      <c r="A70" s="1262">
        <v>112.0</v>
      </c>
      <c r="B70" s="1279" t="s">
        <v>328</v>
      </c>
      <c r="C70" s="1294" t="s">
        <v>328</v>
      </c>
      <c r="D70" s="1280" t="s">
        <v>127</v>
      </c>
      <c r="E70" s="1294" t="s">
        <v>317</v>
      </c>
      <c r="F70" s="1280">
        <v>1125.0</v>
      </c>
      <c r="G70" s="1295" t="s">
        <v>317</v>
      </c>
      <c r="H70" s="1295">
        <v>1125.0</v>
      </c>
      <c r="I70" s="1322" t="str">
        <f>IFERROR(VLOOKUP(C67:C216,'R22 RELATÓRIO ACC'!B:F,5,FALSE),"NOT PUBLISHED")</f>
        <v>V6</v>
      </c>
      <c r="J70" s="1322" t="str">
        <f>IFERROR(VLOOKUP(C67:C216,'R22 RELATÓRIO ACC'!B:P,15,FALSE),"NOT PUBLISHED")</f>
        <v>01/11/2025</v>
      </c>
      <c r="K70" s="1353" t="str">
        <f>IFERROR(VLOOKUP(B69:B222,'RELATÓRIO ACC'!B:F,5,FALSE),"NOT PUBLISHED")</f>
        <v>V1</v>
      </c>
      <c r="L70" s="1285" t="str">
        <f>IFERROR(VLOOKUP(B69:B222,'RELATÓRIO ACC'!B:P,15,FALSE),"NOT PUBLISHED")</f>
        <v>21/05/2026</v>
      </c>
      <c r="M70" s="1205" t="s">
        <v>507</v>
      </c>
      <c r="N70" s="1304">
        <v>45856.0</v>
      </c>
      <c r="O70" s="1599" t="s">
        <v>482</v>
      </c>
      <c r="P70" s="1602" t="s">
        <v>102</v>
      </c>
      <c r="Q70" s="1296" t="s">
        <v>477</v>
      </c>
      <c r="R70" s="1402" t="s">
        <v>476</v>
      </c>
      <c r="S70" s="1403">
        <v>0.91</v>
      </c>
      <c r="T70" s="1299" t="s">
        <v>477</v>
      </c>
      <c r="U70" s="1402" t="s">
        <v>476</v>
      </c>
      <c r="V70" s="1403">
        <v>0.98</v>
      </c>
      <c r="W70" s="1406" t="s">
        <v>484</v>
      </c>
      <c r="X70" s="1402" t="s">
        <v>476</v>
      </c>
      <c r="Y70" s="1405">
        <v>1.0</v>
      </c>
      <c r="Z70" s="1299" t="s">
        <v>485</v>
      </c>
      <c r="AA70" s="1402" t="s">
        <v>476</v>
      </c>
      <c r="AB70" s="1389">
        <v>1.0</v>
      </c>
      <c r="AC70" s="1299" t="s">
        <v>485</v>
      </c>
      <c r="AD70" s="1402" t="s">
        <v>476</v>
      </c>
      <c r="AE70" s="1389">
        <v>1.0</v>
      </c>
      <c r="AF70" s="1299" t="s">
        <v>485</v>
      </c>
      <c r="AG70" s="1402" t="s">
        <v>476</v>
      </c>
      <c r="AH70" s="1389">
        <v>1.0</v>
      </c>
      <c r="AI70" s="1299" t="s">
        <v>485</v>
      </c>
      <c r="AJ70" s="1402" t="s">
        <v>476</v>
      </c>
      <c r="AK70" s="1389">
        <v>1.0</v>
      </c>
      <c r="AL70" s="1032" t="s">
        <v>485</v>
      </c>
      <c r="AM70" s="1202" t="s">
        <v>476</v>
      </c>
      <c r="AN70" s="1389">
        <v>1.0</v>
      </c>
      <c r="AO70" s="1032" t="s">
        <v>485</v>
      </c>
      <c r="AP70" s="1202" t="s">
        <v>476</v>
      </c>
      <c r="AQ70" s="1389">
        <v>1.0</v>
      </c>
      <c r="AR70" s="1032" t="s">
        <v>485</v>
      </c>
      <c r="AS70" s="1202" t="s">
        <v>476</v>
      </c>
      <c r="AT70" s="1389">
        <v>1.0</v>
      </c>
      <c r="AU70" s="1032" t="s">
        <v>485</v>
      </c>
      <c r="AV70" s="1202" t="s">
        <v>476</v>
      </c>
      <c r="AW70" s="1389">
        <v>1.0</v>
      </c>
      <c r="AX70" s="1032" t="s">
        <v>485</v>
      </c>
      <c r="AY70" s="1202" t="s">
        <v>476</v>
      </c>
      <c r="AZ70" s="1389">
        <v>1.0</v>
      </c>
      <c r="BA70" s="1032" t="s">
        <v>485</v>
      </c>
      <c r="BB70" s="1202" t="s">
        <v>476</v>
      </c>
      <c r="BC70" s="1389">
        <v>1.0</v>
      </c>
      <c r="BD70" s="1360" t="s">
        <v>485</v>
      </c>
      <c r="BE70" s="1427" t="s">
        <v>476</v>
      </c>
      <c r="BF70" s="1359">
        <v>1.0</v>
      </c>
      <c r="BG70" s="1360" t="s">
        <v>485</v>
      </c>
      <c r="BH70" s="1427" t="s">
        <v>476</v>
      </c>
      <c r="BI70" s="1359">
        <v>1.0</v>
      </c>
      <c r="BJ70" s="1360" t="s">
        <v>485</v>
      </c>
      <c r="BK70" s="1427" t="s">
        <v>476</v>
      </c>
      <c r="BL70" s="1359">
        <v>1.0</v>
      </c>
      <c r="BM70" s="1360" t="s">
        <v>485</v>
      </c>
      <c r="BN70" s="1427" t="s">
        <v>476</v>
      </c>
      <c r="BO70" s="1359">
        <v>1.0</v>
      </c>
      <c r="BP70" s="1360" t="s">
        <v>485</v>
      </c>
      <c r="BQ70" s="1427" t="s">
        <v>476</v>
      </c>
      <c r="BR70" s="1359">
        <v>1.0</v>
      </c>
      <c r="BS70" s="1360" t="s">
        <v>485</v>
      </c>
      <c r="BT70" s="1427" t="s">
        <v>476</v>
      </c>
      <c r="BU70" s="1359">
        <v>1.0</v>
      </c>
      <c r="BV70" s="1360" t="s">
        <v>485</v>
      </c>
      <c r="BW70" s="1427" t="s">
        <v>476</v>
      </c>
      <c r="BX70" s="1359">
        <v>1.0</v>
      </c>
      <c r="BY70" s="1360" t="s">
        <v>485</v>
      </c>
      <c r="BZ70" s="1427" t="s">
        <v>476</v>
      </c>
      <c r="CA70" s="1359">
        <v>1.0</v>
      </c>
      <c r="CB70" s="1360" t="s">
        <v>485</v>
      </c>
      <c r="CC70" s="1427" t="s">
        <v>476</v>
      </c>
      <c r="CD70" s="1359">
        <v>1.0</v>
      </c>
      <c r="CE70" s="1360" t="s">
        <v>485</v>
      </c>
      <c r="CF70" s="1427" t="s">
        <v>476</v>
      </c>
      <c r="CG70" s="1359">
        <v>1.0</v>
      </c>
      <c r="CH70" s="1417" t="s">
        <v>485</v>
      </c>
      <c r="CI70" s="1429" t="s">
        <v>476</v>
      </c>
      <c r="CJ70" s="1419">
        <v>1.0</v>
      </c>
      <c r="CK70" s="1417" t="s">
        <v>485</v>
      </c>
      <c r="CL70" s="1429" t="s">
        <v>476</v>
      </c>
      <c r="CM70" s="1419">
        <v>1.0</v>
      </c>
      <c r="CN70" s="1417" t="s">
        <v>485</v>
      </c>
      <c r="CO70" s="1429" t="s">
        <v>476</v>
      </c>
      <c r="CP70" s="1419">
        <v>1.0</v>
      </c>
      <c r="CQ70" s="1417" t="s">
        <v>485</v>
      </c>
      <c r="CR70" s="1429" t="s">
        <v>476</v>
      </c>
      <c r="CS70" s="1419">
        <v>1.0</v>
      </c>
      <c r="CT70" s="1417" t="s">
        <v>485</v>
      </c>
      <c r="CU70" s="1429" t="s">
        <v>476</v>
      </c>
      <c r="CV70" s="1419">
        <v>1.0</v>
      </c>
      <c r="CW70" s="1417" t="s">
        <v>485</v>
      </c>
      <c r="CX70" s="1429" t="s">
        <v>476</v>
      </c>
      <c r="CY70" s="1419">
        <v>1.0</v>
      </c>
      <c r="CZ70" s="1417" t="s">
        <v>485</v>
      </c>
      <c r="DA70" s="1429" t="s">
        <v>476</v>
      </c>
      <c r="DB70" s="1419">
        <v>1.0</v>
      </c>
      <c r="DC70" s="1417" t="s">
        <v>485</v>
      </c>
      <c r="DD70" s="1429" t="s">
        <v>476</v>
      </c>
      <c r="DE70" s="1419">
        <v>1.0</v>
      </c>
      <c r="DF70" s="1417" t="s">
        <v>485</v>
      </c>
      <c r="DG70" s="1429" t="s">
        <v>476</v>
      </c>
      <c r="DH70" s="1419">
        <v>1.0</v>
      </c>
      <c r="DI70" s="1417" t="s">
        <v>485</v>
      </c>
      <c r="DJ70" s="1429" t="s">
        <v>476</v>
      </c>
      <c r="DK70" s="1419">
        <v>1.0</v>
      </c>
      <c r="DL70" s="1417" t="s">
        <v>485</v>
      </c>
      <c r="DM70" s="1429" t="s">
        <v>476</v>
      </c>
      <c r="DN70" s="1419">
        <v>1.0</v>
      </c>
      <c r="DO70" s="1417" t="s">
        <v>485</v>
      </c>
      <c r="DP70" s="1429" t="s">
        <v>476</v>
      </c>
      <c r="DQ70" s="1419">
        <v>1.0</v>
      </c>
      <c r="DR70" s="1417" t="s">
        <v>485</v>
      </c>
      <c r="DS70" s="1429" t="s">
        <v>476</v>
      </c>
      <c r="DT70" s="1419">
        <v>1.0</v>
      </c>
      <c r="DU70" s="1417" t="s">
        <v>485</v>
      </c>
      <c r="DV70" s="1429" t="s">
        <v>476</v>
      </c>
      <c r="DW70" s="1419">
        <v>1.0</v>
      </c>
      <c r="DX70" s="135"/>
      <c r="DY70" s="135"/>
      <c r="DZ70" s="135"/>
    </row>
    <row r="71" ht="15.0" customHeight="1" outlineLevel="1">
      <c r="A71" s="1262">
        <v>113.0</v>
      </c>
      <c r="B71" s="1279" t="s">
        <v>329</v>
      </c>
      <c r="C71" s="1294" t="s">
        <v>329</v>
      </c>
      <c r="D71" s="1280" t="s">
        <v>330</v>
      </c>
      <c r="E71" s="1294" t="s">
        <v>317</v>
      </c>
      <c r="F71" s="1280">
        <v>1125.0</v>
      </c>
      <c r="G71" s="1280" t="s">
        <v>317</v>
      </c>
      <c r="H71" s="1295">
        <v>1125.0</v>
      </c>
      <c r="I71" s="1322" t="str">
        <f>IFERROR(VLOOKUP(C68:C217,'R22 RELATÓRIO ACC'!B:F,5,FALSE),"NOT PUBLISHED")</f>
        <v>V3</v>
      </c>
      <c r="J71" s="1322" t="str">
        <f>IFERROR(VLOOKUP(C68:C217,'R22 RELATÓRIO ACC'!B:P,15,FALSE),"NOT PUBLISHED")</f>
        <v>31/10/2025</v>
      </c>
      <c r="K71" s="1353" t="str">
        <f>IFERROR(VLOOKUP(B70:B223,'RELATÓRIO ACC'!B:F,5,FALSE),"NOT PUBLISHED")</f>
        <v>V1</v>
      </c>
      <c r="L71" s="1285" t="str">
        <f>IFERROR(VLOOKUP(B70:B223,'RELATÓRIO ACC'!B:P,15,FALSE),"NOT PUBLISHED")</f>
        <v>21/05/2026</v>
      </c>
      <c r="M71" s="1606" t="s">
        <v>596</v>
      </c>
      <c r="N71" s="1605">
        <v>45856.0</v>
      </c>
      <c r="O71" s="1607" t="s">
        <v>482</v>
      </c>
      <c r="P71" s="1608" t="s">
        <v>102</v>
      </c>
      <c r="Q71" s="1296" t="s">
        <v>484</v>
      </c>
      <c r="R71" s="1404" t="s">
        <v>476</v>
      </c>
      <c r="S71" s="1403">
        <v>1.0</v>
      </c>
      <c r="T71" s="1299" t="s">
        <v>484</v>
      </c>
      <c r="U71" s="1404" t="s">
        <v>476</v>
      </c>
      <c r="V71" s="1403">
        <v>1.0</v>
      </c>
      <c r="W71" s="1609" t="s">
        <v>484</v>
      </c>
      <c r="X71" s="1404" t="s">
        <v>476</v>
      </c>
      <c r="Y71" s="1405">
        <v>1.0</v>
      </c>
      <c r="Z71" s="1299" t="s">
        <v>485</v>
      </c>
      <c r="AA71" s="1404" t="s">
        <v>476</v>
      </c>
      <c r="AB71" s="1389">
        <v>1.0</v>
      </c>
      <c r="AC71" s="1299" t="s">
        <v>485</v>
      </c>
      <c r="AD71" s="1404" t="s">
        <v>476</v>
      </c>
      <c r="AE71" s="1389">
        <v>1.0</v>
      </c>
      <c r="AF71" s="1299" t="s">
        <v>485</v>
      </c>
      <c r="AG71" s="1404" t="s">
        <v>476</v>
      </c>
      <c r="AH71" s="1389">
        <v>1.0</v>
      </c>
      <c r="AI71" s="1299" t="s">
        <v>485</v>
      </c>
      <c r="AJ71" s="1404" t="s">
        <v>476</v>
      </c>
      <c r="AK71" s="1389">
        <v>1.0</v>
      </c>
      <c r="AL71" s="1032" t="s">
        <v>485</v>
      </c>
      <c r="AM71" s="1327" t="s">
        <v>476</v>
      </c>
      <c r="AN71" s="1389">
        <v>1.0</v>
      </c>
      <c r="AO71" s="1032" t="s">
        <v>485</v>
      </c>
      <c r="AP71" s="1327" t="s">
        <v>476</v>
      </c>
      <c r="AQ71" s="1389">
        <v>1.0</v>
      </c>
      <c r="AR71" s="1032" t="s">
        <v>485</v>
      </c>
      <c r="AS71" s="1327" t="s">
        <v>476</v>
      </c>
      <c r="AT71" s="1389">
        <v>1.0</v>
      </c>
      <c r="AU71" s="1032" t="s">
        <v>485</v>
      </c>
      <c r="AV71" s="1327" t="s">
        <v>476</v>
      </c>
      <c r="AW71" s="1389">
        <v>1.0</v>
      </c>
      <c r="AX71" s="1032" t="s">
        <v>485</v>
      </c>
      <c r="AY71" s="1327" t="s">
        <v>476</v>
      </c>
      <c r="AZ71" s="1389">
        <v>1.0</v>
      </c>
      <c r="BA71" s="1032" t="s">
        <v>485</v>
      </c>
      <c r="BB71" s="1327" t="s">
        <v>476</v>
      </c>
      <c r="BC71" s="1389">
        <v>1.0</v>
      </c>
      <c r="BD71" s="1360" t="s">
        <v>485</v>
      </c>
      <c r="BE71" s="1390" t="s">
        <v>476</v>
      </c>
      <c r="BF71" s="1359">
        <v>1.0</v>
      </c>
      <c r="BG71" s="1360" t="s">
        <v>485</v>
      </c>
      <c r="BH71" s="1390" t="s">
        <v>476</v>
      </c>
      <c r="BI71" s="1359">
        <v>1.0</v>
      </c>
      <c r="BJ71" s="1360" t="s">
        <v>485</v>
      </c>
      <c r="BK71" s="1390" t="s">
        <v>476</v>
      </c>
      <c r="BL71" s="1359">
        <v>1.0</v>
      </c>
      <c r="BM71" s="1360" t="s">
        <v>485</v>
      </c>
      <c r="BN71" s="1390" t="s">
        <v>476</v>
      </c>
      <c r="BO71" s="1359">
        <v>1.0</v>
      </c>
      <c r="BP71" s="1360" t="s">
        <v>485</v>
      </c>
      <c r="BQ71" s="1390" t="s">
        <v>476</v>
      </c>
      <c r="BR71" s="1359">
        <v>1.0</v>
      </c>
      <c r="BS71" s="1360" t="s">
        <v>485</v>
      </c>
      <c r="BT71" s="1390" t="s">
        <v>476</v>
      </c>
      <c r="BU71" s="1359">
        <v>1.0</v>
      </c>
      <c r="BV71" s="1360" t="s">
        <v>485</v>
      </c>
      <c r="BW71" s="1390" t="s">
        <v>476</v>
      </c>
      <c r="BX71" s="1359">
        <v>1.0</v>
      </c>
      <c r="BY71" s="1360" t="s">
        <v>485</v>
      </c>
      <c r="BZ71" s="1390" t="s">
        <v>476</v>
      </c>
      <c r="CA71" s="1359">
        <v>1.0</v>
      </c>
      <c r="CB71" s="1360" t="s">
        <v>485</v>
      </c>
      <c r="CC71" s="1390" t="s">
        <v>476</v>
      </c>
      <c r="CD71" s="1359">
        <v>1.0</v>
      </c>
      <c r="CE71" s="1360" t="s">
        <v>485</v>
      </c>
      <c r="CF71" s="1390" t="s">
        <v>476</v>
      </c>
      <c r="CG71" s="1359">
        <v>1.0</v>
      </c>
      <c r="CH71" s="1417" t="s">
        <v>485</v>
      </c>
      <c r="CI71" s="1418" t="s">
        <v>476</v>
      </c>
      <c r="CJ71" s="1419">
        <v>1.0</v>
      </c>
      <c r="CK71" s="1417" t="s">
        <v>485</v>
      </c>
      <c r="CL71" s="1418" t="s">
        <v>476</v>
      </c>
      <c r="CM71" s="1419">
        <v>1.0</v>
      </c>
      <c r="CN71" s="1417" t="s">
        <v>485</v>
      </c>
      <c r="CO71" s="1418" t="s">
        <v>476</v>
      </c>
      <c r="CP71" s="1419">
        <v>1.0</v>
      </c>
      <c r="CQ71" s="1417" t="s">
        <v>485</v>
      </c>
      <c r="CR71" s="1418" t="s">
        <v>476</v>
      </c>
      <c r="CS71" s="1419">
        <v>1.0</v>
      </c>
      <c r="CT71" s="1417" t="s">
        <v>485</v>
      </c>
      <c r="CU71" s="1418" t="s">
        <v>476</v>
      </c>
      <c r="CV71" s="1419">
        <v>1.0</v>
      </c>
      <c r="CW71" s="1417" t="s">
        <v>485</v>
      </c>
      <c r="CX71" s="1418" t="s">
        <v>476</v>
      </c>
      <c r="CY71" s="1419">
        <v>1.0</v>
      </c>
      <c r="CZ71" s="1417" t="s">
        <v>485</v>
      </c>
      <c r="DA71" s="1418" t="s">
        <v>476</v>
      </c>
      <c r="DB71" s="1419">
        <v>1.0</v>
      </c>
      <c r="DC71" s="1417" t="s">
        <v>485</v>
      </c>
      <c r="DD71" s="1418" t="s">
        <v>476</v>
      </c>
      <c r="DE71" s="1419">
        <v>1.0</v>
      </c>
      <c r="DF71" s="1417" t="s">
        <v>485</v>
      </c>
      <c r="DG71" s="1418" t="s">
        <v>476</v>
      </c>
      <c r="DH71" s="1419">
        <v>1.0</v>
      </c>
      <c r="DI71" s="1417" t="s">
        <v>485</v>
      </c>
      <c r="DJ71" s="1418" t="s">
        <v>476</v>
      </c>
      <c r="DK71" s="1419">
        <v>1.0</v>
      </c>
      <c r="DL71" s="1417" t="s">
        <v>485</v>
      </c>
      <c r="DM71" s="1418" t="s">
        <v>476</v>
      </c>
      <c r="DN71" s="1419">
        <v>1.0</v>
      </c>
      <c r="DO71" s="1417" t="s">
        <v>485</v>
      </c>
      <c r="DP71" s="1418" t="s">
        <v>476</v>
      </c>
      <c r="DQ71" s="1419">
        <v>1.0</v>
      </c>
      <c r="DR71" s="1417" t="s">
        <v>485</v>
      </c>
      <c r="DS71" s="1418" t="s">
        <v>476</v>
      </c>
      <c r="DT71" s="1419">
        <v>1.0</v>
      </c>
      <c r="DU71" s="1417" t="s">
        <v>485</v>
      </c>
      <c r="DV71" s="1418" t="s">
        <v>476</v>
      </c>
      <c r="DW71" s="1419">
        <v>1.0</v>
      </c>
      <c r="DX71" s="135"/>
      <c r="DY71" s="135"/>
      <c r="DZ71" s="135"/>
    </row>
    <row r="72" outlineLevel="1">
      <c r="A72" s="1262">
        <v>71.0</v>
      </c>
      <c r="B72" s="1379" t="s">
        <v>239</v>
      </c>
      <c r="C72" s="1511" t="s">
        <v>240</v>
      </c>
      <c r="D72" s="1280" t="s">
        <v>90</v>
      </c>
      <c r="E72" s="1610" t="s">
        <v>169</v>
      </c>
      <c r="F72" s="1294">
        <v>1112.0</v>
      </c>
      <c r="G72" s="1280" t="s">
        <v>169</v>
      </c>
      <c r="H72" s="1295">
        <v>1112.0</v>
      </c>
      <c r="I72" s="1322" t="str">
        <f>IFERROR(VLOOKUP(C69:C218,'R22 RELATÓRIO ACC'!B:F,5,FALSE),"NOT PUBLISHED")</f>
        <v>V16</v>
      </c>
      <c r="J72" s="1322" t="str">
        <f>IFERROR(VLOOKUP(C69:C218,'R22 RELATÓRIO ACC'!B:P,15,FALSE),"NOT PUBLISHED")</f>
        <v>14/05/2026</v>
      </c>
      <c r="K72" s="1353" t="str">
        <f>IFERROR(VLOOKUP(B71:B224,'RELATÓRIO ACC'!B:F,5,FALSE),"NOT PUBLISHED")</f>
        <v>V4</v>
      </c>
      <c r="L72" s="1285" t="str">
        <f>IFERROR(VLOOKUP(B71:B224,'RELATÓRIO ACC'!B:P,15,FALSE),"NOT PUBLISHED")</f>
        <v>13/07/2026</v>
      </c>
      <c r="M72" s="1611" t="s">
        <v>470</v>
      </c>
      <c r="N72" s="1612">
        <v>46161.0</v>
      </c>
      <c r="O72" s="1613" t="s">
        <v>482</v>
      </c>
      <c r="P72" s="1614" t="s">
        <v>473</v>
      </c>
      <c r="Q72" s="1281" t="s">
        <v>477</v>
      </c>
      <c r="R72" s="1202" t="s">
        <v>476</v>
      </c>
      <c r="S72" s="1422">
        <v>0.31</v>
      </c>
      <c r="T72" s="1032" t="s">
        <v>477</v>
      </c>
      <c r="U72" s="1202" t="s">
        <v>476</v>
      </c>
      <c r="V72" s="1422">
        <v>0.4</v>
      </c>
      <c r="W72" s="1492" t="s">
        <v>478</v>
      </c>
      <c r="X72" s="1327" t="s">
        <v>476</v>
      </c>
      <c r="Y72" s="760" t="s">
        <v>478</v>
      </c>
      <c r="Z72" s="1562" t="s">
        <v>477</v>
      </c>
      <c r="AA72" s="1327" t="s">
        <v>476</v>
      </c>
      <c r="AB72" s="1571">
        <v>0.59</v>
      </c>
      <c r="AC72" s="758" t="s">
        <v>478</v>
      </c>
      <c r="AD72" s="1327" t="s">
        <v>476</v>
      </c>
      <c r="AE72" s="1409" t="s">
        <v>478</v>
      </c>
      <c r="AF72" s="758" t="s">
        <v>478</v>
      </c>
      <c r="AG72" s="1327" t="s">
        <v>476</v>
      </c>
      <c r="AH72" s="1409" t="s">
        <v>478</v>
      </c>
      <c r="AI72" s="758" t="s">
        <v>475</v>
      </c>
      <c r="AJ72" s="1327" t="s">
        <v>476</v>
      </c>
      <c r="AK72" s="1409" t="s">
        <v>475</v>
      </c>
      <c r="AL72" s="758" t="s">
        <v>478</v>
      </c>
      <c r="AM72" s="1327" t="s">
        <v>476</v>
      </c>
      <c r="AN72" s="1409" t="s">
        <v>478</v>
      </c>
      <c r="AO72" s="758" t="s">
        <v>478</v>
      </c>
      <c r="AP72" s="1327" t="s">
        <v>476</v>
      </c>
      <c r="AQ72" s="1409" t="s">
        <v>478</v>
      </c>
      <c r="AR72" s="758" t="s">
        <v>478</v>
      </c>
      <c r="AS72" s="1327" t="s">
        <v>476</v>
      </c>
      <c r="AT72" s="1409" t="s">
        <v>478</v>
      </c>
      <c r="AU72" s="1048" t="s">
        <v>474</v>
      </c>
      <c r="AV72" s="1327" t="s">
        <v>476</v>
      </c>
      <c r="AW72" s="1388" t="s">
        <v>474</v>
      </c>
      <c r="AX72" s="758" t="s">
        <v>475</v>
      </c>
      <c r="AY72" s="759" t="s">
        <v>476</v>
      </c>
      <c r="AZ72" s="1409" t="s">
        <v>475</v>
      </c>
      <c r="BA72" s="1048" t="s">
        <v>477</v>
      </c>
      <c r="BB72" s="759" t="s">
        <v>476</v>
      </c>
      <c r="BC72" s="1385">
        <v>0.62</v>
      </c>
      <c r="BD72" s="1329" t="s">
        <v>478</v>
      </c>
      <c r="BE72" s="1088" t="s">
        <v>476</v>
      </c>
      <c r="BF72" s="1512" t="s">
        <v>478</v>
      </c>
      <c r="BG72" s="755" t="s">
        <v>475</v>
      </c>
      <c r="BH72" s="1088" t="s">
        <v>476</v>
      </c>
      <c r="BI72" s="1399" t="s">
        <v>475</v>
      </c>
      <c r="BJ72" s="755" t="s">
        <v>474</v>
      </c>
      <c r="BK72" s="1088" t="s">
        <v>476</v>
      </c>
      <c r="BL72" s="1399" t="s">
        <v>474</v>
      </c>
      <c r="BM72" s="1034" t="s">
        <v>474</v>
      </c>
      <c r="BN72" s="1088" t="s">
        <v>476</v>
      </c>
      <c r="BO72" s="1398" t="s">
        <v>474</v>
      </c>
      <c r="BP72" s="1034" t="s">
        <v>474</v>
      </c>
      <c r="BQ72" s="1088" t="s">
        <v>476</v>
      </c>
      <c r="BR72" s="1398" t="s">
        <v>474</v>
      </c>
      <c r="BS72" s="1034" t="s">
        <v>474</v>
      </c>
      <c r="BT72" s="1088" t="s">
        <v>476</v>
      </c>
      <c r="BU72" s="1398" t="s">
        <v>474</v>
      </c>
      <c r="BV72" s="755" t="s">
        <v>477</v>
      </c>
      <c r="BW72" s="1088" t="s">
        <v>476</v>
      </c>
      <c r="BX72" s="1385">
        <v>0.81</v>
      </c>
      <c r="BY72" s="755" t="s">
        <v>474</v>
      </c>
      <c r="BZ72" s="1088" t="s">
        <v>476</v>
      </c>
      <c r="CA72" s="1399" t="s">
        <v>474</v>
      </c>
      <c r="CB72" s="755" t="s">
        <v>474</v>
      </c>
      <c r="CC72" s="1088" t="s">
        <v>476</v>
      </c>
      <c r="CD72" s="1399" t="s">
        <v>474</v>
      </c>
      <c r="CE72" s="755" t="s">
        <v>477</v>
      </c>
      <c r="CF72" s="1088"/>
      <c r="CG72" s="1358">
        <v>0.89</v>
      </c>
      <c r="CH72" s="1150" t="s">
        <v>474</v>
      </c>
      <c r="CI72" s="1615"/>
      <c r="CJ72" s="1150" t="s">
        <v>474</v>
      </c>
      <c r="CK72" s="1150" t="s">
        <v>477</v>
      </c>
      <c r="CL72" s="1616" t="s">
        <v>719</v>
      </c>
      <c r="CM72" s="1617">
        <v>0.93</v>
      </c>
      <c r="CN72" s="763" t="s">
        <v>474</v>
      </c>
      <c r="CO72" s="1616"/>
      <c r="CP72" s="763" t="s">
        <v>474</v>
      </c>
      <c r="CQ72" s="68" t="s">
        <v>484</v>
      </c>
      <c r="CR72" s="1616" t="s">
        <v>715</v>
      </c>
      <c r="CS72" s="1617">
        <v>1.0</v>
      </c>
      <c r="CT72" s="1417" t="s">
        <v>485</v>
      </c>
      <c r="CU72" s="1418" t="s">
        <v>476</v>
      </c>
      <c r="CV72" s="1617">
        <v>1.0</v>
      </c>
      <c r="CW72" s="1417" t="s">
        <v>485</v>
      </c>
      <c r="CX72" s="1418" t="s">
        <v>476</v>
      </c>
      <c r="CY72" s="1617">
        <v>1.0</v>
      </c>
      <c r="CZ72" s="1417" t="s">
        <v>485</v>
      </c>
      <c r="DA72" s="1418" t="s">
        <v>476</v>
      </c>
      <c r="DB72" s="1617">
        <v>1.0</v>
      </c>
      <c r="DC72" s="1417" t="s">
        <v>485</v>
      </c>
      <c r="DD72" s="1418" t="s">
        <v>476</v>
      </c>
      <c r="DE72" s="1617">
        <v>1.0</v>
      </c>
      <c r="DF72" s="1417" t="s">
        <v>485</v>
      </c>
      <c r="DG72" s="1418" t="s">
        <v>476</v>
      </c>
      <c r="DH72" s="1617">
        <v>1.0</v>
      </c>
      <c r="DI72" s="1417" t="s">
        <v>485</v>
      </c>
      <c r="DJ72" s="1418" t="s">
        <v>476</v>
      </c>
      <c r="DK72" s="1617">
        <v>1.0</v>
      </c>
      <c r="DL72" s="1417" t="s">
        <v>485</v>
      </c>
      <c r="DM72" s="1418" t="s">
        <v>476</v>
      </c>
      <c r="DN72" s="1617">
        <v>1.0</v>
      </c>
      <c r="DO72" s="1417" t="s">
        <v>485</v>
      </c>
      <c r="DP72" s="1418" t="s">
        <v>476</v>
      </c>
      <c r="DQ72" s="1617">
        <v>1.0</v>
      </c>
      <c r="DR72" s="1417" t="s">
        <v>485</v>
      </c>
      <c r="DS72" s="1418" t="s">
        <v>476</v>
      </c>
      <c r="DT72" s="1617">
        <v>1.0</v>
      </c>
      <c r="DU72" s="1417" t="s">
        <v>485</v>
      </c>
      <c r="DV72" s="1418" t="s">
        <v>476</v>
      </c>
      <c r="DW72" s="1617">
        <v>1.0</v>
      </c>
      <c r="DX72" s="68"/>
      <c r="DY72" s="68"/>
      <c r="DZ72" s="68"/>
    </row>
    <row r="73" outlineLevel="1">
      <c r="A73" s="1262">
        <v>21.0</v>
      </c>
      <c r="B73" s="1618" t="s">
        <v>125</v>
      </c>
      <c r="C73" s="1619" t="s">
        <v>126</v>
      </c>
      <c r="D73" s="1620" t="s">
        <v>127</v>
      </c>
      <c r="E73" s="1621" t="s">
        <v>128</v>
      </c>
      <c r="F73" s="1621">
        <v>1109.0</v>
      </c>
      <c r="G73" s="1620" t="s">
        <v>128</v>
      </c>
      <c r="H73" s="1622">
        <v>1109.0</v>
      </c>
      <c r="I73" s="1623" t="str">
        <f>IFERROR(VLOOKUP(C70:C219,'R22 RELATÓRIO ACC'!B:F,5,FALSE),"NOT PUBLISHED")</f>
        <v>V9</v>
      </c>
      <c r="J73" s="1623" t="str">
        <f>IFERROR(VLOOKUP(C70:C219,'R22 RELATÓRIO ACC'!B:P,15,FALSE),"NOT PUBLISHED")</f>
        <v>04/12/2025</v>
      </c>
      <c r="K73" s="1353" t="str">
        <f>IFERROR(VLOOKUP(B72:B227,'RELATÓRIO ACC'!B:F,5,FALSE),"NOT PUBLISHED")</f>
        <v>V1</v>
      </c>
      <c r="L73" s="1285" t="str">
        <f>IFERROR(VLOOKUP(B72:B227,'RELATÓRIO ACC'!B:P,15,FALSE),"NOT PUBLISHED")</f>
        <v>20/05/2026</v>
      </c>
      <c r="M73" s="1624" t="s">
        <v>508</v>
      </c>
      <c r="N73" s="1625">
        <v>45995.0</v>
      </c>
      <c r="O73" s="1626" t="s">
        <v>482</v>
      </c>
      <c r="P73" s="1627" t="s">
        <v>129</v>
      </c>
      <c r="Q73" s="1628" t="s">
        <v>477</v>
      </c>
      <c r="R73" s="1629" t="s">
        <v>476</v>
      </c>
      <c r="S73" s="1630">
        <v>0.34</v>
      </c>
      <c r="T73" s="1631" t="s">
        <v>478</v>
      </c>
      <c r="U73" s="1632" t="s">
        <v>476</v>
      </c>
      <c r="V73" s="1633" t="s">
        <v>478</v>
      </c>
      <c r="W73" s="1634" t="s">
        <v>478</v>
      </c>
      <c r="X73" s="1632" t="s">
        <v>476</v>
      </c>
      <c r="Y73" s="1635" t="s">
        <v>478</v>
      </c>
      <c r="Z73" s="1631" t="s">
        <v>478</v>
      </c>
      <c r="AA73" s="1632" t="s">
        <v>476</v>
      </c>
      <c r="AB73" s="1636" t="s">
        <v>478</v>
      </c>
      <c r="AC73" s="1631" t="s">
        <v>478</v>
      </c>
      <c r="AD73" s="1632" t="s">
        <v>476</v>
      </c>
      <c r="AE73" s="1636" t="s">
        <v>478</v>
      </c>
      <c r="AF73" s="1631" t="s">
        <v>478</v>
      </c>
      <c r="AG73" s="1632" t="s">
        <v>476</v>
      </c>
      <c r="AH73" s="1636" t="s">
        <v>478</v>
      </c>
      <c r="AI73" s="1631" t="s">
        <v>478</v>
      </c>
      <c r="AJ73" s="1632" t="s">
        <v>476</v>
      </c>
      <c r="AK73" s="1636" t="s">
        <v>478</v>
      </c>
      <c r="AL73" s="1637" t="s">
        <v>478</v>
      </c>
      <c r="AM73" s="1638" t="s">
        <v>476</v>
      </c>
      <c r="AN73" s="1639" t="s">
        <v>478</v>
      </c>
      <c r="AO73" s="1637" t="s">
        <v>478</v>
      </c>
      <c r="AP73" s="1638" t="s">
        <v>476</v>
      </c>
      <c r="AQ73" s="1639" t="s">
        <v>478</v>
      </c>
      <c r="AR73" s="1637" t="s">
        <v>478</v>
      </c>
      <c r="AS73" s="1638" t="s">
        <v>476</v>
      </c>
      <c r="AT73" s="1639" t="s">
        <v>478</v>
      </c>
      <c r="AU73" s="1640" t="s">
        <v>484</v>
      </c>
      <c r="AV73" s="1638"/>
      <c r="AW73" s="1641">
        <v>1.0</v>
      </c>
      <c r="AX73" s="1642" t="s">
        <v>485</v>
      </c>
      <c r="AY73" s="1638"/>
      <c r="AZ73" s="1641">
        <v>1.0</v>
      </c>
      <c r="BA73" s="1642" t="s">
        <v>485</v>
      </c>
      <c r="BB73" s="1638"/>
      <c r="BC73" s="1641">
        <v>1.0</v>
      </c>
      <c r="BD73" s="1643" t="s">
        <v>485</v>
      </c>
      <c r="BE73" s="1644"/>
      <c r="BF73" s="1645">
        <v>1.0</v>
      </c>
      <c r="BG73" s="1643" t="s">
        <v>485</v>
      </c>
      <c r="BH73" s="1644"/>
      <c r="BI73" s="1645">
        <v>1.0</v>
      </c>
      <c r="BJ73" s="1643" t="s">
        <v>485</v>
      </c>
      <c r="BK73" s="1644"/>
      <c r="BL73" s="1645">
        <v>1.0</v>
      </c>
      <c r="BM73" s="1643" t="s">
        <v>485</v>
      </c>
      <c r="BN73" s="1644"/>
      <c r="BO73" s="1645">
        <v>1.0</v>
      </c>
      <c r="BP73" s="1643" t="s">
        <v>485</v>
      </c>
      <c r="BQ73" s="1644"/>
      <c r="BR73" s="1645">
        <v>1.0</v>
      </c>
      <c r="BS73" s="1643" t="s">
        <v>485</v>
      </c>
      <c r="BT73" s="1644"/>
      <c r="BU73" s="1645">
        <v>1.0</v>
      </c>
      <c r="BV73" s="1643" t="s">
        <v>485</v>
      </c>
      <c r="BW73" s="1644"/>
      <c r="BX73" s="1645">
        <v>1.0</v>
      </c>
      <c r="BY73" s="1643" t="s">
        <v>485</v>
      </c>
      <c r="BZ73" s="1644"/>
      <c r="CA73" s="1645">
        <v>1.0</v>
      </c>
      <c r="CB73" s="1643" t="s">
        <v>485</v>
      </c>
      <c r="CC73" s="1644"/>
      <c r="CD73" s="1645">
        <v>1.0</v>
      </c>
      <c r="CE73" s="1643" t="s">
        <v>485</v>
      </c>
      <c r="CF73" s="1644"/>
      <c r="CG73" s="1645">
        <v>1.0</v>
      </c>
      <c r="CH73" s="1417" t="s">
        <v>485</v>
      </c>
      <c r="CI73" s="1646"/>
      <c r="CJ73" s="1419">
        <v>1.0</v>
      </c>
      <c r="CK73" s="1417" t="s">
        <v>485</v>
      </c>
      <c r="CL73" s="1646"/>
      <c r="CM73" s="1419">
        <v>1.0</v>
      </c>
      <c r="CN73" s="1417" t="s">
        <v>485</v>
      </c>
      <c r="CO73" s="1646"/>
      <c r="CP73" s="1419">
        <v>1.0</v>
      </c>
      <c r="CQ73" s="1417" t="s">
        <v>485</v>
      </c>
      <c r="CR73" s="1646"/>
      <c r="CS73" s="1419">
        <v>1.0</v>
      </c>
      <c r="CT73" s="1417" t="s">
        <v>485</v>
      </c>
      <c r="CU73" s="1646"/>
      <c r="CV73" s="1419">
        <v>1.0</v>
      </c>
      <c r="CW73" s="1417" t="s">
        <v>485</v>
      </c>
      <c r="CX73" s="1646"/>
      <c r="CY73" s="1419">
        <v>1.0</v>
      </c>
      <c r="CZ73" s="1417" t="s">
        <v>485</v>
      </c>
      <c r="DA73" s="1646"/>
      <c r="DB73" s="1419">
        <v>1.0</v>
      </c>
      <c r="DC73" s="1417" t="s">
        <v>485</v>
      </c>
      <c r="DD73" s="1646"/>
      <c r="DE73" s="1419">
        <v>1.0</v>
      </c>
      <c r="DF73" s="1417" t="s">
        <v>485</v>
      </c>
      <c r="DG73" s="1646"/>
      <c r="DH73" s="1419">
        <v>1.0</v>
      </c>
      <c r="DI73" s="1417" t="s">
        <v>485</v>
      </c>
      <c r="DJ73" s="1646"/>
      <c r="DK73" s="1419">
        <v>1.0</v>
      </c>
      <c r="DL73" s="1417" t="s">
        <v>485</v>
      </c>
      <c r="DM73" s="1646"/>
      <c r="DN73" s="1419">
        <v>1.0</v>
      </c>
      <c r="DO73" s="1360" t="s">
        <v>485</v>
      </c>
      <c r="DP73" s="1646"/>
      <c r="DQ73" s="1392">
        <v>1.0</v>
      </c>
      <c r="DR73" s="1360" t="s">
        <v>485</v>
      </c>
      <c r="DS73" s="1646"/>
      <c r="DT73" s="1392">
        <v>1.0</v>
      </c>
      <c r="DU73" s="1360" t="s">
        <v>485</v>
      </c>
      <c r="DV73" s="1646"/>
      <c r="DW73" s="1392">
        <v>1.0</v>
      </c>
      <c r="DX73" s="68"/>
      <c r="DY73" s="68"/>
      <c r="DZ73" s="68"/>
    </row>
    <row r="74" ht="498.0" hidden="1" customHeight="1" outlineLevel="1">
      <c r="A74" s="569"/>
      <c r="B74" s="570"/>
      <c r="C74" s="570"/>
      <c r="D74" s="570"/>
      <c r="E74" s="571"/>
      <c r="F74" s="571"/>
      <c r="G74" s="571"/>
      <c r="H74" s="571"/>
      <c r="I74" s="68"/>
      <c r="J74" s="68"/>
      <c r="K74" s="68"/>
      <c r="L74" s="572"/>
      <c r="M74" s="68"/>
      <c r="N74" s="573"/>
      <c r="O74" s="856" t="s">
        <v>462</v>
      </c>
      <c r="P74" s="68"/>
      <c r="Q74" s="68"/>
      <c r="R74" s="68"/>
      <c r="S74" s="135"/>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c r="CC74" s="68"/>
      <c r="CD74" s="68"/>
      <c r="CE74" s="68"/>
      <c r="CF74" s="68"/>
      <c r="CG74" s="68"/>
      <c r="CH74" s="1223"/>
      <c r="CI74" s="1223"/>
      <c r="CJ74" s="1223"/>
      <c r="CK74" s="1223"/>
      <c r="CL74" s="1223"/>
      <c r="CM74" s="1223"/>
      <c r="CN74" s="1223"/>
      <c r="CO74" s="1223"/>
      <c r="CP74" s="1223"/>
      <c r="CQ74" s="1223"/>
      <c r="CR74" s="1223"/>
      <c r="CS74" s="1223"/>
      <c r="CT74" s="1223"/>
      <c r="CU74" s="1223"/>
      <c r="CV74" s="1223"/>
      <c r="CW74" s="1223"/>
      <c r="CX74" s="1223"/>
      <c r="CY74" s="1223"/>
      <c r="CZ74" s="1223"/>
      <c r="DA74" s="1223"/>
      <c r="DB74" s="1223"/>
      <c r="DC74" s="1223"/>
      <c r="DD74" s="1223"/>
      <c r="DE74" s="1223"/>
      <c r="DF74" s="1223"/>
      <c r="DG74" s="1223"/>
      <c r="DH74" s="1223"/>
      <c r="DI74" s="1223"/>
      <c r="DJ74" s="1223"/>
      <c r="DK74" s="1223"/>
      <c r="DL74" s="1223"/>
      <c r="DM74" s="1223"/>
      <c r="DN74" s="1223"/>
      <c r="DO74" s="1223"/>
      <c r="DP74" s="1223"/>
      <c r="DQ74" s="1223"/>
      <c r="DR74" s="1223"/>
      <c r="DS74" s="1223"/>
      <c r="DT74" s="1223"/>
      <c r="DU74" s="1223"/>
      <c r="DV74" s="1223"/>
      <c r="DW74" s="1223"/>
      <c r="DX74" s="68"/>
      <c r="DY74" s="68"/>
      <c r="DZ74" s="68"/>
    </row>
    <row r="75" ht="52.5" hidden="1" customHeight="1" outlineLevel="1">
      <c r="A75" s="59"/>
      <c r="B75" s="59"/>
      <c r="C75" s="59"/>
      <c r="D75" s="574"/>
      <c r="E75" s="575"/>
      <c r="F75" s="575"/>
      <c r="G75" s="575"/>
      <c r="H75" s="575"/>
      <c r="I75" s="59"/>
      <c r="J75" s="59"/>
      <c r="K75" s="59"/>
      <c r="L75" s="59"/>
      <c r="M75" s="59"/>
      <c r="N75" s="59"/>
      <c r="O75" s="1290" t="s">
        <v>462</v>
      </c>
      <c r="P75" s="59"/>
      <c r="Q75" s="577"/>
      <c r="R75" s="577"/>
      <c r="S75" s="577"/>
      <c r="T75" s="577"/>
      <c r="U75" s="577"/>
      <c r="V75" s="577"/>
      <c r="W75" s="577"/>
      <c r="X75" s="577"/>
      <c r="Y75" s="577"/>
      <c r="Z75" s="577"/>
      <c r="AA75" s="577"/>
      <c r="AB75" s="577"/>
      <c r="AC75" s="577"/>
      <c r="AD75" s="577"/>
      <c r="AE75" s="577"/>
      <c r="AF75" s="577"/>
      <c r="AG75" s="577"/>
      <c r="AH75" s="577"/>
      <c r="AI75" s="577"/>
      <c r="AJ75" s="577"/>
      <c r="AK75" s="577"/>
      <c r="AL75" s="577"/>
      <c r="AM75" s="577"/>
      <c r="AN75" s="577"/>
      <c r="AO75" s="577"/>
      <c r="AP75" s="577"/>
      <c r="AQ75" s="577"/>
      <c r="AR75" s="577"/>
      <c r="AS75" s="577"/>
      <c r="AT75" s="577"/>
      <c r="AU75" s="577"/>
      <c r="AV75" s="577"/>
      <c r="AW75" s="577"/>
      <c r="AX75" s="577"/>
      <c r="AY75" s="577"/>
      <c r="AZ75" s="577"/>
      <c r="BA75" s="577"/>
      <c r="BB75" s="577"/>
      <c r="BC75" s="577"/>
      <c r="BD75" s="577"/>
      <c r="BE75" s="577"/>
      <c r="BF75" s="577"/>
      <c r="BG75" s="577"/>
      <c r="BH75" s="577"/>
      <c r="BI75" s="577"/>
      <c r="BJ75" s="577"/>
      <c r="BK75" s="577"/>
      <c r="BL75" s="577"/>
      <c r="BM75" s="577"/>
      <c r="BN75" s="577"/>
      <c r="BO75" s="577"/>
      <c r="BP75" s="577"/>
      <c r="BQ75" s="577"/>
      <c r="BR75" s="577"/>
      <c r="BS75" s="577"/>
      <c r="BT75" s="577"/>
      <c r="BU75" s="577"/>
      <c r="BV75" s="577"/>
      <c r="BW75" s="577"/>
      <c r="BX75" s="577"/>
      <c r="BY75" s="577"/>
      <c r="BZ75" s="577"/>
      <c r="CA75" s="577"/>
      <c r="CB75" s="577"/>
      <c r="CC75" s="577"/>
      <c r="CD75" s="577"/>
      <c r="CE75" s="577"/>
      <c r="CF75" s="577"/>
      <c r="CG75" s="577"/>
      <c r="CH75" s="1223"/>
      <c r="CI75" s="1223"/>
      <c r="CJ75" s="1223"/>
      <c r="CK75" s="1223"/>
      <c r="CL75" s="1223"/>
      <c r="CM75" s="1223"/>
      <c r="CN75" s="1223"/>
      <c r="CO75" s="1223"/>
      <c r="CP75" s="1223"/>
      <c r="CQ75" s="1223"/>
      <c r="CR75" s="1223"/>
      <c r="CS75" s="1223"/>
      <c r="CT75" s="1223"/>
      <c r="CU75" s="1223"/>
      <c r="CV75" s="1223"/>
      <c r="CW75" s="1223"/>
      <c r="CX75" s="1223"/>
      <c r="CY75" s="1223"/>
      <c r="CZ75" s="1223"/>
      <c r="DA75" s="1223"/>
      <c r="DB75" s="1223"/>
      <c r="DC75" s="1223"/>
      <c r="DD75" s="1223"/>
      <c r="DE75" s="1223"/>
      <c r="DF75" s="1223"/>
      <c r="DG75" s="1223"/>
      <c r="DH75" s="1223"/>
      <c r="DI75" s="1223"/>
      <c r="DJ75" s="1223"/>
      <c r="DK75" s="1223"/>
      <c r="DL75" s="1223"/>
      <c r="DM75" s="1223"/>
      <c r="DN75" s="1223"/>
      <c r="DO75" s="1223"/>
      <c r="DP75" s="1223"/>
      <c r="DQ75" s="1223"/>
      <c r="DR75" s="1223"/>
      <c r="DS75" s="1223"/>
      <c r="DT75" s="1223"/>
      <c r="DU75" s="1223"/>
      <c r="DV75" s="1223"/>
      <c r="DW75" s="1223"/>
      <c r="DX75" s="577"/>
      <c r="DY75" s="577"/>
      <c r="DZ75" s="577"/>
    </row>
    <row r="76" ht="52.5" hidden="1" customHeight="1" outlineLevel="1">
      <c r="A76" s="59"/>
      <c r="B76" s="59"/>
      <c r="C76" s="59"/>
      <c r="D76" s="574"/>
      <c r="E76" s="575"/>
      <c r="F76" s="575"/>
      <c r="G76" s="575"/>
      <c r="H76" s="575"/>
      <c r="I76" s="59"/>
      <c r="J76" s="59"/>
      <c r="K76" s="59"/>
      <c r="L76" s="59"/>
      <c r="M76" s="59"/>
      <c r="N76" s="59"/>
      <c r="O76" s="1290" t="s">
        <v>466</v>
      </c>
      <c r="P76" s="59"/>
      <c r="Q76" s="577"/>
      <c r="R76" s="577"/>
      <c r="S76" s="577"/>
      <c r="T76" s="577"/>
      <c r="U76" s="577"/>
      <c r="V76" s="577"/>
      <c r="W76" s="577"/>
      <c r="X76" s="577"/>
      <c r="Y76" s="577"/>
      <c r="Z76" s="577"/>
      <c r="AA76" s="577"/>
      <c r="AB76" s="577"/>
      <c r="AC76" s="577"/>
      <c r="AD76" s="577"/>
      <c r="AE76" s="577"/>
      <c r="AF76" s="577"/>
      <c r="AG76" s="577"/>
      <c r="AH76" s="577"/>
      <c r="AI76" s="577"/>
      <c r="AJ76" s="577"/>
      <c r="AK76" s="577"/>
      <c r="AL76" s="577"/>
      <c r="AM76" s="577"/>
      <c r="AN76" s="577"/>
      <c r="AO76" s="577"/>
      <c r="AP76" s="577"/>
      <c r="AQ76" s="577"/>
      <c r="AR76" s="577"/>
      <c r="AS76" s="577"/>
      <c r="AT76" s="577"/>
      <c r="AU76" s="577"/>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7"/>
      <c r="BS76" s="577"/>
      <c r="BT76" s="577"/>
      <c r="BU76" s="577"/>
      <c r="BV76" s="577"/>
      <c r="BW76" s="577"/>
      <c r="BX76" s="577"/>
      <c r="BY76" s="577"/>
      <c r="BZ76" s="577"/>
      <c r="CA76" s="577"/>
      <c r="CB76" s="577"/>
      <c r="CC76" s="577"/>
      <c r="CD76" s="577"/>
      <c r="CE76" s="577"/>
      <c r="CF76" s="577"/>
      <c r="CG76" s="577"/>
      <c r="CH76" s="1223"/>
      <c r="CI76" s="1223"/>
      <c r="CJ76" s="1223"/>
      <c r="CK76" s="1223"/>
      <c r="CL76" s="1223"/>
      <c r="CM76" s="1223"/>
      <c r="CN76" s="1223"/>
      <c r="CO76" s="1223"/>
      <c r="CP76" s="1223"/>
      <c r="CQ76" s="1223"/>
      <c r="CR76" s="1223"/>
      <c r="CS76" s="1223"/>
      <c r="CT76" s="1223"/>
      <c r="CU76" s="1223"/>
      <c r="CV76" s="1223"/>
      <c r="CW76" s="1223"/>
      <c r="CX76" s="1223"/>
      <c r="CY76" s="1223"/>
      <c r="CZ76" s="1223"/>
      <c r="DA76" s="1223"/>
      <c r="DB76" s="1223"/>
      <c r="DC76" s="1223"/>
      <c r="DD76" s="1223"/>
      <c r="DE76" s="1223"/>
      <c r="DF76" s="1223"/>
      <c r="DG76" s="1223"/>
      <c r="DH76" s="1223"/>
      <c r="DI76" s="1223"/>
      <c r="DJ76" s="1223"/>
      <c r="DK76" s="1223"/>
      <c r="DL76" s="1223"/>
      <c r="DM76" s="1223"/>
      <c r="DN76" s="1223"/>
      <c r="DO76" s="1223"/>
      <c r="DP76" s="1223"/>
      <c r="DQ76" s="1223"/>
      <c r="DR76" s="1223"/>
      <c r="DS76" s="1223"/>
      <c r="DT76" s="1223"/>
      <c r="DU76" s="1223"/>
      <c r="DV76" s="1223"/>
      <c r="DW76" s="1223"/>
      <c r="DX76" s="577"/>
      <c r="DY76" s="577"/>
      <c r="DZ76" s="577"/>
    </row>
    <row r="77" ht="52.5" hidden="1" customHeight="1" outlineLevel="1">
      <c r="A77" s="59"/>
      <c r="B77" s="59"/>
      <c r="C77" s="59"/>
      <c r="D77" s="574"/>
      <c r="E77" s="575"/>
      <c r="F77" s="575"/>
      <c r="G77" s="575"/>
      <c r="H77" s="575"/>
      <c r="I77" s="59"/>
      <c r="J77" s="59"/>
      <c r="K77" s="59"/>
      <c r="L77" s="59"/>
      <c r="M77" s="59"/>
      <c r="N77" s="59"/>
      <c r="O77" s="1290" t="s">
        <v>462</v>
      </c>
      <c r="P77" s="59"/>
      <c r="Q77" s="577"/>
      <c r="R77" s="577"/>
      <c r="S77" s="577"/>
      <c r="T77" s="577"/>
      <c r="U77" s="577"/>
      <c r="V77" s="577"/>
      <c r="W77" s="577"/>
      <c r="X77" s="577"/>
      <c r="Y77" s="577"/>
      <c r="Z77" s="577"/>
      <c r="AA77" s="577"/>
      <c r="AB77" s="577"/>
      <c r="AC77" s="577"/>
      <c r="AD77" s="577"/>
      <c r="AE77" s="577"/>
      <c r="AF77" s="577"/>
      <c r="AG77" s="577"/>
      <c r="AH77" s="577"/>
      <c r="AI77" s="577"/>
      <c r="AJ77" s="577"/>
      <c r="AK77" s="577"/>
      <c r="AL77" s="577"/>
      <c r="AM77" s="577"/>
      <c r="AN77" s="577"/>
      <c r="AO77" s="577"/>
      <c r="AP77" s="577"/>
      <c r="AQ77" s="577"/>
      <c r="AR77" s="577"/>
      <c r="AS77" s="577"/>
      <c r="AT77" s="577"/>
      <c r="AU77" s="577"/>
      <c r="AV77" s="577"/>
      <c r="AW77" s="577"/>
      <c r="AX77" s="577"/>
      <c r="AY77" s="577"/>
      <c r="AZ77" s="577"/>
      <c r="BA77" s="577"/>
      <c r="BB77" s="577"/>
      <c r="BC77" s="577"/>
      <c r="BD77" s="577"/>
      <c r="BE77" s="577"/>
      <c r="BF77" s="577"/>
      <c r="BG77" s="577"/>
      <c r="BH77" s="577"/>
      <c r="BI77" s="577"/>
      <c r="BJ77" s="577"/>
      <c r="BK77" s="577"/>
      <c r="BL77" s="577"/>
      <c r="BM77" s="577"/>
      <c r="BN77" s="577"/>
      <c r="BO77" s="577"/>
      <c r="BP77" s="577"/>
      <c r="BQ77" s="577"/>
      <c r="BR77" s="577"/>
      <c r="BS77" s="577"/>
      <c r="BT77" s="577"/>
      <c r="BU77" s="577"/>
      <c r="BV77" s="577"/>
      <c r="BW77" s="577"/>
      <c r="BX77" s="577"/>
      <c r="BY77" s="577"/>
      <c r="BZ77" s="577"/>
      <c r="CA77" s="577"/>
      <c r="CB77" s="577"/>
      <c r="CC77" s="577"/>
      <c r="CD77" s="577"/>
      <c r="CE77" s="577"/>
      <c r="CF77" s="577"/>
      <c r="CG77" s="577"/>
      <c r="CH77" s="1223"/>
      <c r="CI77" s="1223"/>
      <c r="CJ77" s="1223"/>
      <c r="CK77" s="1223"/>
      <c r="CL77" s="1223"/>
      <c r="CM77" s="1223"/>
      <c r="CN77" s="1223"/>
      <c r="CO77" s="1223"/>
      <c r="CP77" s="1223"/>
      <c r="CQ77" s="1223"/>
      <c r="CR77" s="1223"/>
      <c r="CS77" s="1223"/>
      <c r="CT77" s="1223"/>
      <c r="CU77" s="1223"/>
      <c r="CV77" s="1223"/>
      <c r="CW77" s="1223"/>
      <c r="CX77" s="1223"/>
      <c r="CY77" s="1223"/>
      <c r="CZ77" s="1223"/>
      <c r="DA77" s="1223"/>
      <c r="DB77" s="1223"/>
      <c r="DC77" s="1223"/>
      <c r="DD77" s="1223"/>
      <c r="DE77" s="1223"/>
      <c r="DF77" s="1223"/>
      <c r="DG77" s="1223"/>
      <c r="DH77" s="1223"/>
      <c r="DI77" s="1223"/>
      <c r="DJ77" s="1223"/>
      <c r="DK77" s="1223"/>
      <c r="DL77" s="1223"/>
      <c r="DM77" s="1223"/>
      <c r="DN77" s="1223"/>
      <c r="DO77" s="1223"/>
      <c r="DP77" s="1223"/>
      <c r="DQ77" s="1223"/>
      <c r="DR77" s="1223"/>
      <c r="DS77" s="1223"/>
      <c r="DT77" s="1223"/>
      <c r="DU77" s="1223"/>
      <c r="DV77" s="1223"/>
      <c r="DW77" s="1223"/>
      <c r="DX77" s="577"/>
      <c r="DY77" s="577"/>
      <c r="DZ77" s="577"/>
    </row>
    <row r="78" ht="52.5" hidden="1" customHeight="1" outlineLevel="1">
      <c r="A78" s="59"/>
      <c r="B78" s="59"/>
      <c r="C78" s="59"/>
      <c r="D78" s="574"/>
      <c r="E78" s="575"/>
      <c r="F78" s="575"/>
      <c r="G78" s="575"/>
      <c r="H78" s="575"/>
      <c r="I78" s="59"/>
      <c r="J78" s="59"/>
      <c r="K78" s="59"/>
      <c r="L78" s="59"/>
      <c r="M78" s="59"/>
      <c r="N78" s="59"/>
      <c r="O78" s="1290" t="s">
        <v>466</v>
      </c>
      <c r="P78" s="59"/>
      <c r="Q78" s="577"/>
      <c r="R78" s="577"/>
      <c r="S78" s="577"/>
      <c r="T78" s="577"/>
      <c r="U78" s="577"/>
      <c r="V78" s="577"/>
      <c r="W78" s="577"/>
      <c r="X78" s="577"/>
      <c r="Y78" s="577"/>
      <c r="Z78" s="577"/>
      <c r="AA78" s="577"/>
      <c r="AB78" s="577"/>
      <c r="AC78" s="577"/>
      <c r="AD78" s="577"/>
      <c r="AE78" s="577"/>
      <c r="AF78" s="577"/>
      <c r="AG78" s="577"/>
      <c r="AH78" s="577"/>
      <c r="AI78" s="577"/>
      <c r="AJ78" s="577"/>
      <c r="AK78" s="577"/>
      <c r="AL78" s="577"/>
      <c r="AM78" s="577"/>
      <c r="AN78" s="577"/>
      <c r="AO78" s="577"/>
      <c r="AP78" s="577"/>
      <c r="AQ78" s="577"/>
      <c r="AR78" s="577"/>
      <c r="AS78" s="577"/>
      <c r="AT78" s="577"/>
      <c r="AU78" s="577"/>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7"/>
      <c r="BS78" s="577"/>
      <c r="BT78" s="577"/>
      <c r="BU78" s="577"/>
      <c r="BV78" s="577"/>
      <c r="BW78" s="577"/>
      <c r="BX78" s="577"/>
      <c r="BY78" s="577"/>
      <c r="BZ78" s="577"/>
      <c r="CA78" s="577"/>
      <c r="CB78" s="577"/>
      <c r="CC78" s="577"/>
      <c r="CD78" s="577"/>
      <c r="CE78" s="577"/>
      <c r="CF78" s="577"/>
      <c r="CG78" s="577"/>
      <c r="CH78" s="1223"/>
      <c r="CI78" s="1223"/>
      <c r="CJ78" s="1223"/>
      <c r="CK78" s="1223"/>
      <c r="CL78" s="1223"/>
      <c r="CM78" s="1223"/>
      <c r="CN78" s="1223"/>
      <c r="CO78" s="1223"/>
      <c r="CP78" s="1223"/>
      <c r="CQ78" s="1223"/>
      <c r="CR78" s="1223"/>
      <c r="CS78" s="1223"/>
      <c r="CT78" s="1223"/>
      <c r="CU78" s="1223"/>
      <c r="CV78" s="1223"/>
      <c r="CW78" s="1223"/>
      <c r="CX78" s="1223"/>
      <c r="CY78" s="1223"/>
      <c r="CZ78" s="1223"/>
      <c r="DA78" s="1223"/>
      <c r="DB78" s="1223"/>
      <c r="DC78" s="1223"/>
      <c r="DD78" s="1223"/>
      <c r="DE78" s="1223"/>
      <c r="DF78" s="1223"/>
      <c r="DG78" s="1223"/>
      <c r="DH78" s="1223"/>
      <c r="DI78" s="1223"/>
      <c r="DJ78" s="1223"/>
      <c r="DK78" s="1223"/>
      <c r="DL78" s="1223"/>
      <c r="DM78" s="1223"/>
      <c r="DN78" s="1223"/>
      <c r="DO78" s="1223"/>
      <c r="DP78" s="1223"/>
      <c r="DQ78" s="1223"/>
      <c r="DR78" s="1223"/>
      <c r="DS78" s="1223"/>
      <c r="DT78" s="1223"/>
      <c r="DU78" s="1223"/>
      <c r="DV78" s="1223"/>
      <c r="DW78" s="1223"/>
      <c r="DX78" s="577"/>
      <c r="DY78" s="577"/>
      <c r="DZ78" s="577"/>
    </row>
    <row r="79" ht="52.5" hidden="1" customHeight="1" outlineLevel="1">
      <c r="A79" s="59"/>
      <c r="B79" s="59"/>
      <c r="C79" s="59"/>
      <c r="D79" s="574"/>
      <c r="E79" s="575"/>
      <c r="F79" s="575"/>
      <c r="G79" s="575"/>
      <c r="H79" s="575"/>
      <c r="I79" s="59"/>
      <c r="J79" s="59"/>
      <c r="K79" s="59"/>
      <c r="L79" s="59"/>
      <c r="M79" s="59"/>
      <c r="N79" s="59"/>
      <c r="O79" s="1290" t="s">
        <v>466</v>
      </c>
      <c r="P79" s="59"/>
      <c r="Q79" s="577"/>
      <c r="R79" s="577"/>
      <c r="S79" s="577"/>
      <c r="T79" s="577"/>
      <c r="U79" s="577"/>
      <c r="V79" s="577"/>
      <c r="W79" s="577"/>
      <c r="X79" s="577"/>
      <c r="Y79" s="577"/>
      <c r="Z79" s="577"/>
      <c r="AA79" s="577"/>
      <c r="AB79" s="577"/>
      <c r="AC79" s="577"/>
      <c r="AD79" s="577"/>
      <c r="AE79" s="577"/>
      <c r="AF79" s="577"/>
      <c r="AG79" s="577"/>
      <c r="AH79" s="577"/>
      <c r="AI79" s="577"/>
      <c r="AJ79" s="577"/>
      <c r="AK79" s="577"/>
      <c r="AL79" s="577"/>
      <c r="AM79" s="577"/>
      <c r="AN79" s="577"/>
      <c r="AO79" s="577"/>
      <c r="AP79" s="577"/>
      <c r="AQ79" s="577"/>
      <c r="AR79" s="577"/>
      <c r="AS79" s="577"/>
      <c r="AT79" s="577"/>
      <c r="AU79" s="577"/>
      <c r="AV79" s="577"/>
      <c r="AW79" s="577"/>
      <c r="AX79" s="577"/>
      <c r="AY79" s="577"/>
      <c r="AZ79" s="577"/>
      <c r="BA79" s="577"/>
      <c r="BB79" s="577"/>
      <c r="BC79" s="577"/>
      <c r="BD79" s="577"/>
      <c r="BE79" s="577"/>
      <c r="BF79" s="577"/>
      <c r="BG79" s="577"/>
      <c r="BH79" s="577"/>
      <c r="BI79" s="577"/>
      <c r="BJ79" s="577"/>
      <c r="BK79" s="577"/>
      <c r="BL79" s="577"/>
      <c r="BM79" s="577"/>
      <c r="BN79" s="577"/>
      <c r="BO79" s="577"/>
      <c r="BP79" s="577"/>
      <c r="BQ79" s="577"/>
      <c r="BR79" s="577"/>
      <c r="BS79" s="577"/>
      <c r="BT79" s="577"/>
      <c r="BU79" s="577"/>
      <c r="BV79" s="577"/>
      <c r="BW79" s="577"/>
      <c r="BX79" s="577"/>
      <c r="BY79" s="577"/>
      <c r="BZ79" s="577"/>
      <c r="CA79" s="577"/>
      <c r="CB79" s="577"/>
      <c r="CC79" s="577"/>
      <c r="CD79" s="577"/>
      <c r="CE79" s="577"/>
      <c r="CF79" s="577"/>
      <c r="CG79" s="577"/>
      <c r="CH79" s="1223"/>
      <c r="CI79" s="1223"/>
      <c r="CJ79" s="1223"/>
      <c r="CK79" s="1223"/>
      <c r="CL79" s="1223"/>
      <c r="CM79" s="1223"/>
      <c r="CN79" s="1223"/>
      <c r="CO79" s="1223"/>
      <c r="CP79" s="1223"/>
      <c r="CQ79" s="1223"/>
      <c r="CR79" s="1223"/>
      <c r="CS79" s="1223"/>
      <c r="CT79" s="1223"/>
      <c r="CU79" s="1223"/>
      <c r="CV79" s="1223"/>
      <c r="CW79" s="1223"/>
      <c r="CX79" s="1223"/>
      <c r="CY79" s="1223"/>
      <c r="CZ79" s="1223"/>
      <c r="DA79" s="1223"/>
      <c r="DB79" s="1223"/>
      <c r="DC79" s="1223"/>
      <c r="DD79" s="1223"/>
      <c r="DE79" s="1223"/>
      <c r="DF79" s="1223"/>
      <c r="DG79" s="1223"/>
      <c r="DH79" s="1223"/>
      <c r="DI79" s="1223"/>
      <c r="DJ79" s="1223"/>
      <c r="DK79" s="1223"/>
      <c r="DL79" s="1223"/>
      <c r="DM79" s="1223"/>
      <c r="DN79" s="1223"/>
      <c r="DO79" s="1223"/>
      <c r="DP79" s="1223"/>
      <c r="DQ79" s="1223"/>
      <c r="DR79" s="1223"/>
      <c r="DS79" s="1223"/>
      <c r="DT79" s="1223"/>
      <c r="DU79" s="1223"/>
      <c r="DV79" s="1223"/>
      <c r="DW79" s="1223"/>
      <c r="DX79" s="577"/>
      <c r="DY79" s="577"/>
      <c r="DZ79" s="577"/>
    </row>
    <row r="80" ht="52.5" hidden="1" customHeight="1" outlineLevel="1">
      <c r="A80" s="59"/>
      <c r="B80" s="59"/>
      <c r="C80" s="59"/>
      <c r="D80" s="574"/>
      <c r="E80" s="575"/>
      <c r="F80" s="575"/>
      <c r="G80" s="575"/>
      <c r="H80" s="575"/>
      <c r="I80" s="59"/>
      <c r="J80" s="59"/>
      <c r="K80" s="59"/>
      <c r="L80" s="59"/>
      <c r="M80" s="59"/>
      <c r="N80" s="59"/>
      <c r="O80" s="1290" t="s">
        <v>462</v>
      </c>
      <c r="P80" s="59"/>
      <c r="Q80" s="577"/>
      <c r="R80" s="577"/>
      <c r="S80" s="577"/>
      <c r="T80" s="577"/>
      <c r="U80" s="577"/>
      <c r="V80" s="577"/>
      <c r="W80" s="577"/>
      <c r="X80" s="577"/>
      <c r="Y80" s="577"/>
      <c r="Z80" s="577"/>
      <c r="AA80" s="577"/>
      <c r="AB80" s="577"/>
      <c r="AC80" s="577"/>
      <c r="AD80" s="577"/>
      <c r="AE80" s="577"/>
      <c r="AF80" s="577"/>
      <c r="AG80" s="577"/>
      <c r="AH80" s="577"/>
      <c r="AI80" s="577"/>
      <c r="AJ80" s="577"/>
      <c r="AK80" s="577"/>
      <c r="AL80" s="577"/>
      <c r="AM80" s="577"/>
      <c r="AN80" s="577"/>
      <c r="AO80" s="577"/>
      <c r="AP80" s="577"/>
      <c r="AQ80" s="577"/>
      <c r="AR80" s="577"/>
      <c r="AS80" s="577"/>
      <c r="AT80" s="577"/>
      <c r="AU80" s="577"/>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7"/>
      <c r="BS80" s="577"/>
      <c r="BT80" s="577"/>
      <c r="BU80" s="577"/>
      <c r="BV80" s="577"/>
      <c r="BW80" s="577"/>
      <c r="BX80" s="577"/>
      <c r="BY80" s="577"/>
      <c r="BZ80" s="577"/>
      <c r="CA80" s="577"/>
      <c r="CB80" s="577"/>
      <c r="CC80" s="577"/>
      <c r="CD80" s="577"/>
      <c r="CE80" s="577"/>
      <c r="CF80" s="577"/>
      <c r="CG80" s="577"/>
      <c r="CH80" s="1223"/>
      <c r="CI80" s="1223"/>
      <c r="CJ80" s="1223"/>
      <c r="CK80" s="1223"/>
      <c r="CL80" s="1223"/>
      <c r="CM80" s="1223"/>
      <c r="CN80" s="1223"/>
      <c r="CO80" s="1223"/>
      <c r="CP80" s="1223"/>
      <c r="CQ80" s="1223"/>
      <c r="CR80" s="1223"/>
      <c r="CS80" s="1223"/>
      <c r="CT80" s="1223"/>
      <c r="CU80" s="1223"/>
      <c r="CV80" s="1223"/>
      <c r="CW80" s="1223"/>
      <c r="CX80" s="1223"/>
      <c r="CY80" s="1223"/>
      <c r="CZ80" s="1223"/>
      <c r="DA80" s="1223"/>
      <c r="DB80" s="1223"/>
      <c r="DC80" s="1223"/>
      <c r="DD80" s="1223"/>
      <c r="DE80" s="1223"/>
      <c r="DF80" s="1223"/>
      <c r="DG80" s="1223"/>
      <c r="DH80" s="1223"/>
      <c r="DI80" s="1223"/>
      <c r="DJ80" s="1223"/>
      <c r="DK80" s="1223"/>
      <c r="DL80" s="1223"/>
      <c r="DM80" s="1223"/>
      <c r="DN80" s="1223"/>
      <c r="DO80" s="1223"/>
      <c r="DP80" s="1223"/>
      <c r="DQ80" s="1223"/>
      <c r="DR80" s="1223"/>
      <c r="DS80" s="1223"/>
      <c r="DT80" s="1223"/>
      <c r="DU80" s="1223"/>
      <c r="DV80" s="1223"/>
      <c r="DW80" s="1223"/>
      <c r="DX80" s="577"/>
      <c r="DY80" s="577"/>
      <c r="DZ80" s="577"/>
    </row>
    <row r="81" ht="52.5" hidden="1" customHeight="1" outlineLevel="1">
      <c r="A81" s="59"/>
      <c r="B81" s="59"/>
      <c r="C81" s="59"/>
      <c r="D81" s="574"/>
      <c r="E81" s="575"/>
      <c r="F81" s="575"/>
      <c r="G81" s="575"/>
      <c r="H81" s="575"/>
      <c r="I81" s="59"/>
      <c r="J81" s="59"/>
      <c r="K81" s="59"/>
      <c r="L81" s="59"/>
      <c r="M81" s="59"/>
      <c r="N81" s="59"/>
      <c r="O81" s="1290" t="s">
        <v>462</v>
      </c>
      <c r="P81" s="59"/>
      <c r="Q81" s="577"/>
      <c r="R81" s="577"/>
      <c r="S81" s="577"/>
      <c r="T81" s="577"/>
      <c r="U81" s="577"/>
      <c r="V81" s="577"/>
      <c r="W81" s="577"/>
      <c r="X81" s="577"/>
      <c r="Y81" s="577"/>
      <c r="Z81" s="577"/>
      <c r="AA81" s="577"/>
      <c r="AB81" s="577"/>
      <c r="AC81" s="577"/>
      <c r="AD81" s="577"/>
      <c r="AE81" s="577"/>
      <c r="AF81" s="577"/>
      <c r="AG81" s="577"/>
      <c r="AH81" s="577"/>
      <c r="AI81" s="577"/>
      <c r="AJ81" s="577"/>
      <c r="AK81" s="577"/>
      <c r="AL81" s="577"/>
      <c r="AM81" s="577"/>
      <c r="AN81" s="577"/>
      <c r="AO81" s="577"/>
      <c r="AP81" s="577"/>
      <c r="AQ81" s="577"/>
      <c r="AR81" s="577"/>
      <c r="AS81" s="577"/>
      <c r="AT81" s="577"/>
      <c r="AU81" s="577"/>
      <c r="AV81" s="577"/>
      <c r="AW81" s="577"/>
      <c r="AX81" s="577"/>
      <c r="AY81" s="577"/>
      <c r="AZ81" s="577"/>
      <c r="BA81" s="577"/>
      <c r="BB81" s="577"/>
      <c r="BC81" s="577"/>
      <c r="BD81" s="577"/>
      <c r="BE81" s="577"/>
      <c r="BF81" s="577"/>
      <c r="BG81" s="577"/>
      <c r="BH81" s="577"/>
      <c r="BI81" s="577"/>
      <c r="BJ81" s="577"/>
      <c r="BK81" s="577"/>
      <c r="BL81" s="577"/>
      <c r="BM81" s="577"/>
      <c r="BN81" s="577"/>
      <c r="BO81" s="577"/>
      <c r="BP81" s="577"/>
      <c r="BQ81" s="577"/>
      <c r="BR81" s="577"/>
      <c r="BS81" s="577"/>
      <c r="BT81" s="577"/>
      <c r="BU81" s="577"/>
      <c r="BV81" s="577"/>
      <c r="BW81" s="577"/>
      <c r="BX81" s="577"/>
      <c r="BY81" s="577"/>
      <c r="BZ81" s="577"/>
      <c r="CA81" s="577"/>
      <c r="CB81" s="577"/>
      <c r="CC81" s="577"/>
      <c r="CD81" s="577"/>
      <c r="CE81" s="577"/>
      <c r="CF81" s="577"/>
      <c r="CG81" s="577"/>
      <c r="CH81" s="1223"/>
      <c r="CI81" s="1223"/>
      <c r="CJ81" s="1223"/>
      <c r="CK81" s="1223"/>
      <c r="CL81" s="1223"/>
      <c r="CM81" s="1223"/>
      <c r="CN81" s="1223"/>
      <c r="CO81" s="1223"/>
      <c r="CP81" s="1223"/>
      <c r="CQ81" s="1223"/>
      <c r="CR81" s="1223"/>
      <c r="CS81" s="1223"/>
      <c r="CT81" s="1223"/>
      <c r="CU81" s="1223"/>
      <c r="CV81" s="1223"/>
      <c r="CW81" s="1223"/>
      <c r="CX81" s="1223"/>
      <c r="CY81" s="1223"/>
      <c r="CZ81" s="1223"/>
      <c r="DA81" s="1223"/>
      <c r="DB81" s="1223"/>
      <c r="DC81" s="1223"/>
      <c r="DD81" s="1223"/>
      <c r="DE81" s="1223"/>
      <c r="DF81" s="1223"/>
      <c r="DG81" s="1223"/>
      <c r="DH81" s="1223"/>
      <c r="DI81" s="1223"/>
      <c r="DJ81" s="1223"/>
      <c r="DK81" s="1223"/>
      <c r="DL81" s="1223"/>
      <c r="DM81" s="1223"/>
      <c r="DN81" s="1223"/>
      <c r="DO81" s="1223"/>
      <c r="DP81" s="1223"/>
      <c r="DQ81" s="1223"/>
      <c r="DR81" s="1223"/>
      <c r="DS81" s="1223"/>
      <c r="DT81" s="1223"/>
      <c r="DU81" s="1223"/>
      <c r="DV81" s="1223"/>
      <c r="DW81" s="1223"/>
      <c r="DX81" s="577"/>
      <c r="DY81" s="577"/>
      <c r="DZ81" s="577"/>
    </row>
    <row r="82" ht="52.5" hidden="1" customHeight="1" outlineLevel="1">
      <c r="A82" s="59"/>
      <c r="B82" s="59"/>
      <c r="C82" s="59"/>
      <c r="D82" s="574"/>
      <c r="E82" s="575"/>
      <c r="F82" s="575"/>
      <c r="G82" s="575"/>
      <c r="H82" s="575"/>
      <c r="I82" s="59"/>
      <c r="J82" s="59"/>
      <c r="K82" s="59"/>
      <c r="L82" s="59"/>
      <c r="M82" s="59"/>
      <c r="N82" s="59"/>
      <c r="O82" s="1290" t="s">
        <v>462</v>
      </c>
      <c r="P82" s="59"/>
      <c r="Q82" s="577"/>
      <c r="R82" s="577"/>
      <c r="S82" s="577"/>
      <c r="T82" s="577"/>
      <c r="U82" s="577"/>
      <c r="V82" s="577"/>
      <c r="W82" s="577"/>
      <c r="X82" s="577"/>
      <c r="Y82" s="577"/>
      <c r="Z82" s="577"/>
      <c r="AA82" s="577"/>
      <c r="AB82" s="577"/>
      <c r="AC82" s="577"/>
      <c r="AD82" s="577"/>
      <c r="AE82" s="577"/>
      <c r="AF82" s="577"/>
      <c r="AG82" s="577"/>
      <c r="AH82" s="577"/>
      <c r="AI82" s="577"/>
      <c r="AJ82" s="577"/>
      <c r="AK82" s="577"/>
      <c r="AL82" s="577"/>
      <c r="AM82" s="577"/>
      <c r="AN82" s="577"/>
      <c r="AO82" s="577"/>
      <c r="AP82" s="577"/>
      <c r="AQ82" s="577"/>
      <c r="AR82" s="577"/>
      <c r="AS82" s="577"/>
      <c r="AT82" s="577"/>
      <c r="AU82" s="577"/>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7"/>
      <c r="BS82" s="577"/>
      <c r="BT82" s="577"/>
      <c r="BU82" s="577"/>
      <c r="BV82" s="577"/>
      <c r="BW82" s="577"/>
      <c r="BX82" s="577"/>
      <c r="BY82" s="577"/>
      <c r="BZ82" s="577"/>
      <c r="CA82" s="577"/>
      <c r="CB82" s="577"/>
      <c r="CC82" s="577"/>
      <c r="CD82" s="577"/>
      <c r="CE82" s="577"/>
      <c r="CF82" s="577"/>
      <c r="CG82" s="577"/>
      <c r="CH82" s="1223"/>
      <c r="CI82" s="1223"/>
      <c r="CJ82" s="1223"/>
      <c r="CK82" s="1223"/>
      <c r="CL82" s="1223"/>
      <c r="CM82" s="1223"/>
      <c r="CN82" s="1223"/>
      <c r="CO82" s="1223"/>
      <c r="CP82" s="1223"/>
      <c r="CQ82" s="1223"/>
      <c r="CR82" s="1223"/>
      <c r="CS82" s="1223"/>
      <c r="CT82" s="1223"/>
      <c r="CU82" s="1223"/>
      <c r="CV82" s="1223"/>
      <c r="CW82" s="1223"/>
      <c r="CX82" s="1223"/>
      <c r="CY82" s="1223"/>
      <c r="CZ82" s="1223"/>
      <c r="DA82" s="1223"/>
      <c r="DB82" s="1223"/>
      <c r="DC82" s="1223"/>
      <c r="DD82" s="1223"/>
      <c r="DE82" s="1223"/>
      <c r="DF82" s="1223"/>
      <c r="DG82" s="1223"/>
      <c r="DH82" s="1223"/>
      <c r="DI82" s="1223"/>
      <c r="DJ82" s="1223"/>
      <c r="DK82" s="1223"/>
      <c r="DL82" s="1223"/>
      <c r="DM82" s="1223"/>
      <c r="DN82" s="1223"/>
      <c r="DO82" s="1223"/>
      <c r="DP82" s="1223"/>
      <c r="DQ82" s="1223"/>
      <c r="DR82" s="1223"/>
      <c r="DS82" s="1223"/>
      <c r="DT82" s="1223"/>
      <c r="DU82" s="1223"/>
      <c r="DV82" s="1223"/>
      <c r="DW82" s="1223"/>
      <c r="DX82" s="577"/>
      <c r="DY82" s="577"/>
      <c r="DZ82" s="577"/>
    </row>
  </sheetData>
  <autoFilter ref="$A$3:$DZ$82">
    <filterColumn colId="3">
      <filters>
        <filter val="SITE"/>
        <filter val="UTLS"/>
        <filter val="STIR"/>
        <filter val="PUMP"/>
        <filter val="GUAR"/>
      </filters>
    </filterColumn>
    <sortState ref="A3:DZ82">
      <sortCondition ref="DO3:DO82"/>
      <sortCondition ref="DI3:DI82"/>
      <sortCondition descending="1" ref="M3:M82"/>
      <sortCondition ref="A3:A82"/>
    </sortState>
  </autoFilter>
  <mergeCells count="3">
    <mergeCell ref="D1:AU1"/>
    <mergeCell ref="AV1:AW1"/>
    <mergeCell ref="Q2:AW2"/>
  </mergeCells>
  <conditionalFormatting sqref="S3:S4 V3:V4 W3:W82 X3:X49 Y3:Y4 Z3:Z82 AA3:AB4 AC3:AC82 AD3:AD5 AE3:AE4 AF3:AG82 AH3:AH4 AI3:AJ82 AK3:AS4 AT3:AT7 AU3:AY4 AZ3:BB5 BC3:BC7 BD3:BD5 BE3:BE7 BF3:BF5 BG3:DW7 DX3:DZ82 S6:S7 V6:V7 Y6:Y7 AA6:AA45 AB6:AB7 AE6:AE7 AH6:AH7 AK6:AN7 AP6:AS7 T7 AD7:AD14 AO7 AU7:AZ7 BB7 V9 Y9 AB9 AE9 AH9 AK9 AL9:CH10 CJ9:DW10 S12 V12 Y12:Y13 AB12:AB13 AE12:AE13 AH12:AH13 AK12:CH13 CJ12:DW13 S15 V15 Y15 AB15 AE15 AH15 AK15:CF15 CG15:CH17 CJ15:CR17 CS15:DW33 AD16:AD82 AX18 S20:S25 V20:V25 Y20:Y33 AB20:AB33 AE20:AE33 AH20:AH33 AK20:CR33 S27:S31 V27:V31 S33 V33 S35:S38 V35:V38 Y35:Y48 AB35:AB48 AE35:AE48 AH35:AH48 AK35:CM48 CN35:CN38 CO35:CO48 CP35:DW38 S40:S48 V40:V48 CN40:CN47 CP40:CP47 CR40:CR47 CQ41:CQ42 CS41:DW42 CQ44:CQ47 CS44:DW47 AA47:AA49 S50:S60 V50:V60 Y50:Y60 AB50:AB60 AE50:AE60 AH50:AH60 AK50:DG60 X51:X82 DH51:DW60 AA52:AA57 AA59 AA61:AA63 S62:S63 V62:V63 Y62:Y63 AB62:AB63 AE62:AE63 AH62:AH63 AK62:AK63 AL62:AM82 AN62:AN63 AO62:AP82 AQ62:AQ63 AR62:AS82 AT62:AT63 AU62:AV82 AW62:AW63 AX62:AY82 AZ62:AZ63 BA62:BB82 BC62:CS63 CT62:CT66 CU62:CU63 CV62:DW66 AA65:AA82 CQ65:CQ66 S66 V66 Y66 AB66 AE66 AH66 AK66 AN66 AQ66 AT66 AW66 AZ66 BC66:CP66 CR66:CS66 CU66 M69:N69 S69:S82 V69:V82 Y69:Y82 AB69:AB82 AE69:AE82 AH69:AH82 AK69:AK82 AN69:AN82 AQ69:AQ82 AT69:AT82 AW69:AW82 AZ69:AZ82 BC69:DW82">
    <cfRule type="cellIs" dxfId="0" priority="1" operator="greaterThanOrEqual">
      <formula>"70%"</formula>
    </cfRule>
  </conditionalFormatting>
  <conditionalFormatting sqref="S3:S4 BY4:DW7 W5:X5 Z5 AC5:AD5 AF5:AG5 AI5:AJ6 AT5:AT6 AZ5:BB5 BC5:BC7 BD5 BE5:BE7 BF5 BG5:BX7 DX5:DZ5 S6:S7 AK6:AN6 AP6:AS6 V9 W9:X11 Y9 Z9:AA11 AB9 AC9:AD11 AE9 AF9:AG11 AH9 AI9:AJ11 AK9:CH9 CJ9:DW9 DX9:DZ11 S12 AJ13:AJ16 AN13 AQ13:CH13 CJ13:DW13 W14:X15 Z14:AA15 AC14:AC15 AD14 AF14:AG15 AI14:AI16 DX14:DZ15 S15 Y15 AB15 AE15 AH15 AK15:CF15 CG15:CH17 CJ15:CR17 CS15:DT21 DU15:DU26 DV15:DW21 AX18 S20:S25 W21:CR21 DX21:DZ21 W24:DT24 DV24:DZ24 W26:DT26 DV26:DZ26 S27:S31 W28:DZ28 W30:DZ30 W32:DZ32 S33 W34:X34 Z34:AA34 AC34:AD34 AF34:AG34 AI34:AJ34 DX34:DZ34 S35:S38 W36:DZ37 V37 W39:CM39 CO39 CR39 DX39:DZ39 S40:S48 CK42 CM42:DW42 W44:DZ44 W46:Z47 AB46:CG47 CH46:CH48 CI46:CI47 CJ46:CM48 CN46:CN47 CO46:CO48 CP46:CQ47 CR46:CR48 CS46:DZ47 AA47 W49:W52 X49 Z49:Z52 AA49 AC49:AD52 AF49:AG52 AI49:AJ52 DX49:DZ52 S50:S60 Y50:Y52 AB50:AB52 AE50:AE52 AH50:AH52 AK50:DG52 X51:X52 DH51:DW52 AA52 V54:DZ54 AC58:DW60 W59:AB59 DX59:DZ59 S62:S63 W62:DZ62 W64:X65 Z64:Z65 AC64:AD65 AF64:AG65 AI64:AJ65 AL64:AM65 AO64:AP65 AR64:AS65 AU64:AV65 AX64:AY65 BA64:BB65 CT64:CT65 CV64:DZ65 AA65 CQ65 S66 S69:S82 DF69 DH69:DW69 W71:DZ73">
    <cfRule type="cellIs" dxfId="1" priority="2" operator="between">
      <formula>"49%"</formula>
      <formula>"69%"</formula>
    </cfRule>
  </conditionalFormatting>
  <conditionalFormatting sqref="S3:S4 BY4:DW7 W5:X5 Z5 AC5:AD5 AF5:AG5 AI5:AJ6 AT5:AT6 AZ5:BB5 BC5:BC7 BD5 BE5:BE7 BF5 BG5:BX7 DX5:DZ5 S6:S7 AK6:AN6 AP6:AS6 V9 W9:X11 Y9 Z9:AA11 AB9 AC9:AD11 AE9 AF9:AG11 AH9 AI9:AJ11 AK9:CH9 CJ9:DW9 DX9:DZ11 S12 AJ13:AJ16 AN13 AQ13:CH13 CJ13:DW13 W14:X15 Z14:AA15 AC14:AC15 AD14 AF14:AG15 AI14:AI16 DX14:DZ15 S15 Y15 AB15 AE15 AH15 AK15:CF15 CG15:CH17 CJ15:CR17 CS15:DT21 DU15:DU26 DV15:DW21 AX18 S20:S25 W21:CR21 DX21:DZ21 W24:DT24 DV24:DZ24 W26:DT26 DV26:DZ26 S27:S31 W28:DZ28 W30:DZ30 W32:DZ32 S33 W34:X34 Z34:AA34 AC34:AD34 AF34:AG34 AI34:AJ34 DX34:DZ34 S35:S38 W36:DZ37 V37 W39:CM39 CO39 CR39 DX39:DZ39 S40:S48 CK42 CM42:DW42 W44:DZ44 W46:Z47 AB46:CG47 CH46:CH48 CI46:CI47 CJ46:CM48 CN46:CN47 CO46:CO48 CP46:CQ47 CR46:CR48 CS46:DZ47 AA47 W49:W52 X49 Z49:Z52 AA49 AC49:AD52 AF49:AG52 AI49:AJ52 DX49:DZ52 S50:S60 Y50:Y52 AB50:AB52 AE50:AE52 AH50:AH52 AK50:DG52 X51:X52 DH51:DW52 AA52 V54:DZ54 AC58:DW60 W59:AB59 DX59:DZ59 S62:S63 W62:DZ62 W64:X65 Z64:Z65 AC64:AD65 AF64:AG65 AI64:AJ65 AL64:AM65 AO64:AP65 AR64:AS65 AU64:AV65 AX64:AY65 BA64:BB65 CT64:CT65 CV64:DZ65 AA65 CQ65 S66 S69:S82 DE69:DW69 W71:DZ73">
    <cfRule type="cellIs" dxfId="2" priority="3" operator="between">
      <formula>"1%"</formula>
      <formula>"50%"</formula>
    </cfRule>
  </conditionalFormatting>
  <conditionalFormatting sqref="S3:S4 V3:V4 W3:W82 X3:X49 Y3:Y4 Z3:Z82 AA3:AB4 AC3:AC82 AD3:AD5 AE3:AE4 AF3:AG82 AH3:AH4 AI3:AJ82 AK3:AS4 AT3:AT7 AU3:AY4 AZ3:BB5 BC3:BC7 BD3:BD5 BE3:BE7 BF3:BG5 BH3:BH7 BI3:BJ5 BK3:BK7 BL3:BL5 BM3:BM6 BN3:BN7 BO3:BP6 BQ3:BQ7 BR3:BS6 BT3:BT7 BU3:BU6 BV3:BV5 BW3:BW7 BX3:BY6 BZ3:BZ7 CA3:CB6 CC3:CC7 CD3:CD6 CE3:DW7 DX3:DZ82 S6:S7 V6:V7 Y6:Y7 AA6:AA45 AB6:AB7 AE6:AE7 AH6:AH7 AK6:AN7 AP6:AS7 T7 AD7:AD14 AO7 AU7:AZ7 BB7 V9 Y9 AB9 AE9 AH9 AK9 AL9:CH10 CJ9:DW10 S12 V12 Y12:Y13 AB12:AB13 AE12:AE13 AH12:AH13 AK12:CH13 CJ12:DW13 S15 V15 Y15 AB15 AE15 AH15 AK15:CF15 CG15:CH17 CJ15:CR17 CS15:DW33 AD16:AD82 AX18 S20:S25 V20:V25 Y20:Y33 AB20:AB33 AE20:AE33 AH20:AH33 AK20:CR33 S27:S31 V27:V31 S33 V33 S35:S38 V35:V38 Y35:Y48 AB35:AB48 AE35:AE48 AH35:AH48 AK35:CM48 CN35:CN38 CO35:CO48 CP35:DW38 S40:S48 V40:V48 CN40:CN47 CP40:CP47 CR40:CR47 CQ41:CQ42 CS41:DW42 CQ44:CQ47 CS44:DW47 AA47:AA49 S50:S60 V50:V60 Y50:Y60 AB50:AB60 AE50:AE60 AH50:AH60 AK50:DG60 X51:X82 DH51:DW60 AA52:AA57 AA59 AA61:AA63 S62:S63 V62:V63 Y62:Y63 AB62:AB63 AE62:AE63 AH62:AH63 AK62:AK63 AL62:AM82 AN62:AN63 AO62:AP82 AQ62:AQ63 AR62:AS82 AT62:AT63 AU62:AV82 AW62:AW63 AX62:AY82 AZ62:AZ63 BA62:BB82 BC62:CS63 CT62:CT64 CU62:CU63 CV62:CY64 CZ62:CZ66 DA62:DA64 DB62:DW66 AA65:AA82 S66 V66 Y66 AB66 AE66 AH66 AK66 AN66 AQ66 AT66 AW66 AZ66 BC66:CY66 DA66 M69:N69 S69:S82 V69:V82 Y69:Y82 AB69:AB82 AE69:AE82 AH69:AH82 AK69:AK82 AN69:AN82 AQ69:AQ82 AT69:AT82 AW69:AW82 AZ69:AZ82 BC69:DW82">
    <cfRule type="cellIs" dxfId="2" priority="4" operator="between">
      <formula>"0%"</formula>
      <formula>"50%"</formula>
    </cfRule>
  </conditionalFormatting>
  <conditionalFormatting sqref="S3:S4 V3:V4 W3:W82 X3:X49 Y3:Y4 Z3:Z82 AA3:AB4 AC3:AC82 AD3:AD5 AE3:AE4 AF3:AG82 AH3:AH4 AI3:AJ82 AK3:AS4 AT3:AT7 AU3:AY4 AZ3:BB5 BC3:BC7 BD3:BD5 BE3:BE7 BF3:BG5 BH3:BH7 BI3:BJ5 BK3:BK7 BL3:BL5 BM3:BM6 BN3:BN7 BO3:BP6 BQ3:BQ7 BR3:BS6 BT3:BT7 BU3:BU6 BV3:BV5 BW3:BW7 BX3:BY6 BZ3:BZ7 CA3:CB6 CC3:CC7 CD3:CD6 CE3:DW7 DX3:DZ82 S6:S7 V6:V7 Y6:Y7 AA6:AA45 AB6:AB7 AE6:AE7 AH6:AH7 AK6:AN7 AP6:AS7 T7 AD7:AD14 AO7 AU7:AZ7 BB7 V9 Y9 AB9 AE9 AH9 AK9 AL9:CH10 CJ9:DW10 S12 V12 Y12:Y13 AB12:AB13 AE12:AE13 AH12:AH13 AK12:CH13 CJ12:DW13 S15 V15 Y15 AB15 AE15 AH15 AK15:CF15 CG15:CH17 CJ15:CR17 CS15:DW33 AD16:AD82 AX18 S20:S25 V20:V25 Y20:Y33 AB20:AB33 AE20:AE33 AH20:AH33 AK20:CR33 S27:S31 V27:V31 S33 V33 S35:S38 V35:V38 Y35:Y48 AB35:AB48 AE35:AE48 AH35:AH48 AK35:CM48 CN35:CN38 CO35:CO48 CP35:DW38 S40:S48 V40:V48 CN40:CN47 CP40:CP47 CR40:CR47 CQ41:CQ42 CS41:DW42 CQ44:CQ47 CS44:DW47 AA47:AA49 S50:S60 V50:V60 Y50:Y60 AB50:AB60 AE50:AE60 AH50:AH60 AK50:DG60 X51:X82 DH51:DW60 AA52:AA57 AA59 AA61:AA63 S62:S63 V62:V63 Y62:Y63 AB62:AB63 AE62:AE63 AH62:AH63 AK62:AK63 AL62:AM82 AN62:AN63 AO62:AP82 AQ62:AQ63 AR62:AS82 AT62:AT63 AU62:AV82 AW62:AW63 AX62:AY82 AZ62:AZ63 BA62:BB82 BC62:CS63 CT62:CT64 CU62:CU63 CV62:CY64 CZ62:CZ66 DA62:DA64 DB62:DW66 AA65:AA82 S66 V66 Y66 AB66 AE66 AH66 AK66 AN66 AQ66 AT66 AW66 AZ66 BC66:CY66 DA66 M69:N69 S69:S82 V69:V82 Y69:Y82 AB69:AB82 AE69:AE82 AH69:AH82 AK69:AK82 AN69:AN82 AQ69:AQ82 AT69:AT82 AW69:AW82 AZ69:AZ82 BC69:DW82">
    <cfRule type="cellIs" dxfId="1" priority="5" operator="between">
      <formula>"49%"</formula>
      <formula>"69%"</formula>
    </cfRule>
  </conditionalFormatting>
  <conditionalFormatting sqref="I3:M3">
    <cfRule type="cellIs" dxfId="3" priority="6" operator="equal">
      <formula>"VERSION"</formula>
    </cfRule>
  </conditionalFormatting>
  <conditionalFormatting sqref="M4:M74 N5:N37 N49 N61 N64:N65 N67:O68">
    <cfRule type="expression" dxfId="1" priority="7">
      <formula>IFERROR(ARRAYFORMULA(VALUE(MID(K4,2,10))) &gt; VALUE(MID(M4,2,10)), FALSE)</formula>
    </cfRule>
  </conditionalFormatting>
  <conditionalFormatting sqref="I3:K82 L3 M3:M42 L5:L82 N5:N37 DM5 DP5 DS5 DV5 M44:M74 N49 N61 N64:N65 N67:O68">
    <cfRule type="beginsWith" dxfId="4" priority="8" operator="beginsWith" text="V">
      <formula>LEFT((I3),LEN("V"))=("V")</formula>
    </cfRule>
  </conditionalFormatting>
  <conditionalFormatting sqref="AG5 R12 R14:R15 R20:R21 AA46 AD46 AG46 AY46 R50 U50 X50 Z50:AA51 AC50:AD51 AF50:AG51 AA58 AD58 AG58 AA60 AD60 AG60 Z64:AA64 AC64:AD64 AF64 AG64:AG65 AI64 AJ64:AJ65 AL64 AM64:AM65 AO64 AP64:AP65 AR64 AS64:AS65 AU64 AV64:AV65 AX64 AY64:AY65 BA64 BB64:BB65">
    <cfRule type="timePeriod" dxfId="12" priority="9" timePeriod="today"/>
  </conditionalFormatting>
  <conditionalFormatting sqref="P3:P82">
    <cfRule type="cellIs" dxfId="5" priority="10" operator="equal">
      <formula>"YASMIN"</formula>
    </cfRule>
  </conditionalFormatting>
  <conditionalFormatting sqref="P3:P82">
    <cfRule type="cellIs" dxfId="6" priority="11" operator="equal">
      <formula>"LETÍCIA"</formula>
    </cfRule>
  </conditionalFormatting>
  <conditionalFormatting sqref="P2:P82">
    <cfRule type="cellIs" dxfId="7" priority="12" operator="equal">
      <formula>"CICI"</formula>
    </cfRule>
  </conditionalFormatting>
  <conditionalFormatting sqref="P2:P82">
    <cfRule type="cellIs" dxfId="1" priority="13" operator="equal">
      <formula>"AIRTON"</formula>
    </cfRule>
  </conditionalFormatting>
  <conditionalFormatting sqref="P2:P82">
    <cfRule type="cellIs" dxfId="8" priority="14" operator="equal">
      <formula>"GUILHERME"</formula>
    </cfRule>
  </conditionalFormatting>
  <conditionalFormatting sqref="AI13 AI46 AL46 AO46 AR46 AU46 AX46 BA46">
    <cfRule type="notContainsBlanks" dxfId="10" priority="15">
      <formula>LEN(TRIM(AI13))&gt;0</formula>
    </cfRule>
  </conditionalFormatting>
  <dataValidations>
    <dataValidation type="list" allowBlank="1" showDropDown="1" showErrorMessage="1" sqref="D5:D62 D64:D74">
      <formula1>"DATA,SITE,GUAR,C345,C12A,PUMP,UTLS,ADMN,COL1,COL2,COL3,COL4,COL5,STIR"</formula1>
    </dataValidation>
    <dataValidation type="list" allowBlank="1" showDropDown="1" showErrorMessage="1" sqref="CQ21 CT21 CV21:CW21 CY21 CQ72">
      <formula1>"APPROVED,REPROVED,N/A,ANALYSING,OUTDATED MODEL,IMPROPER,NEXT ROUND"</formula1>
    </dataValidation>
    <dataValidation type="list" allowBlank="1" showDropDown="1" showErrorMessage="1" sqref="AI30 AK30 AX52 AZ52 AI72 AK72 AX72 AZ72">
      <formula1>"APPROVED,REPROVED,N/A,IN ANALYSIS,NOT FOUND,TO BE AUDITED,OUTDATED MODEL,IMPROPER"</formula1>
    </dataValidation>
    <dataValidation type="list" allowBlank="1" showDropDown="1" showErrorMessage="1" sqref="BC5:DW17 AQ5:AR18 AT5:AU18 AW5:AX18 AZ5:BA18 BC18:DD18 DG18 DJ18 AK5:AL19 AN5:AO19 AQ19 AK20 AK21:AL21 AN21:AO21 AQ21:AR21 AT21:AU21 AW21:AX21 AZ21:BA21 BC21:BD21 BF21:BG21 BI21:BJ21 BL21:BM21 BO21:BP21 BR21:BS21 BU21:BV21 BX21:BY21 CA21:CB21 CD21:CE21 CG21:CH21 CJ21:CK21 CM21:CN21 CP21 S5:T22 V5:W22 Y5:Z22 AB5:AC22 AE5:AF22 AH5:AI22 AK22 T23 W23 AB24:AC24 AE24:AF24 AH24 S24:T26 V24:W26 Y24:Z26 AB26:AC26 AE26:AF26 AH26:AI26 AK26:AL26 AN26:AO26 AQ26:AR26 AT26:AU26 AW26:AX26 AZ26:BA26 BC26:BD26 BF26:BG26 BI26:BJ26 BL26:BM26 BO26:BP26 BR26:BS26 BU26:BV26 BX26:BY26 CB26 CD26 W27 T27:T28 AE29:AF29 AH29:AI29 AK29 AE30 V29:W31 Y29:Z31 AB29:AC31 AE31:AF31 AH31 S29:T32 W32 T33 S34:T34 W34:W35 W37:W45 T35:T46 Y47 AB47 AE47 AH47 S47:T48 V47:W48 Y48:Z48 AB48:AC48 AE48:AF48 AH48:AI48 AK47:AK48 T49:T50 W49:W50 S51:T51 V51:W51 Y51 AB51 AE51 AH51 AK51 BM52 BO52:BP52 BR52:BS52 BU52 W54 T52:T57 W56:W57 S58:T58 V58 Y58 AB58 AE58 AH58 AK58 T59 Z59 S60:T60 V60:W60 Y60 AB60 AE60 AH60 AK60 T61 W61 Q5:Q62 S62:T62 V62:W62 Y62:Z62 Y64 S64:T65 V64:W65 Y65:Z65 W66 T66:T71 S72:T72 V72 AB72 BM72 BO72:BP72 BR72:BS72 BU72 Q64:Q74 T74">
      <formula1>"APPROVED,REPROVED,N/A,ANALYSING,NOT PUBLISHED,OUTDATED MODEL,NEXT ROUND"</formula1>
    </dataValidation>
    <dataValidation type="list" allowBlank="1" showErrorMessage="1" sqref="O18:O19 O21 O24 O26 O28 O30 O32 O34 O36:O37 O39 O41 O44 O46:O47 O49:O52 O54 O56 O58:O62 O64:O82">
      <formula1>"R22,R24,AWAITING APPROVAL,N/A,NOT PUBLISHED"</formula1>
    </dataValidation>
    <dataValidation type="list" allowBlank="1" showDropDown="1" showErrorMessage="1" sqref="AR19">
      <formula1>"APPROVED,REPROVED,N/A,ANALYSING,NOT PUBLISHED,NEXT ROUND,OUTDATED MODEL"</formula1>
    </dataValidation>
    <dataValidation type="list" allowBlank="1" showDropDown="1" showErrorMessage="1" sqref="DU21 Z23 AC23 AF23 AI23 BA24 BD24 BG24 BJ24 BM24 BP24 BS24 BV24 BY24 CB24 CE24 CH24 CK24 CN24 CQ24 CT24 CW24 CZ24 DC24 DF24 DI24 DL24 DU24 AI25 DI26 DL26 DO26 DR26 DU26 Z27 AC27 AF27 AI27 AL28 AO28 AR28 AU28 AX28 BA28 BD28 BG28 BJ28 BM28 BP28 BS28 BV28 BY28 CB28 CE28 CH28 CK28 CN28 CQ28 CT28 CW28 CZ28 DC28 DF28 DI28 DL28 DO28 DR28 DU28 AR30 AU30 AX30 BA30 BD30 BG30 BJ30 BM30 BP30 BS30 BV30 BY30 CB30 CE30 CH30 CK30 CN30 CQ30 CT30 CW30 CZ30 DC30 DF30 DI30 DL30 DO30 DR30 DU30 Z32 AC32 AF32 AI32 AL32 AO32 AR32 AU32 AX32 BA32 BD32 BG32 BJ32 BM32 BP32 BS32 BV32 BY32 CB32 CE32 CH32 CK32 CN32 CQ32 CT32 CW32 CZ32 DC32 DF32 DI32 DL32 DO32 DR32 DU32 AL34 AO34 AR34 AU34 AX34 BA34 BD34 BG34 BJ34 BM34 BP34 BS34 BV34 BY34 CB34 CE34 CH34 CK34 CN34 CQ34 CT34 CW34 CZ34 DC34 DF34 DI34 DL34 DO34 DR34 DU34 Z34:Z35 AC34:AC35 AL36:AL37 AO36:AO37 AR36:AR37 AU36:AU37 AX36:AX37 BA36:BA37 BD36:BD37 BG36:BG37 BJ36:BJ37 BM36:BM37 BP36:BP37 BS36:BS37 BV36:BV37 BY36:BY37 CB36:CB37 CE36:CE37 CH36:CH37 CK36:CK37 CN36:CN37 CQ36:CQ37 CT36:CT37 CW36:CW37 CZ36:CZ37 DC36:DC37 DF36:DF37 DI36:DI37 DL36:DL37 DO36:DO37 DR36:DR37 DU36:DU37 AL39 AO39 AR39 AU39 AX39 BA39 BD39 BG39 BJ39 BM39 BP39 BS39 BV39 BY39 CB39 CE39 CH39 CK39 CN39 CQ39 CT39 CW39 CZ39 DC39 DF39 DI39 DL39 DO39 DR39 DU39 AL41 AO41 AR41 AU41 AX41 BA41 BD41 BG41 BJ41 BM41 BP41 BS41 BV41 BY41 CB41 CE41 CH41 CK41 CN41 CQ41 CT41 CW41 CZ41 DC41 DF41 DI41 DL41 DO41 DR41 DU41 AL44 AO44 AR44 AU44 AX44 BA44 BD44 BG44 BJ44 BM44 BP44 BS44 BV44 BY44 CB44 CE44 CH44 CK44 CN44 CQ44 CT44 CW44 CZ44 DC44 DF44 DI44 DL44 DO44 DR44 DU44 Z37:Z45 AC37:AC45 AF34:AF45 Z47 AC47 AF47 AI34:AI47 AL46:AL47 AO46:AO47 AR46:AR47 AU46:AU47 AX46:AX47 BA46:BA47 BD46:BD47 BG46:BG47 BJ46:BJ47 BM46:BM47 BP46:BP47 BS46:BS47 BV46:BV47 BY46:BY47 CB46:CB47 CE46:CE47 CH46:CH47 CK46:CK47 CN46:CN47 CQ46:CQ47 CT46:CT47 CW46:CW47 CZ46:CZ47 DC46:DC47 DF46:DF47 DI46:DI47 DL46:DL47 DO46:DO47 DR46:DR47 DU46:DU47 Z49:Z51 AC49:AC51 AF49:AF51 AI49:AI51 AL49:AL51 AO49:AO51 AR49:AR51 AU49:AU51 AX49:AX51 BA49:BA51 BD49:BD51 BG49:BG51 BJ49:BJ51 BM49:BM51 BP49:BP51 BS49:BS51 BV49:BV51 BY49:BY51 CB49:CB51 CE49:CE51 CH49:CH52 CK49:CK52 CN49:CN52 CQ49:CQ52 CT49:CT52 CW49:CW52 CZ49:CZ52 DC49:DC52 DF49:DF52 DI49:DI52 DL49:DL52 DO49:DO52 DR49:DR52 DU49:DU52 AL54 AO54 AR54 AU54 AX54 BA54 BD54 BG54 BJ54 BM54 BP54 BS54 BV54 BY54 CB54 CE54 CH54 CK54 CN54 CQ54 CT54 CW54 CZ54 DC54 DF54 DI54 DL54 DO54 DR54 DU54 AL56 AO56 AR56 AU56 AX56 BA56 BD56 BG56 BJ56 BM56 BP56 BS56 BV56 BY56 CB56 CE56 CH56 CK56 CN56 CQ56 CT56 CW56 CZ56 DC56 DF56 DI56 DL56 DO56 DR56 DU56 Z53:Z57 Z60:Z61 AC53:AC61 AF53:AF61 AI53:AI62 AL58:AL62 AO58:AO62 AR58:AR62 AU58:AU62 AX58:AX62 BA58:BA62 BD58:BD62 BG58:BG62 BJ58:BJ62 BM58:BM62 BP58:BP62 BS58:BS62 BV58:BV62 BY58:BY62 CB58:CB62 CE58:CE62 CH58:CH62 CK58:CK62 CN58:CN62 CQ58:CQ62 CT58:CT62 CW58:CW62 CZ58:CZ62 DC58:DC62 DF58:DF62 DI58:DI62 DL58:DL62 DO58:DO62 DR58:DR62 DU58:DU62 Z64 AC64 AF64 AI64 Z66 AC66 AF66 AI66 AL64:AL66 Z69:Z71 AC69:AC71 AF69:AF71 AI68:AI71 AL68:AL71 AO64:AO71 AR64:AR71 AU64:AU71 AX64:AX71 BA64:BA71 BD64:BD71 BG64:BG71 BJ64:BJ71 BM64:BM71 BP64:BP71 BS64:BS71 BV64:BV71 BY64:BY71 CB64:CB71 CE64:CE71 CH64:CH71 CK64:CK71 CN64:CN71 CQ64:CQ71 AX73 BA73 BD73 BG73 BJ73 BM73 BP73 BS73 BV73 BY73 CB73 CE73 CH73 CK73 CN73 CQ73 CT64:CT73 CW64:CW73 CZ64:CZ73 DC64:DC73 DF64:DF73 DI64:DI73 DL64:DL73 DO64:DO73 DR64:DR73 DU64:DU73">
      <formula1>"APPROVED,REPROVED,N/A,IN ANALYSIS,NOT FOUND,NOT PUBLISHED,TO BE AUDITED,PREVIOUSLY APPROVED"</formula1>
    </dataValidation>
    <dataValidation type="list" allowBlank="1" showDropDown="1" showErrorMessage="1" sqref="DF18 DO18 CB19 CD19:CE19 CG19:CH19 CJ19:CK19 CM19:CN19 CP19:CQ19 CT19 CV19:CW19 CY19:CZ19 DB19:DC19 DE19:DF19 DH18:DI19 DK18:DL19 DN19:DO19 DQ18:DR19 DT18:DU19 DW18:DW19 CZ21 DC21 DE21:DF21 DH21:DI21 DK21:DL21 DO21 DQ21:DR21 DO24 DQ24:DR24 CE26 CH26 CJ26:CK26 CM26:CN26 CP26:CQ26 CT26 CV26:CW26 CY26:CZ26 DB26:DC26 DE26:DF26 BG52 BI52:BJ52 BL52 BV52 BY52 CB52 CD52:CE52 BG72 BI72:BJ72 BL72 BV72 BY72 CA72:CB72 CD72:CE72 CH72 CJ72:CK72 CN72 CP72">
      <formula1>"APPROVED,REPROVED,N/A,ANALYSING,NOT PUBLISHED,OUTDATED MODEL,NEXT ROUND,IMPROPER"</formula1>
    </dataValidation>
    <dataValidation type="list" allowBlank="1" showDropDown="1" showErrorMessage="1" sqref="AU19 AW19:AX19 AZ19:BA19 BC19:CA19 CC19 CF19 CI19 CL19 CO19 CR19 CU19 CX19 DA19 DD19 DG19 DJ19 DM19 DP19 DS19 DV19 AI24 AL24 AO24 AR24 AU24 AW24:AX24 AC25 AE25:AF25 W28 Z28 AB28:AC28 AE28:AF28 AI28 AF30 AH30 AL30 AO30 AI31 W33 Y33:Z33 AB33:AC33 AE33:AF33 AH33:AI33 AK33 AB34 AE34 W36 Y36:Z36 AB36:AC36 Y39 W46 Y46:Z46 AB46:AC46 AE46:AF46 Y52:Z52 AB52:AC52 AE52:AF52 AH52:AI52 AK52:AL52 AN52:AO52 AQ52:AR52 AT52:AU52 AW52 BA52 BD52 BF52 W52:W53 Y54 AE54 AK54 W55 Z58 W58:W59 Y59 Y61 AB61 AE61 AC62 AE62:AF62 AE64 AC65 AE65:AF65 AI65 AC67 AI67 AK67:AL67 Y67:Z68 AB68:AC68 AE67:AF68 W67:W72 AC72 AH72 AL72 AW72 BA72 BD72 BF72 T73 V73:W73 Y72:Z73 AB73:AC73 AE72:AF73 AH73:AI73 AK73:AL73 AN72:AO73 AQ72:AR73 AT72:AU73">
      <formula1>"APPROVED,REPROVED,N/A,ANALYSING,NOT FOUND,OUTDATED MODEL,NEXT ROUND"</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34.25"/>
    <col customWidth="1" min="4" max="4" width="15.38"/>
    <col customWidth="1" min="5" max="5" width="11.5"/>
    <col customWidth="1" min="15" max="16" width="22.0"/>
  </cols>
  <sheetData>
    <row r="1">
      <c r="A1" s="1647" t="s">
        <v>862</v>
      </c>
      <c r="B1" s="1647" t="s">
        <v>863</v>
      </c>
      <c r="C1" s="1647" t="s">
        <v>864</v>
      </c>
      <c r="D1" s="1647" t="s">
        <v>865</v>
      </c>
      <c r="E1" s="1647" t="s">
        <v>866</v>
      </c>
      <c r="F1" s="1647" t="s">
        <v>867</v>
      </c>
      <c r="G1" s="1647" t="s">
        <v>868</v>
      </c>
      <c r="H1" s="1647" t="s">
        <v>869</v>
      </c>
      <c r="I1" s="1647" t="s">
        <v>870</v>
      </c>
      <c r="J1" s="1647" t="s">
        <v>871</v>
      </c>
      <c r="K1" s="1647" t="s">
        <v>872</v>
      </c>
      <c r="L1" s="1647" t="s">
        <v>873</v>
      </c>
      <c r="M1" s="1647" t="s">
        <v>874</v>
      </c>
      <c r="N1" s="1647" t="s">
        <v>875</v>
      </c>
      <c r="O1" s="1647" t="s">
        <v>876</v>
      </c>
      <c r="P1" s="1648" t="s">
        <v>877</v>
      </c>
    </row>
    <row r="2">
      <c r="A2" s="1649" t="s">
        <v>878</v>
      </c>
      <c r="B2" s="1649" t="s">
        <v>879</v>
      </c>
      <c r="C2" s="1650" t="s">
        <v>880</v>
      </c>
      <c r="D2" s="1650" t="s">
        <v>881</v>
      </c>
      <c r="E2" s="1651"/>
      <c r="F2" s="1650" t="s">
        <v>480</v>
      </c>
      <c r="G2" s="1650" t="s">
        <v>882</v>
      </c>
      <c r="H2" s="1651"/>
      <c r="I2" s="1651"/>
      <c r="J2" s="1650" t="s">
        <v>882</v>
      </c>
      <c r="K2" s="1650" t="s">
        <v>883</v>
      </c>
      <c r="L2" s="1650" t="s">
        <v>884</v>
      </c>
      <c r="M2" s="1650" t="s">
        <v>885</v>
      </c>
      <c r="N2" s="1650" t="s">
        <v>886</v>
      </c>
      <c r="O2" s="1652">
        <v>46176.51111111111</v>
      </c>
      <c r="P2" s="1652" t="str">
        <f>IFERROR(__xludf.DUMMYFUNCTION("IFERROR(
  TEXT(
    DATE(
      INDEX(SPLIT(O2,"" ""),3),
      VLOOKUP(INDEX(SPLIT(O2,"" ""),1),{""jan."",1;""Feb"",2;""mar."",3;""Apr"",4;""May"",5;""jun."",6;""jul."",7;""Aug"",8;""Sep"",9;""Oct"",10;""nov."",11;""Dec"",12},2,FALSE),
      INDEX(SPLIT"&amp;"(O2,"" ""),2)
    ),
    ""dd/mm/yyyy""
  ),
"""")"),"03/06/2026")</f>
        <v>03/06/2026</v>
      </c>
    </row>
    <row r="3">
      <c r="A3" s="1649" t="s">
        <v>887</v>
      </c>
      <c r="B3" s="1649" t="s">
        <v>888</v>
      </c>
      <c r="C3" s="1650" t="s">
        <v>880</v>
      </c>
      <c r="D3" s="1650" t="s">
        <v>881</v>
      </c>
      <c r="E3" s="1651"/>
      <c r="F3" s="1650" t="s">
        <v>479</v>
      </c>
      <c r="G3" s="1650" t="s">
        <v>882</v>
      </c>
      <c r="H3" s="1651"/>
      <c r="I3" s="1651"/>
      <c r="J3" s="1650" t="s">
        <v>882</v>
      </c>
      <c r="K3" s="1650" t="s">
        <v>883</v>
      </c>
      <c r="L3" s="1650" t="s">
        <v>884</v>
      </c>
      <c r="M3" s="1650" t="s">
        <v>885</v>
      </c>
      <c r="N3" s="1650" t="s">
        <v>889</v>
      </c>
      <c r="O3" s="1652">
        <v>46218.54861111111</v>
      </c>
      <c r="P3" s="1652" t="str">
        <f>IFERROR(__xludf.DUMMYFUNCTION("IFERROR(
  TEXT(
    DATE(
      INDEX(SPLIT(O3,"" ""),3),
      VLOOKUP(INDEX(SPLIT(O3,"" ""),1),{""jan."",1;""Feb"",2;""mar."",3;""Apr"",4;""May"",5;""jun."",6;""jul."",7;""Aug"",8;""Sep"",9;""Oct"",10;""nov."",11;""Dec"",12},2,FALSE),
      INDEX(SPLIT"&amp;"(O3,"" ""),2)
    ),
    ""dd/mm/yyyy""
  ),
"""")"),"15/07/2026")</f>
        <v>15/07/2026</v>
      </c>
    </row>
    <row r="4">
      <c r="A4" s="1649" t="s">
        <v>890</v>
      </c>
      <c r="B4" s="1649" t="s">
        <v>891</v>
      </c>
      <c r="C4" s="1650" t="s">
        <v>880</v>
      </c>
      <c r="D4" s="1650" t="s">
        <v>881</v>
      </c>
      <c r="E4" s="1651"/>
      <c r="F4" s="1650" t="s">
        <v>470</v>
      </c>
      <c r="G4" s="1650" t="s">
        <v>882</v>
      </c>
      <c r="H4" s="1651"/>
      <c r="I4" s="1651"/>
      <c r="J4" s="1650" t="s">
        <v>882</v>
      </c>
      <c r="K4" s="1650" t="s">
        <v>883</v>
      </c>
      <c r="L4" s="1650" t="s">
        <v>884</v>
      </c>
      <c r="M4" s="1650" t="s">
        <v>885</v>
      </c>
      <c r="N4" s="1650" t="s">
        <v>892</v>
      </c>
      <c r="O4" s="1650" t="s">
        <v>893</v>
      </c>
      <c r="P4" s="1652" t="str">
        <f>IFERROR(__xludf.DUMMYFUNCTION("IFERROR(
  TEXT(
    DATE(
      INDEX(SPLIT(O4,"" ""),3),
      VLOOKUP(INDEX(SPLIT(O4,"" ""),1),{""jan."",1;""Feb"",2;""mar."",3;""Apr"",4;""May"",5;""jun."",6;""jul."",7;""Aug"",8;""Sep"",9;""Oct"",10;""nov."",11;""Dec"",12},2,FALSE),
      INDEX(SPLIT"&amp;"(O4,"" ""),2)
    ),
    ""dd/mm/yyyy""
  ),
"""")"),"20/05/2026")</f>
        <v>20/05/2026</v>
      </c>
    </row>
    <row r="5">
      <c r="A5" s="1649" t="s">
        <v>894</v>
      </c>
      <c r="B5" s="1649" t="s">
        <v>895</v>
      </c>
      <c r="C5" s="1650" t="s">
        <v>880</v>
      </c>
      <c r="D5" s="1650" t="s">
        <v>881</v>
      </c>
      <c r="E5" s="1651"/>
      <c r="F5" s="1650" t="s">
        <v>470</v>
      </c>
      <c r="G5" s="1650" t="s">
        <v>882</v>
      </c>
      <c r="H5" s="1651"/>
      <c r="I5" s="1651"/>
      <c r="J5" s="1650" t="s">
        <v>882</v>
      </c>
      <c r="K5" s="1650" t="s">
        <v>883</v>
      </c>
      <c r="L5" s="1650" t="s">
        <v>884</v>
      </c>
      <c r="M5" s="1650" t="s">
        <v>885</v>
      </c>
      <c r="N5" s="1650" t="s">
        <v>896</v>
      </c>
      <c r="O5" s="1652">
        <v>46177.799305555556</v>
      </c>
      <c r="P5" s="1652" t="str">
        <f>IFERROR(__xludf.DUMMYFUNCTION("IFERROR(
  TEXT(
    DATE(
      INDEX(SPLIT(O5,"" ""),3),
      VLOOKUP(INDEX(SPLIT(O5,"" ""),1),{""jan."",1;""Feb"",2;""mar."",3;""Apr"",4;""May"",5;""jun."",6;""jul."",7;""Aug"",8;""Sep"",9;""Oct"",10;""nov."",11;""Dec"",12},2,FALSE),
      INDEX(SPLIT"&amp;"(O5,"" ""),2)
    ),
    ""dd/mm/yyyy""
  ),
"""")"),"04/06/2026")</f>
        <v>04/06/2026</v>
      </c>
    </row>
    <row r="6">
      <c r="A6" s="1649" t="s">
        <v>897</v>
      </c>
      <c r="B6" s="1649" t="s">
        <v>898</v>
      </c>
      <c r="C6" s="1650" t="s">
        <v>880</v>
      </c>
      <c r="D6" s="1650" t="s">
        <v>881</v>
      </c>
      <c r="E6" s="1651"/>
      <c r="F6" s="1650" t="s">
        <v>470</v>
      </c>
      <c r="G6" s="1650" t="s">
        <v>882</v>
      </c>
      <c r="H6" s="1651"/>
      <c r="I6" s="1651"/>
      <c r="J6" s="1650" t="s">
        <v>882</v>
      </c>
      <c r="K6" s="1650" t="s">
        <v>883</v>
      </c>
      <c r="L6" s="1650" t="s">
        <v>884</v>
      </c>
      <c r="M6" s="1650" t="s">
        <v>885</v>
      </c>
      <c r="N6" s="1650" t="s">
        <v>899</v>
      </c>
      <c r="O6" s="1652">
        <v>46185.70486111111</v>
      </c>
      <c r="P6" s="1652" t="str">
        <f>IFERROR(__xludf.DUMMYFUNCTION("IFERROR(
  TEXT(
    DATE(
      INDEX(SPLIT(O6,"" ""),3),
      VLOOKUP(INDEX(SPLIT(O6,"" ""),1),{""jan."",1;""Feb"",2;""mar."",3;""Apr"",4;""May"",5;""jun."",6;""jul."",7;""Aug"",8;""Sep"",9;""Oct"",10;""nov."",11;""Dec"",12},2,FALSE),
      INDEX(SPLIT"&amp;"(O6,"" ""),2)
    ),
    ""dd/mm/yyyy""
  ),
"""")"),"12/06/2026")</f>
        <v>12/06/2026</v>
      </c>
    </row>
    <row r="7">
      <c r="A7" s="1649" t="s">
        <v>900</v>
      </c>
      <c r="B7" s="1649" t="s">
        <v>901</v>
      </c>
      <c r="C7" s="1650" t="s">
        <v>880</v>
      </c>
      <c r="D7" s="1650" t="s">
        <v>881</v>
      </c>
      <c r="E7" s="1651"/>
      <c r="F7" s="1650" t="s">
        <v>470</v>
      </c>
      <c r="G7" s="1650" t="s">
        <v>882</v>
      </c>
      <c r="H7" s="1651"/>
      <c r="I7" s="1651"/>
      <c r="J7" s="1650" t="s">
        <v>882</v>
      </c>
      <c r="K7" s="1650" t="s">
        <v>883</v>
      </c>
      <c r="L7" s="1650" t="s">
        <v>884</v>
      </c>
      <c r="M7" s="1650" t="s">
        <v>885</v>
      </c>
      <c r="N7" s="1650" t="s">
        <v>902</v>
      </c>
      <c r="O7" s="1650" t="s">
        <v>903</v>
      </c>
      <c r="P7" s="1652" t="str">
        <f>IFERROR(__xludf.DUMMYFUNCTION("IFERROR(
  TEXT(
    DATE(
      INDEX(SPLIT(O7,"" ""),3),
      VLOOKUP(INDEX(SPLIT(O7,"" ""),1),{""jan."",1;""Feb"",2;""mar."",3;""Apr"",4;""May"",5;""jun."",6;""jul."",7;""Aug"",8;""Sep"",9;""Oct"",10;""nov."",11;""Dec"",12},2,FALSE),
      INDEX(SPLIT"&amp;"(O7,"" ""),2)
    ),
    ""dd/mm/yyyy""
  ),
"""")"),"15/05/2026")</f>
        <v>15/05/2026</v>
      </c>
    </row>
    <row r="8">
      <c r="A8" s="1649" t="s">
        <v>904</v>
      </c>
      <c r="B8" s="1649" t="s">
        <v>905</v>
      </c>
      <c r="C8" s="1650" t="s">
        <v>880</v>
      </c>
      <c r="D8" s="1650" t="s">
        <v>881</v>
      </c>
      <c r="E8" s="1651"/>
      <c r="F8" s="1650" t="s">
        <v>480</v>
      </c>
      <c r="G8" s="1650" t="s">
        <v>882</v>
      </c>
      <c r="H8" s="1651"/>
      <c r="I8" s="1651"/>
      <c r="J8" s="1650" t="s">
        <v>882</v>
      </c>
      <c r="K8" s="1650" t="s">
        <v>883</v>
      </c>
      <c r="L8" s="1650" t="s">
        <v>884</v>
      </c>
      <c r="M8" s="1650" t="s">
        <v>885</v>
      </c>
      <c r="N8" s="1650" t="s">
        <v>906</v>
      </c>
      <c r="O8" s="1652">
        <v>46210.75069444445</v>
      </c>
      <c r="P8" s="1652" t="str">
        <f>IFERROR(__xludf.DUMMYFUNCTION("IFERROR(
  TEXT(
    DATE(
      INDEX(SPLIT(O8,"" ""),3),
      VLOOKUP(INDEX(SPLIT(O8,"" ""),1),{""jan."",1;""Feb"",2;""mar."",3;""Apr"",4;""May"",5;""jun."",6;""jul."",7;""Aug"",8;""Sep"",9;""Oct"",10;""nov."",11;""Dec"",12},2,FALSE),
      INDEX(SPLIT"&amp;"(O8,"" ""),2)
    ),
    ""dd/mm/yyyy""
  ),
"""")"),"07/07/2026")</f>
        <v>07/07/2026</v>
      </c>
    </row>
    <row r="9">
      <c r="A9" s="1649" t="s">
        <v>907</v>
      </c>
      <c r="B9" s="1649" t="s">
        <v>908</v>
      </c>
      <c r="C9" s="1650" t="s">
        <v>880</v>
      </c>
      <c r="D9" s="1650" t="s">
        <v>881</v>
      </c>
      <c r="E9" s="1651"/>
      <c r="F9" s="1650" t="s">
        <v>596</v>
      </c>
      <c r="G9" s="1650" t="s">
        <v>882</v>
      </c>
      <c r="H9" s="1651"/>
      <c r="I9" s="1651"/>
      <c r="J9" s="1650" t="s">
        <v>882</v>
      </c>
      <c r="K9" s="1650" t="s">
        <v>883</v>
      </c>
      <c r="L9" s="1650" t="s">
        <v>884</v>
      </c>
      <c r="M9" s="1650" t="s">
        <v>885</v>
      </c>
      <c r="N9" s="1650" t="s">
        <v>909</v>
      </c>
      <c r="O9" s="1652">
        <v>46199.59444444445</v>
      </c>
      <c r="P9" s="1652" t="str">
        <f>IFERROR(__xludf.DUMMYFUNCTION("IFERROR(
  TEXT(
    DATE(
      INDEX(SPLIT(O9,"" ""),3),
      VLOOKUP(INDEX(SPLIT(O9,"" ""),1),{""jan."",1;""Feb"",2;""mar."",3;""Apr"",4;""May"",5;""jun."",6;""jul."",7;""Aug"",8;""Sep"",9;""Oct"",10;""nov."",11;""Dec"",12},2,FALSE),
      INDEX(SPLIT"&amp;"(O9,"" ""),2)
    ),
    ""dd/mm/yyyy""
  ),
"""")"),"26/06/2026")</f>
        <v>26/06/2026</v>
      </c>
    </row>
    <row r="10">
      <c r="A10" s="1649" t="s">
        <v>910</v>
      </c>
      <c r="B10" s="1649" t="s">
        <v>911</v>
      </c>
      <c r="C10" s="1650" t="s">
        <v>880</v>
      </c>
      <c r="D10" s="1650" t="s">
        <v>881</v>
      </c>
      <c r="E10" s="1651"/>
      <c r="F10" s="1650" t="s">
        <v>470</v>
      </c>
      <c r="G10" s="1650" t="s">
        <v>882</v>
      </c>
      <c r="H10" s="1651"/>
      <c r="I10" s="1651"/>
      <c r="J10" s="1650" t="s">
        <v>882</v>
      </c>
      <c r="K10" s="1650" t="s">
        <v>883</v>
      </c>
      <c r="L10" s="1650" t="s">
        <v>884</v>
      </c>
      <c r="M10" s="1650" t="s">
        <v>885</v>
      </c>
      <c r="N10" s="1650" t="s">
        <v>912</v>
      </c>
      <c r="O10" s="1650" t="s">
        <v>913</v>
      </c>
      <c r="P10" s="1652" t="str">
        <f>IFERROR(__xludf.DUMMYFUNCTION("IFERROR(
  TEXT(
    DATE(
      INDEX(SPLIT(O10,"" ""),3),
      VLOOKUP(INDEX(SPLIT(O10,"" ""),1),{""jan."",1;""Feb"",2;""mar."",3;""Apr"",4;""May"",5;""jun."",6;""jul."",7;""Aug"",8;""Sep"",9;""Oct"",10;""nov."",11;""Dec"",12},2,FALSE),
      INDEX(SPL"&amp;"IT(O10,"" ""),2)
    ),
    ""dd/mm/yyyy""
  ),
"""")"),"15/05/2026")</f>
        <v>15/05/2026</v>
      </c>
    </row>
    <row r="11">
      <c r="A11" s="1649" t="s">
        <v>914</v>
      </c>
      <c r="B11" s="1649" t="s">
        <v>915</v>
      </c>
      <c r="C11" s="1650" t="s">
        <v>880</v>
      </c>
      <c r="D11" s="1650" t="s">
        <v>881</v>
      </c>
      <c r="E11" s="1651"/>
      <c r="F11" s="1650" t="s">
        <v>470</v>
      </c>
      <c r="G11" s="1650" t="s">
        <v>882</v>
      </c>
      <c r="H11" s="1651"/>
      <c r="I11" s="1651"/>
      <c r="J11" s="1650" t="s">
        <v>882</v>
      </c>
      <c r="K11" s="1650" t="s">
        <v>883</v>
      </c>
      <c r="L11" s="1650" t="s">
        <v>884</v>
      </c>
      <c r="M11" s="1650" t="s">
        <v>885</v>
      </c>
      <c r="N11" s="1650" t="s">
        <v>916</v>
      </c>
      <c r="O11" s="1650" t="s">
        <v>917</v>
      </c>
      <c r="P11" s="1652" t="str">
        <f>IFERROR(__xludf.DUMMYFUNCTION("IFERROR(
  TEXT(
    DATE(
      INDEX(SPLIT(O11,"" ""),3),
      VLOOKUP(INDEX(SPLIT(O11,"" ""),1),{""jan."",1;""Feb"",2;""mar."",3;""Apr"",4;""May"",5;""jun."",6;""jul."",7;""Aug"",8;""Sep"",9;""Oct"",10;""nov."",11;""Dec"",12},2,FALSE),
      INDEX(SPL"&amp;"IT(O11,"" ""),2)
    ),
    ""dd/mm/yyyy""
  ),
"""")"),"15/05/2026")</f>
        <v>15/05/2026</v>
      </c>
    </row>
    <row r="12">
      <c r="A12" s="1649" t="s">
        <v>918</v>
      </c>
      <c r="B12" s="1649" t="s">
        <v>919</v>
      </c>
      <c r="C12" s="1650" t="s">
        <v>880</v>
      </c>
      <c r="D12" s="1650" t="s">
        <v>881</v>
      </c>
      <c r="E12" s="1651"/>
      <c r="F12" s="1650" t="s">
        <v>507</v>
      </c>
      <c r="G12" s="1650" t="s">
        <v>882</v>
      </c>
      <c r="H12" s="1651"/>
      <c r="I12" s="1651"/>
      <c r="J12" s="1650" t="s">
        <v>882</v>
      </c>
      <c r="K12" s="1650" t="s">
        <v>883</v>
      </c>
      <c r="L12" s="1650" t="s">
        <v>884</v>
      </c>
      <c r="M12" s="1650" t="s">
        <v>885</v>
      </c>
      <c r="N12" s="1650" t="s">
        <v>920</v>
      </c>
      <c r="O12" s="1652">
        <v>46195.67222222222</v>
      </c>
      <c r="P12" s="1652" t="str">
        <f>IFERROR(__xludf.DUMMYFUNCTION("IFERROR(
  TEXT(
    DATE(
      INDEX(SPLIT(O12,"" ""),3),
      VLOOKUP(INDEX(SPLIT(O12,"" ""),1),{""jan."",1;""Feb"",2;""mar."",3;""Apr"",4;""May"",5;""jun."",6;""jul."",7;""Aug"",8;""Sep"",9;""Oct"",10;""nov."",11;""Dec"",12},2,FALSE),
      INDEX(SPL"&amp;"IT(O12,"" ""),2)
    ),
    ""dd/mm/yyyy""
  ),
"""")"),"22/06/2026")</f>
        <v>22/06/2026</v>
      </c>
    </row>
    <row r="13">
      <c r="A13" s="1649" t="s">
        <v>921</v>
      </c>
      <c r="B13" s="1649" t="s">
        <v>922</v>
      </c>
      <c r="C13" s="1650" t="s">
        <v>880</v>
      </c>
      <c r="D13" s="1650" t="s">
        <v>881</v>
      </c>
      <c r="E13" s="1651"/>
      <c r="F13" s="1650" t="s">
        <v>596</v>
      </c>
      <c r="G13" s="1650" t="s">
        <v>882</v>
      </c>
      <c r="H13" s="1651"/>
      <c r="I13" s="1651"/>
      <c r="J13" s="1650" t="s">
        <v>882</v>
      </c>
      <c r="K13" s="1650" t="s">
        <v>883</v>
      </c>
      <c r="L13" s="1650" t="s">
        <v>884</v>
      </c>
      <c r="M13" s="1650" t="s">
        <v>885</v>
      </c>
      <c r="N13" s="1650" t="s">
        <v>923</v>
      </c>
      <c r="O13" s="1652">
        <v>46177.45972222222</v>
      </c>
      <c r="P13" s="1652" t="str">
        <f>IFERROR(__xludf.DUMMYFUNCTION("IFERROR(
  TEXT(
    DATE(
      INDEX(SPLIT(O13,"" ""),3),
      VLOOKUP(INDEX(SPLIT(O13,"" ""),1),{""jan."",1;""Feb"",2;""mar."",3;""Apr"",4;""May"",5;""jun."",6;""jul."",7;""Aug"",8;""Sep"",9;""Oct"",10;""nov."",11;""Dec"",12},2,FALSE),
      INDEX(SPL"&amp;"IT(O13,"" ""),2)
    ),
    ""dd/mm/yyyy""
  ),
"""")"),"04/06/2026")</f>
        <v>04/06/2026</v>
      </c>
    </row>
    <row r="14">
      <c r="A14" s="1649" t="s">
        <v>924</v>
      </c>
      <c r="B14" s="1649" t="s">
        <v>925</v>
      </c>
      <c r="C14" s="1650" t="s">
        <v>880</v>
      </c>
      <c r="D14" s="1650" t="s">
        <v>881</v>
      </c>
      <c r="E14" s="1651"/>
      <c r="F14" s="1650" t="s">
        <v>596</v>
      </c>
      <c r="G14" s="1650" t="s">
        <v>882</v>
      </c>
      <c r="H14" s="1651"/>
      <c r="I14" s="1651"/>
      <c r="J14" s="1650" t="s">
        <v>882</v>
      </c>
      <c r="K14" s="1650" t="s">
        <v>883</v>
      </c>
      <c r="L14" s="1650" t="s">
        <v>884</v>
      </c>
      <c r="M14" s="1650" t="s">
        <v>885</v>
      </c>
      <c r="N14" s="1650" t="s">
        <v>926</v>
      </c>
      <c r="O14" s="1650" t="s">
        <v>927</v>
      </c>
      <c r="P14" s="1652" t="str">
        <f>IFERROR(__xludf.DUMMYFUNCTION("IFERROR(
  TEXT(
    DATE(
      INDEX(SPLIT(O14,"" ""),3),
      VLOOKUP(INDEX(SPLIT(O14,"" ""),1),{""jan."",1;""Feb"",2;""mar."",3;""Apr"",4;""May"",5;""jun."",6;""jul."",7;""Aug"",8;""Sep"",9;""Oct"",10;""nov."",11;""Dec"",12},2,FALSE),
      INDEX(SPL"&amp;"IT(O14,"" ""),2)
    ),
    ""dd/mm/yyyy""
  ),
"""")"),"27/05/2026")</f>
        <v>27/05/2026</v>
      </c>
    </row>
    <row r="15">
      <c r="A15" s="1649" t="s">
        <v>928</v>
      </c>
      <c r="B15" s="1649" t="s">
        <v>929</v>
      </c>
      <c r="C15" s="1650" t="s">
        <v>880</v>
      </c>
      <c r="D15" s="1650" t="s">
        <v>881</v>
      </c>
      <c r="E15" s="1651"/>
      <c r="F15" s="1650" t="s">
        <v>470</v>
      </c>
      <c r="G15" s="1650" t="s">
        <v>882</v>
      </c>
      <c r="H15" s="1651"/>
      <c r="I15" s="1651"/>
      <c r="J15" s="1650" t="s">
        <v>882</v>
      </c>
      <c r="K15" s="1650" t="s">
        <v>883</v>
      </c>
      <c r="L15" s="1650" t="s">
        <v>884</v>
      </c>
      <c r="M15" s="1650" t="s">
        <v>885</v>
      </c>
      <c r="N15" s="1650" t="s">
        <v>930</v>
      </c>
      <c r="O15" s="1650" t="s">
        <v>931</v>
      </c>
      <c r="P15" s="1652" t="str">
        <f>IFERROR(__xludf.DUMMYFUNCTION("IFERROR(
  TEXT(
    DATE(
      INDEX(SPLIT(O15,"" ""),3),
      VLOOKUP(INDEX(SPLIT(O15,"" ""),1),{""jan."",1;""Feb"",2;""mar."",3;""Apr"",4;""May"",5;""jun."",6;""jul."",7;""Aug"",8;""Sep"",9;""Oct"",10;""nov."",11;""Dec"",12},2,FALSE),
      INDEX(SPL"&amp;"IT(O15,"" ""),2)
    ),
    ""dd/mm/yyyy""
  ),
"""")"),"19/05/2026")</f>
        <v>19/05/2026</v>
      </c>
    </row>
    <row r="16">
      <c r="A16" s="1649" t="s">
        <v>932</v>
      </c>
      <c r="B16" s="1649" t="s">
        <v>933</v>
      </c>
      <c r="C16" s="1650" t="s">
        <v>880</v>
      </c>
      <c r="D16" s="1650" t="s">
        <v>881</v>
      </c>
      <c r="E16" s="1651"/>
      <c r="F16" s="1650" t="s">
        <v>596</v>
      </c>
      <c r="G16" s="1650" t="s">
        <v>882</v>
      </c>
      <c r="H16" s="1651"/>
      <c r="I16" s="1651"/>
      <c r="J16" s="1650" t="s">
        <v>882</v>
      </c>
      <c r="K16" s="1650" t="s">
        <v>883</v>
      </c>
      <c r="L16" s="1650" t="s">
        <v>884</v>
      </c>
      <c r="M16" s="1650" t="s">
        <v>885</v>
      </c>
      <c r="N16" s="1650" t="s">
        <v>934</v>
      </c>
      <c r="O16" s="1652">
        <v>46190.81805555556</v>
      </c>
      <c r="P16" s="1652" t="str">
        <f>IFERROR(__xludf.DUMMYFUNCTION("IFERROR(
  TEXT(
    DATE(
      INDEX(SPLIT(O16,"" ""),3),
      VLOOKUP(INDEX(SPLIT(O16,"" ""),1),{""jan."",1;""Feb"",2;""mar."",3;""Apr"",4;""May"",5;""jun."",6;""jul."",7;""Aug"",8;""Sep"",9;""Oct"",10;""nov."",11;""Dec"",12},2,FALSE),
      INDEX(SPL"&amp;"IT(O16,"" ""),2)
    ),
    ""dd/mm/yyyy""
  ),
"""")"),"17/06/2026")</f>
        <v>17/06/2026</v>
      </c>
    </row>
    <row r="17">
      <c r="A17" s="1649" t="s">
        <v>935</v>
      </c>
      <c r="B17" s="1649" t="s">
        <v>936</v>
      </c>
      <c r="C17" s="1650" t="s">
        <v>880</v>
      </c>
      <c r="D17" s="1650" t="s">
        <v>881</v>
      </c>
      <c r="E17" s="1651"/>
      <c r="F17" s="1650" t="s">
        <v>596</v>
      </c>
      <c r="G17" s="1650" t="s">
        <v>882</v>
      </c>
      <c r="H17" s="1651"/>
      <c r="I17" s="1651"/>
      <c r="J17" s="1650" t="s">
        <v>882</v>
      </c>
      <c r="K17" s="1650" t="s">
        <v>883</v>
      </c>
      <c r="L17" s="1650" t="s">
        <v>884</v>
      </c>
      <c r="M17" s="1650" t="s">
        <v>885</v>
      </c>
      <c r="N17" s="1650" t="s">
        <v>937</v>
      </c>
      <c r="O17" s="1650" t="s">
        <v>938</v>
      </c>
      <c r="P17" s="1652" t="str">
        <f>IFERROR(__xludf.DUMMYFUNCTION("IFERROR(
  TEXT(
    DATE(
      INDEX(SPLIT(O17,"" ""),3),
      VLOOKUP(INDEX(SPLIT(O17,"" ""),1),{""jan."",1;""Feb"",2;""mar."",3;""Apr"",4;""May"",5;""jun."",6;""jul."",7;""Aug"",8;""Sep"",9;""Oct"",10;""nov."",11;""Dec"",12},2,FALSE),
      INDEX(SPL"&amp;"IT(O17,"" ""),2)
    ),
    ""dd/mm/yyyy""
  ),
"""")"),"20/05/2026")</f>
        <v>20/05/2026</v>
      </c>
    </row>
    <row r="18">
      <c r="A18" s="1649" t="s">
        <v>939</v>
      </c>
      <c r="B18" s="1649" t="s">
        <v>940</v>
      </c>
      <c r="C18" s="1650" t="s">
        <v>880</v>
      </c>
      <c r="D18" s="1650" t="s">
        <v>881</v>
      </c>
      <c r="E18" s="1651"/>
      <c r="F18" s="1650" t="s">
        <v>470</v>
      </c>
      <c r="G18" s="1650" t="s">
        <v>882</v>
      </c>
      <c r="H18" s="1651"/>
      <c r="I18" s="1651"/>
      <c r="J18" s="1650" t="s">
        <v>882</v>
      </c>
      <c r="K18" s="1650" t="s">
        <v>883</v>
      </c>
      <c r="L18" s="1650" t="s">
        <v>884</v>
      </c>
      <c r="M18" s="1650" t="s">
        <v>885</v>
      </c>
      <c r="N18" s="1650" t="s">
        <v>941</v>
      </c>
      <c r="O18" s="1650" t="s">
        <v>942</v>
      </c>
      <c r="P18" s="1652" t="str">
        <f>IFERROR(__xludf.DUMMYFUNCTION("IFERROR(
  TEXT(
    DATE(
      INDEX(SPLIT(O18,"" ""),3),
      VLOOKUP(INDEX(SPLIT(O18,"" ""),1),{""jan."",1;""Feb"",2;""mar."",3;""Apr"",4;""May"",5;""jun."",6;""jul."",7;""Aug"",8;""Sep"",9;""Oct"",10;""nov."",11;""Dec"",12},2,FALSE),
      INDEX(SPL"&amp;"IT(O18,"" ""),2)
    ),
    ""dd/mm/yyyy""
  ),
"""")"),"20/05/2026")</f>
        <v>20/05/2026</v>
      </c>
    </row>
    <row r="19">
      <c r="A19" s="1649" t="s">
        <v>943</v>
      </c>
      <c r="B19" s="1649" t="s">
        <v>944</v>
      </c>
      <c r="C19" s="1650" t="s">
        <v>880</v>
      </c>
      <c r="D19" s="1650" t="s">
        <v>881</v>
      </c>
      <c r="E19" s="1651"/>
      <c r="F19" s="1650" t="s">
        <v>480</v>
      </c>
      <c r="G19" s="1650" t="s">
        <v>882</v>
      </c>
      <c r="H19" s="1651"/>
      <c r="I19" s="1651"/>
      <c r="J19" s="1650" t="s">
        <v>882</v>
      </c>
      <c r="K19" s="1650" t="s">
        <v>883</v>
      </c>
      <c r="L19" s="1650" t="s">
        <v>884</v>
      </c>
      <c r="M19" s="1650" t="s">
        <v>885</v>
      </c>
      <c r="N19" s="1650" t="s">
        <v>945</v>
      </c>
      <c r="O19" s="1652">
        <v>46182.60138888889</v>
      </c>
      <c r="P19" s="1652" t="str">
        <f>IFERROR(__xludf.DUMMYFUNCTION("IFERROR(
  TEXT(
    DATE(
      INDEX(SPLIT(O19,"" ""),3),
      VLOOKUP(INDEX(SPLIT(O19,"" ""),1),{""jan."",1;""Feb"",2;""mar."",3;""Apr"",4;""May"",5;""jun."",6;""jul."",7;""Aug"",8;""Sep"",9;""Oct"",10;""nov."",11;""Dec"",12},2,FALSE),
      INDEX(SPL"&amp;"IT(O19,"" ""),2)
    ),
    ""dd/mm/yyyy""
  ),
"""")"),"09/06/2026")</f>
        <v>09/06/2026</v>
      </c>
    </row>
    <row r="20">
      <c r="A20" s="1649" t="s">
        <v>946</v>
      </c>
      <c r="B20" s="1649" t="s">
        <v>947</v>
      </c>
      <c r="C20" s="1650" t="s">
        <v>880</v>
      </c>
      <c r="D20" s="1650" t="s">
        <v>881</v>
      </c>
      <c r="E20" s="1651"/>
      <c r="F20" s="1650" t="s">
        <v>480</v>
      </c>
      <c r="G20" s="1650" t="s">
        <v>882</v>
      </c>
      <c r="H20" s="1651"/>
      <c r="I20" s="1651"/>
      <c r="J20" s="1650" t="s">
        <v>882</v>
      </c>
      <c r="K20" s="1650" t="s">
        <v>883</v>
      </c>
      <c r="L20" s="1650" t="s">
        <v>884</v>
      </c>
      <c r="M20" s="1650" t="s">
        <v>885</v>
      </c>
      <c r="N20" s="1650" t="s">
        <v>948</v>
      </c>
      <c r="O20" s="1652">
        <v>46197.677083333336</v>
      </c>
      <c r="P20" s="1652" t="str">
        <f>IFERROR(__xludf.DUMMYFUNCTION("IFERROR(
  TEXT(
    DATE(
      INDEX(SPLIT(O20,"" ""),3),
      VLOOKUP(INDEX(SPLIT(O20,"" ""),1),{""jan."",1;""Feb"",2;""mar."",3;""Apr"",4;""May"",5;""jun."",6;""jul."",7;""Aug"",8;""Sep"",9;""Oct"",10;""nov."",11;""Dec"",12},2,FALSE),
      INDEX(SPL"&amp;"IT(O20,"" ""),2)
    ),
    ""dd/mm/yyyy""
  ),
"""")"),"24/06/2026")</f>
        <v>24/06/2026</v>
      </c>
    </row>
    <row r="21">
      <c r="A21" s="1649" t="s">
        <v>949</v>
      </c>
      <c r="B21" s="1649" t="s">
        <v>950</v>
      </c>
      <c r="C21" s="1653"/>
      <c r="D21" s="1653"/>
      <c r="E21" s="1651"/>
      <c r="F21" s="1650" t="s">
        <v>480</v>
      </c>
      <c r="G21" s="1650" t="s">
        <v>882</v>
      </c>
      <c r="H21" s="1651"/>
      <c r="I21" s="1651"/>
      <c r="J21" s="1650" t="s">
        <v>882</v>
      </c>
      <c r="K21" s="1650" t="s">
        <v>883</v>
      </c>
      <c r="L21" s="1650" t="s">
        <v>884</v>
      </c>
      <c r="M21" s="1650" t="s">
        <v>885</v>
      </c>
      <c r="N21" s="1650" t="s">
        <v>951</v>
      </c>
      <c r="O21" s="1652">
        <v>46176.50347222222</v>
      </c>
      <c r="P21" s="1652" t="str">
        <f>IFERROR(__xludf.DUMMYFUNCTION("IFERROR(
  TEXT(
    DATE(
      INDEX(SPLIT(O21,"" ""),3),
      VLOOKUP(INDEX(SPLIT(O21,"" ""),1),{""jan."",1;""Feb"",2;""mar."",3;""Apr"",4;""May"",5;""jun."",6;""jul."",7;""Aug"",8;""Sep"",9;""Oct"",10;""nov."",11;""Dec"",12},2,FALSE),
      INDEX(SPL"&amp;"IT(O21,"" ""),2)
    ),
    ""dd/mm/yyyy""
  ),
"""")"),"03/06/2026")</f>
        <v>03/06/2026</v>
      </c>
    </row>
    <row r="22">
      <c r="A22" s="1649" t="s">
        <v>952</v>
      </c>
      <c r="B22" s="1649" t="s">
        <v>953</v>
      </c>
      <c r="C22" s="1653"/>
      <c r="D22" s="1653"/>
      <c r="E22" s="1651"/>
      <c r="F22" s="1650" t="s">
        <v>480</v>
      </c>
      <c r="G22" s="1650" t="s">
        <v>882</v>
      </c>
      <c r="H22" s="1651"/>
      <c r="I22" s="1651"/>
      <c r="J22" s="1650" t="s">
        <v>882</v>
      </c>
      <c r="K22" s="1650" t="s">
        <v>883</v>
      </c>
      <c r="L22" s="1650" t="s">
        <v>884</v>
      </c>
      <c r="M22" s="1650" t="s">
        <v>885</v>
      </c>
      <c r="N22" s="1650" t="s">
        <v>954</v>
      </c>
      <c r="O22" s="1652">
        <v>46218.54722222222</v>
      </c>
      <c r="P22" s="1652" t="str">
        <f>IFERROR(__xludf.DUMMYFUNCTION("IFERROR(
  TEXT(
    DATE(
      INDEX(SPLIT(O22,"" ""),3),
      VLOOKUP(INDEX(SPLIT(O22,"" ""),1),{""jan."",1;""Feb"",2;""mar."",3;""Apr"",4;""May"",5;""jun."",6;""jul."",7;""Aug"",8;""Sep"",9;""Oct"",10;""nov."",11;""Dec"",12},2,FALSE),
      INDEX(SPL"&amp;"IT(O22,"" ""),2)
    ),
    ""dd/mm/yyyy""
  ),
"""")"),"15/07/2026")</f>
        <v>15/07/2026</v>
      </c>
    </row>
    <row r="23">
      <c r="A23" s="1649" t="s">
        <v>955</v>
      </c>
      <c r="B23" s="1649" t="s">
        <v>956</v>
      </c>
      <c r="C23" s="1653"/>
      <c r="D23" s="1653"/>
      <c r="E23" s="1651"/>
      <c r="F23" s="1650" t="s">
        <v>470</v>
      </c>
      <c r="G23" s="1650" t="s">
        <v>882</v>
      </c>
      <c r="H23" s="1651"/>
      <c r="I23" s="1651"/>
      <c r="J23" s="1650" t="s">
        <v>882</v>
      </c>
      <c r="K23" s="1650" t="s">
        <v>883</v>
      </c>
      <c r="L23" s="1650" t="s">
        <v>884</v>
      </c>
      <c r="M23" s="1650" t="s">
        <v>885</v>
      </c>
      <c r="N23" s="1650" t="s">
        <v>957</v>
      </c>
      <c r="O23" s="1650" t="s">
        <v>958</v>
      </c>
      <c r="P23" s="1652" t="str">
        <f>IFERROR(__xludf.DUMMYFUNCTION("IFERROR(
  TEXT(
    DATE(
      INDEX(SPLIT(O23,"" ""),3),
      VLOOKUP(INDEX(SPLIT(O23,"" ""),1),{""jan."",1;""Feb"",2;""mar."",3;""Apr"",4;""May"",5;""jun."",6;""jul."",7;""Aug"",8;""Sep"",9;""Oct"",10;""nov."",11;""Dec"",12},2,FALSE),
      INDEX(SPL"&amp;"IT(O23,"" ""),2)
    ),
    ""dd/mm/yyyy""
  ),
"""")"),"15/05/2026")</f>
        <v>15/05/2026</v>
      </c>
    </row>
    <row r="24">
      <c r="A24" s="1649" t="s">
        <v>959</v>
      </c>
      <c r="B24" s="1649" t="s">
        <v>960</v>
      </c>
      <c r="C24" s="1653"/>
      <c r="D24" s="1653"/>
      <c r="E24" s="1651"/>
      <c r="F24" s="1650" t="s">
        <v>596</v>
      </c>
      <c r="G24" s="1650" t="s">
        <v>882</v>
      </c>
      <c r="H24" s="1651"/>
      <c r="I24" s="1651"/>
      <c r="J24" s="1650" t="s">
        <v>882</v>
      </c>
      <c r="K24" s="1650" t="s">
        <v>883</v>
      </c>
      <c r="L24" s="1650" t="s">
        <v>884</v>
      </c>
      <c r="M24" s="1650" t="s">
        <v>885</v>
      </c>
      <c r="N24" s="1650" t="s">
        <v>961</v>
      </c>
      <c r="O24" s="1652">
        <v>46210.74097222222</v>
      </c>
      <c r="P24" s="1652" t="str">
        <f>IFERROR(__xludf.DUMMYFUNCTION("IFERROR(
  TEXT(
    DATE(
      INDEX(SPLIT(O24,"" ""),3),
      VLOOKUP(INDEX(SPLIT(O24,"" ""),1),{""jan."",1;""Feb"",2;""mar."",3;""Apr"",4;""May"",5;""jun."",6;""jul."",7;""Aug"",8;""Sep"",9;""Oct"",10;""nov."",11;""Dec"",12},2,FALSE),
      INDEX(SPL"&amp;"IT(O24,"" ""),2)
    ),
    ""dd/mm/yyyy""
  ),
"""")"),"07/07/2026")</f>
        <v>07/07/2026</v>
      </c>
    </row>
    <row r="25">
      <c r="A25" s="1649" t="s">
        <v>962</v>
      </c>
      <c r="B25" s="1649" t="s">
        <v>963</v>
      </c>
      <c r="C25" s="1653"/>
      <c r="D25" s="1653"/>
      <c r="E25" s="1651"/>
      <c r="F25" s="1650" t="s">
        <v>596</v>
      </c>
      <c r="G25" s="1650" t="s">
        <v>882</v>
      </c>
      <c r="H25" s="1651"/>
      <c r="I25" s="1651"/>
      <c r="J25" s="1650" t="s">
        <v>882</v>
      </c>
      <c r="K25" s="1650" t="s">
        <v>883</v>
      </c>
      <c r="L25" s="1650" t="s">
        <v>884</v>
      </c>
      <c r="M25" s="1650" t="s">
        <v>885</v>
      </c>
      <c r="N25" s="1650" t="s">
        <v>964</v>
      </c>
      <c r="O25" s="1652">
        <v>46199.592361111114</v>
      </c>
      <c r="P25" s="1652" t="str">
        <f>IFERROR(__xludf.DUMMYFUNCTION("IFERROR(
  TEXT(
    DATE(
      INDEX(SPLIT(O25,"" ""),3),
      VLOOKUP(INDEX(SPLIT(O25,"" ""),1),{""jan."",1;""Feb"",2;""mar."",3;""Apr"",4;""May"",5;""jun."",6;""jul."",7;""Aug"",8;""Sep"",9;""Oct"",10;""nov."",11;""Dec"",12},2,FALSE),
      INDEX(SPL"&amp;"IT(O25,"" ""),2)
    ),
    ""dd/mm/yyyy""
  ),
"""")"),"26/06/2026")</f>
        <v>26/06/2026</v>
      </c>
    </row>
    <row r="26">
      <c r="A26" s="1649" t="s">
        <v>965</v>
      </c>
      <c r="B26" s="1649" t="s">
        <v>966</v>
      </c>
      <c r="C26" s="1653"/>
      <c r="D26" s="1653"/>
      <c r="E26" s="1651"/>
      <c r="F26" s="1650" t="s">
        <v>470</v>
      </c>
      <c r="G26" s="1650" t="s">
        <v>882</v>
      </c>
      <c r="H26" s="1651"/>
      <c r="I26" s="1651"/>
      <c r="J26" s="1650" t="s">
        <v>882</v>
      </c>
      <c r="K26" s="1650" t="s">
        <v>883</v>
      </c>
      <c r="L26" s="1650" t="s">
        <v>884</v>
      </c>
      <c r="M26" s="1650" t="s">
        <v>885</v>
      </c>
      <c r="N26" s="1650" t="s">
        <v>967</v>
      </c>
      <c r="O26" s="1650" t="s">
        <v>913</v>
      </c>
      <c r="P26" s="1652" t="str">
        <f>IFERROR(__xludf.DUMMYFUNCTION("IFERROR(
  TEXT(
    DATE(
      INDEX(SPLIT(O26,"" ""),3),
      VLOOKUP(INDEX(SPLIT(O26,"" ""),1),{""jan."",1;""Feb"",2;""mar."",3;""Apr"",4;""May"",5;""jun."",6;""jul."",7;""Aug"",8;""Sep"",9;""Oct"",10;""nov."",11;""Dec"",12},2,FALSE),
      INDEX(SPL"&amp;"IT(O26,"" ""),2)
    ),
    ""dd/mm/yyyy""
  ),
"""")"),"15/05/2026")</f>
        <v>15/05/2026</v>
      </c>
    </row>
    <row r="27">
      <c r="A27" s="1649" t="s">
        <v>968</v>
      </c>
      <c r="B27" s="1649" t="s">
        <v>969</v>
      </c>
      <c r="C27" s="1653"/>
      <c r="D27" s="1653"/>
      <c r="E27" s="1651"/>
      <c r="F27" s="1650" t="s">
        <v>470</v>
      </c>
      <c r="G27" s="1650" t="s">
        <v>882</v>
      </c>
      <c r="H27" s="1651"/>
      <c r="I27" s="1651"/>
      <c r="J27" s="1650" t="s">
        <v>882</v>
      </c>
      <c r="K27" s="1650" t="s">
        <v>883</v>
      </c>
      <c r="L27" s="1650" t="s">
        <v>884</v>
      </c>
      <c r="M27" s="1650" t="s">
        <v>885</v>
      </c>
      <c r="N27" s="1650" t="s">
        <v>970</v>
      </c>
      <c r="O27" s="1650" t="s">
        <v>913</v>
      </c>
      <c r="P27" s="1652" t="str">
        <f>IFERROR(__xludf.DUMMYFUNCTION("IFERROR(
  TEXT(
    DATE(
      INDEX(SPLIT(O27,"" ""),3),
      VLOOKUP(INDEX(SPLIT(O27,"" ""),1),{""jan."",1;""Feb"",2;""mar."",3;""Apr"",4;""May"",5;""jun."",6;""jul."",7;""Aug"",8;""Sep"",9;""Oct"",10;""nov."",11;""Dec"",12},2,FALSE),
      INDEX(SPL"&amp;"IT(O27,"" ""),2)
    ),
    ""dd/mm/yyyy""
  ),
"""")"),"15/05/2026")</f>
        <v>15/05/2026</v>
      </c>
    </row>
    <row r="28">
      <c r="A28" s="1649" t="s">
        <v>971</v>
      </c>
      <c r="B28" s="1649" t="s">
        <v>972</v>
      </c>
      <c r="C28" s="1653"/>
      <c r="D28" s="1653"/>
      <c r="E28" s="1651"/>
      <c r="F28" s="1650" t="s">
        <v>507</v>
      </c>
      <c r="G28" s="1650" t="s">
        <v>882</v>
      </c>
      <c r="H28" s="1651"/>
      <c r="I28" s="1651"/>
      <c r="J28" s="1650" t="s">
        <v>882</v>
      </c>
      <c r="K28" s="1650" t="s">
        <v>883</v>
      </c>
      <c r="L28" s="1650" t="s">
        <v>884</v>
      </c>
      <c r="M28" s="1650" t="s">
        <v>885</v>
      </c>
      <c r="N28" s="1650" t="s">
        <v>973</v>
      </c>
      <c r="O28" s="1652">
        <v>46195.669444444444</v>
      </c>
      <c r="P28" s="1652" t="str">
        <f>IFERROR(__xludf.DUMMYFUNCTION("IFERROR(
  TEXT(
    DATE(
      INDEX(SPLIT(O28,"" ""),3),
      VLOOKUP(INDEX(SPLIT(O28,"" ""),1),{""jan."",1;""Feb"",2;""mar."",3;""Apr"",4;""May"",5;""jun."",6;""jul."",7;""Aug"",8;""Sep"",9;""Oct"",10;""nov."",11;""Dec"",12},2,FALSE),
      INDEX(SPL"&amp;"IT(O28,"" ""),2)
    ),
    ""dd/mm/yyyy""
  ),
"""")"),"22/06/2026")</f>
        <v>22/06/2026</v>
      </c>
    </row>
    <row r="29">
      <c r="A29" s="1649" t="s">
        <v>974</v>
      </c>
      <c r="B29" s="1649" t="s">
        <v>975</v>
      </c>
      <c r="C29" s="1653"/>
      <c r="D29" s="1653"/>
      <c r="E29" s="1651"/>
      <c r="F29" s="1650" t="s">
        <v>596</v>
      </c>
      <c r="G29" s="1650" t="s">
        <v>882</v>
      </c>
      <c r="H29" s="1651"/>
      <c r="I29" s="1651"/>
      <c r="J29" s="1650" t="s">
        <v>882</v>
      </c>
      <c r="K29" s="1650" t="s">
        <v>883</v>
      </c>
      <c r="L29" s="1650" t="s">
        <v>884</v>
      </c>
      <c r="M29" s="1650" t="s">
        <v>885</v>
      </c>
      <c r="N29" s="1650" t="s">
        <v>976</v>
      </c>
      <c r="O29" s="1652">
        <v>46177.46041666667</v>
      </c>
      <c r="P29" s="1652" t="str">
        <f>IFERROR(__xludf.DUMMYFUNCTION("IFERROR(
  TEXT(
    DATE(
      INDEX(SPLIT(O29,"" ""),3),
      VLOOKUP(INDEX(SPLIT(O29,"" ""),1),{""jan."",1;""Feb"",2;""mar."",3;""Apr"",4;""May"",5;""jun."",6;""jul."",7;""Aug"",8;""Sep"",9;""Oct"",10;""nov."",11;""Dec"",12},2,FALSE),
      INDEX(SPL"&amp;"IT(O29,"" ""),2)
    ),
    ""dd/mm/yyyy""
  ),
"""")"),"04/06/2026")</f>
        <v>04/06/2026</v>
      </c>
    </row>
    <row r="30">
      <c r="A30" s="1649" t="s">
        <v>977</v>
      </c>
      <c r="B30" s="1649" t="s">
        <v>978</v>
      </c>
      <c r="C30" s="1653"/>
      <c r="D30" s="1653"/>
      <c r="E30" s="1651"/>
      <c r="F30" s="1650" t="s">
        <v>596</v>
      </c>
      <c r="G30" s="1650" t="s">
        <v>882</v>
      </c>
      <c r="H30" s="1651"/>
      <c r="I30" s="1651"/>
      <c r="J30" s="1650" t="s">
        <v>882</v>
      </c>
      <c r="K30" s="1650" t="s">
        <v>883</v>
      </c>
      <c r="L30" s="1650" t="s">
        <v>884</v>
      </c>
      <c r="M30" s="1650" t="s">
        <v>885</v>
      </c>
      <c r="N30" s="1650" t="s">
        <v>979</v>
      </c>
      <c r="O30" s="1650" t="s">
        <v>980</v>
      </c>
      <c r="P30" s="1652" t="str">
        <f>IFERROR(__xludf.DUMMYFUNCTION("IFERROR(
  TEXT(
    DATE(
      INDEX(SPLIT(O30,"" ""),3),
      VLOOKUP(INDEX(SPLIT(O30,"" ""),1),{""jan."",1;""Feb"",2;""mar."",3;""Apr"",4;""May"",5;""jun."",6;""jul."",7;""Aug"",8;""Sep"",9;""Oct"",10;""nov."",11;""Dec"",12},2,FALSE),
      INDEX(SPL"&amp;"IT(O30,"" ""),2)
    ),
    ""dd/mm/yyyy""
  ),
"""")"),"27/05/2026")</f>
        <v>27/05/2026</v>
      </c>
    </row>
    <row r="31">
      <c r="A31" s="1649" t="s">
        <v>981</v>
      </c>
      <c r="B31" s="1649" t="s">
        <v>982</v>
      </c>
      <c r="C31" s="1653"/>
      <c r="D31" s="1653"/>
      <c r="E31" s="1651"/>
      <c r="F31" s="1650" t="s">
        <v>470</v>
      </c>
      <c r="G31" s="1650" t="s">
        <v>882</v>
      </c>
      <c r="H31" s="1651"/>
      <c r="I31" s="1651"/>
      <c r="J31" s="1650" t="s">
        <v>882</v>
      </c>
      <c r="K31" s="1650" t="s">
        <v>883</v>
      </c>
      <c r="L31" s="1650" t="s">
        <v>884</v>
      </c>
      <c r="M31" s="1650" t="s">
        <v>885</v>
      </c>
      <c r="N31" s="1650" t="s">
        <v>983</v>
      </c>
      <c r="O31" s="1650" t="s">
        <v>984</v>
      </c>
      <c r="P31" s="1652" t="str">
        <f>IFERROR(__xludf.DUMMYFUNCTION("IFERROR(
  TEXT(
    DATE(
      INDEX(SPLIT(O31,"" ""),3),
      VLOOKUP(INDEX(SPLIT(O31,"" ""),1),{""jan."",1;""Feb"",2;""mar."",3;""Apr"",4;""May"",5;""jun."",6;""jul."",7;""Aug"",8;""Sep"",9;""Oct"",10;""nov."",11;""Dec"",12},2,FALSE),
      INDEX(SPL"&amp;"IT(O31,"" ""),2)
    ),
    ""dd/mm/yyyy""
  ),
"""")"),"19/05/2026")</f>
        <v>19/05/2026</v>
      </c>
    </row>
    <row r="32">
      <c r="A32" s="1649" t="s">
        <v>985</v>
      </c>
      <c r="B32" s="1649" t="s">
        <v>986</v>
      </c>
      <c r="C32" s="1653"/>
      <c r="D32" s="1653"/>
      <c r="E32" s="1651"/>
      <c r="F32" s="1650" t="s">
        <v>596</v>
      </c>
      <c r="G32" s="1650" t="s">
        <v>882</v>
      </c>
      <c r="H32" s="1651"/>
      <c r="I32" s="1651"/>
      <c r="J32" s="1650" t="s">
        <v>882</v>
      </c>
      <c r="K32" s="1650" t="s">
        <v>883</v>
      </c>
      <c r="L32" s="1650" t="s">
        <v>884</v>
      </c>
      <c r="M32" s="1650" t="s">
        <v>885</v>
      </c>
      <c r="N32" s="1650" t="s">
        <v>987</v>
      </c>
      <c r="O32" s="1652">
        <v>46190.816666666666</v>
      </c>
      <c r="P32" s="1652" t="str">
        <f>IFERROR(__xludf.DUMMYFUNCTION("IFERROR(
  TEXT(
    DATE(
      INDEX(SPLIT(O32,"" ""),3),
      VLOOKUP(INDEX(SPLIT(O32,"" ""),1),{""jan."",1;""Feb"",2;""mar."",3;""Apr"",4;""May"",5;""jun."",6;""jul."",7;""Aug"",8;""Sep"",9;""Oct"",10;""nov."",11;""Dec"",12},2,FALSE),
      INDEX(SPL"&amp;"IT(O32,"" ""),2)
    ),
    ""dd/mm/yyyy""
  ),
"""")"),"17/06/2026")</f>
        <v>17/06/2026</v>
      </c>
    </row>
    <row r="33">
      <c r="A33" s="1649" t="s">
        <v>988</v>
      </c>
      <c r="B33" s="1649" t="s">
        <v>989</v>
      </c>
      <c r="C33" s="1653"/>
      <c r="D33" s="1653"/>
      <c r="E33" s="1651"/>
      <c r="F33" s="1650" t="s">
        <v>470</v>
      </c>
      <c r="G33" s="1650" t="s">
        <v>882</v>
      </c>
      <c r="H33" s="1651"/>
      <c r="I33" s="1651"/>
      <c r="J33" s="1650" t="s">
        <v>882</v>
      </c>
      <c r="K33" s="1650" t="s">
        <v>883</v>
      </c>
      <c r="L33" s="1650" t="s">
        <v>884</v>
      </c>
      <c r="M33" s="1650" t="s">
        <v>885</v>
      </c>
      <c r="N33" s="1650" t="s">
        <v>990</v>
      </c>
      <c r="O33" s="1650" t="s">
        <v>991</v>
      </c>
      <c r="P33" s="1652" t="str">
        <f>IFERROR(__xludf.DUMMYFUNCTION("IFERROR(
  TEXT(
    DATE(
      INDEX(SPLIT(O33,"" ""),3),
      VLOOKUP(INDEX(SPLIT(O33,"" ""),1),{""jan."",1;""Feb"",2;""mar."",3;""Apr"",4;""May"",5;""jun."",6;""jul."",7;""Aug"",8;""Sep"",9;""Oct"",10;""nov."",11;""Dec"",12},2,FALSE),
      INDEX(SPL"&amp;"IT(O33,"" ""),2)
    ),
    ""dd/mm/yyyy""
  ),
"""")"),"20/05/2026")</f>
        <v>20/05/2026</v>
      </c>
    </row>
    <row r="34">
      <c r="A34" s="1649" t="s">
        <v>992</v>
      </c>
      <c r="B34" s="1649" t="s">
        <v>993</v>
      </c>
      <c r="C34" s="1653"/>
      <c r="D34" s="1653"/>
      <c r="E34" s="1651"/>
      <c r="F34" s="1650" t="s">
        <v>480</v>
      </c>
      <c r="G34" s="1650" t="s">
        <v>882</v>
      </c>
      <c r="H34" s="1651"/>
      <c r="I34" s="1651"/>
      <c r="J34" s="1650" t="s">
        <v>882</v>
      </c>
      <c r="K34" s="1650" t="s">
        <v>883</v>
      </c>
      <c r="L34" s="1650" t="s">
        <v>884</v>
      </c>
      <c r="M34" s="1650" t="s">
        <v>885</v>
      </c>
      <c r="N34" s="1650" t="s">
        <v>994</v>
      </c>
      <c r="O34" s="1652">
        <v>46182.60208333333</v>
      </c>
      <c r="P34" s="1652" t="str">
        <f>IFERROR(__xludf.DUMMYFUNCTION("IFERROR(
  TEXT(
    DATE(
      INDEX(SPLIT(O34,"" ""),3),
      VLOOKUP(INDEX(SPLIT(O34,"" ""),1),{""jan."",1;""Feb"",2;""mar."",3;""Apr"",4;""May"",5;""jun."",6;""jul."",7;""Aug"",8;""Sep"",9;""Oct"",10;""nov."",11;""Dec"",12},2,FALSE),
      INDEX(SPL"&amp;"IT(O34,"" ""),2)
    ),
    ""dd/mm/yyyy""
  ),
"""")"),"09/06/2026")</f>
        <v>09/06/2026</v>
      </c>
    </row>
    <row r="35">
      <c r="A35" s="1649" t="s">
        <v>995</v>
      </c>
      <c r="B35" s="1649" t="s">
        <v>996</v>
      </c>
      <c r="C35" s="1653"/>
      <c r="D35" s="1653"/>
      <c r="E35" s="1651"/>
      <c r="F35" s="1650" t="s">
        <v>480</v>
      </c>
      <c r="G35" s="1650" t="s">
        <v>882</v>
      </c>
      <c r="H35" s="1651"/>
      <c r="I35" s="1651"/>
      <c r="J35" s="1650" t="s">
        <v>882</v>
      </c>
      <c r="K35" s="1650" t="s">
        <v>883</v>
      </c>
      <c r="L35" s="1650" t="s">
        <v>884</v>
      </c>
      <c r="M35" s="1650" t="s">
        <v>885</v>
      </c>
      <c r="N35" s="1650" t="s">
        <v>997</v>
      </c>
      <c r="O35" s="1652">
        <v>46197.63888888889</v>
      </c>
      <c r="P35" s="1652" t="str">
        <f>IFERROR(__xludf.DUMMYFUNCTION("IFERROR(
  TEXT(
    DATE(
      INDEX(SPLIT(O35,"" ""),3),
      VLOOKUP(INDEX(SPLIT(O35,"" ""),1),{""jan."",1;""Feb"",2;""mar."",3;""Apr"",4;""May"",5;""jun."",6;""jul."",7;""Aug"",8;""Sep"",9;""Oct"",10;""nov."",11;""Dec"",12},2,FALSE),
      INDEX(SPL"&amp;"IT(O35,"" ""),2)
    ),
    ""dd/mm/yyyy""
  ),
"""")"),"24/06/2026")</f>
        <v>24/06/2026</v>
      </c>
    </row>
    <row r="36">
      <c r="A36" s="1649" t="s">
        <v>998</v>
      </c>
      <c r="B36" s="1649" t="s">
        <v>999</v>
      </c>
      <c r="C36" s="1650" t="s">
        <v>880</v>
      </c>
      <c r="D36" s="1650" t="s">
        <v>881</v>
      </c>
      <c r="E36" s="1651"/>
      <c r="F36" s="1650" t="s">
        <v>479</v>
      </c>
      <c r="G36" s="1650" t="s">
        <v>882</v>
      </c>
      <c r="H36" s="1651"/>
      <c r="I36" s="1651"/>
      <c r="J36" s="1650" t="s">
        <v>882</v>
      </c>
      <c r="K36" s="1650" t="s">
        <v>883</v>
      </c>
      <c r="L36" s="1650" t="s">
        <v>884</v>
      </c>
      <c r="M36" s="1650" t="s">
        <v>885</v>
      </c>
      <c r="N36" s="1650" t="s">
        <v>1000</v>
      </c>
      <c r="O36" s="1652">
        <v>46184.444444444445</v>
      </c>
      <c r="P36" s="1652" t="str">
        <f>IFERROR(__xludf.DUMMYFUNCTION("IFERROR(
  TEXT(
    DATE(
      INDEX(SPLIT(O36,"" ""),3),
      VLOOKUP(INDEX(SPLIT(O36,"" ""),1),{""jan."",1;""Feb"",2;""mar."",3;""Apr"",4;""May"",5;""jun."",6;""jul."",7;""Aug"",8;""Sep"",9;""Oct"",10;""nov."",11;""Dec"",12},2,FALSE),
      INDEX(SPL"&amp;"IT(O36,"" ""),2)
    ),
    ""dd/mm/yyyy""
  ),
"""")"),"11/06/2026")</f>
        <v>11/06/2026</v>
      </c>
    </row>
    <row r="37">
      <c r="A37" s="1649" t="s">
        <v>1001</v>
      </c>
      <c r="B37" s="1649" t="s">
        <v>1002</v>
      </c>
      <c r="C37" s="1650" t="s">
        <v>880</v>
      </c>
      <c r="D37" s="1650" t="s">
        <v>881</v>
      </c>
      <c r="E37" s="1651"/>
      <c r="F37" s="1650" t="s">
        <v>494</v>
      </c>
      <c r="G37" s="1650" t="s">
        <v>882</v>
      </c>
      <c r="H37" s="1651"/>
      <c r="I37" s="1651"/>
      <c r="J37" s="1650" t="s">
        <v>882</v>
      </c>
      <c r="K37" s="1650" t="s">
        <v>883</v>
      </c>
      <c r="L37" s="1650" t="s">
        <v>884</v>
      </c>
      <c r="M37" s="1650" t="s">
        <v>885</v>
      </c>
      <c r="N37" s="1650" t="s">
        <v>1003</v>
      </c>
      <c r="O37" s="1652">
        <v>46197.407638888886</v>
      </c>
      <c r="P37" s="1652" t="str">
        <f>IFERROR(__xludf.DUMMYFUNCTION("IFERROR(
  TEXT(
    DATE(
      INDEX(SPLIT(O37,"" ""),3),
      VLOOKUP(INDEX(SPLIT(O37,"" ""),1),{""jan."",1;""Feb"",2;""mar."",3;""Apr"",4;""May"",5;""jun."",6;""jul."",7;""Aug"",8;""Sep"",9;""Oct"",10;""nov."",11;""Dec"",12},2,FALSE),
      INDEX(SPL"&amp;"IT(O37,"" ""),2)
    ),
    ""dd/mm/yyyy""
  ),
"""")"),"24/06/2026")</f>
        <v>24/06/2026</v>
      </c>
    </row>
    <row r="38">
      <c r="A38" s="1649" t="s">
        <v>1004</v>
      </c>
      <c r="B38" s="1649" t="s">
        <v>1005</v>
      </c>
      <c r="C38" s="1650" t="s">
        <v>880</v>
      </c>
      <c r="D38" s="1650" t="s">
        <v>881</v>
      </c>
      <c r="E38" s="1651"/>
      <c r="F38" s="1650" t="s">
        <v>470</v>
      </c>
      <c r="G38" s="1650" t="s">
        <v>882</v>
      </c>
      <c r="H38" s="1651"/>
      <c r="I38" s="1651"/>
      <c r="J38" s="1650" t="s">
        <v>882</v>
      </c>
      <c r="K38" s="1650" t="s">
        <v>883</v>
      </c>
      <c r="L38" s="1650" t="s">
        <v>884</v>
      </c>
      <c r="M38" s="1650" t="s">
        <v>885</v>
      </c>
      <c r="N38" s="1650" t="s">
        <v>1006</v>
      </c>
      <c r="O38" s="1650" t="s">
        <v>1007</v>
      </c>
      <c r="P38" s="1652" t="str">
        <f>IFERROR(__xludf.DUMMYFUNCTION("IFERROR(
  TEXT(
    DATE(
      INDEX(SPLIT(O38,"" ""),3),
      VLOOKUP(INDEX(SPLIT(O38,"" ""),1),{""jan."",1;""Feb"",2;""mar."",3;""Apr"",4;""May"",5;""jun."",6;""jul."",7;""Aug"",8;""Sep"",9;""Oct"",10;""nov."",11;""Dec"",12},2,FALSE),
      INDEX(SPL"&amp;"IT(O38,"" ""),2)
    ),
    ""dd/mm/yyyy""
  ),
"""")"),"18/05/2026")</f>
        <v>18/05/2026</v>
      </c>
    </row>
    <row r="39">
      <c r="A39" s="1649" t="s">
        <v>1008</v>
      </c>
      <c r="B39" s="1649" t="s">
        <v>1009</v>
      </c>
      <c r="C39" s="1650" t="s">
        <v>880</v>
      </c>
      <c r="D39" s="1650" t="s">
        <v>881</v>
      </c>
      <c r="E39" s="1651"/>
      <c r="F39" s="1650" t="s">
        <v>596</v>
      </c>
      <c r="G39" s="1650" t="s">
        <v>882</v>
      </c>
      <c r="H39" s="1651"/>
      <c r="I39" s="1651"/>
      <c r="J39" s="1650" t="s">
        <v>882</v>
      </c>
      <c r="K39" s="1650" t="s">
        <v>883</v>
      </c>
      <c r="L39" s="1650" t="s">
        <v>884</v>
      </c>
      <c r="M39" s="1650" t="s">
        <v>885</v>
      </c>
      <c r="N39" s="1650" t="s">
        <v>1010</v>
      </c>
      <c r="O39" s="1650" t="s">
        <v>1011</v>
      </c>
      <c r="P39" s="1652" t="str">
        <f>IFERROR(__xludf.DUMMYFUNCTION("IFERROR(
  TEXT(
    DATE(
      INDEX(SPLIT(O39,"" ""),3),
      VLOOKUP(INDEX(SPLIT(O39,"" ""),1),{""jan."",1;""Feb"",2;""mar."",3;""Apr"",4;""May"",5;""jun."",6;""jul."",7;""Aug"",8;""Sep"",9;""Oct"",10;""nov."",11;""Dec"",12},2,FALSE),
      INDEX(SPL"&amp;"IT(O39,"" ""),2)
    ),
    ""dd/mm/yyyy""
  ),
"""")"),"20/05/2026")</f>
        <v>20/05/2026</v>
      </c>
    </row>
    <row r="40">
      <c r="A40" s="1649" t="s">
        <v>1012</v>
      </c>
      <c r="B40" s="1649" t="s">
        <v>1013</v>
      </c>
      <c r="C40" s="1653"/>
      <c r="D40" s="1653"/>
      <c r="E40" s="1651"/>
      <c r="F40" s="1650" t="s">
        <v>479</v>
      </c>
      <c r="G40" s="1650" t="s">
        <v>882</v>
      </c>
      <c r="H40" s="1651"/>
      <c r="I40" s="1651"/>
      <c r="J40" s="1650" t="s">
        <v>882</v>
      </c>
      <c r="K40" s="1650" t="s">
        <v>883</v>
      </c>
      <c r="L40" s="1650" t="s">
        <v>884</v>
      </c>
      <c r="M40" s="1650" t="s">
        <v>885</v>
      </c>
      <c r="N40" s="1650" t="s">
        <v>1014</v>
      </c>
      <c r="O40" s="1652">
        <v>46195.705555555556</v>
      </c>
      <c r="P40" s="1652" t="str">
        <f>IFERROR(__xludf.DUMMYFUNCTION("IFERROR(
  TEXT(
    DATE(
      INDEX(SPLIT(O40,"" ""),3),
      VLOOKUP(INDEX(SPLIT(O40,"" ""),1),{""jan."",1;""Feb"",2;""mar."",3;""Apr"",4;""May"",5;""jun."",6;""jul."",7;""Aug"",8;""Sep"",9;""Oct"",10;""nov."",11;""Dec"",12},2,FALSE),
      INDEX(SPL"&amp;"IT(O40,"" ""),2)
    ),
    ""dd/mm/yyyy""
  ),
"""")"),"22/06/2026")</f>
        <v>22/06/2026</v>
      </c>
    </row>
    <row r="41">
      <c r="A41" s="1649" t="s">
        <v>1015</v>
      </c>
      <c r="B41" s="1649" t="s">
        <v>1016</v>
      </c>
      <c r="C41" s="1653"/>
      <c r="D41" s="1653"/>
      <c r="E41" s="1651"/>
      <c r="F41" s="1650" t="s">
        <v>479</v>
      </c>
      <c r="G41" s="1650" t="s">
        <v>882</v>
      </c>
      <c r="H41" s="1651"/>
      <c r="I41" s="1651"/>
      <c r="J41" s="1650" t="s">
        <v>882</v>
      </c>
      <c r="K41" s="1650" t="s">
        <v>883</v>
      </c>
      <c r="L41" s="1650" t="s">
        <v>884</v>
      </c>
      <c r="M41" s="1650" t="s">
        <v>885</v>
      </c>
      <c r="N41" s="1650" t="s">
        <v>1017</v>
      </c>
      <c r="O41" s="1652">
        <v>46197.40694444445</v>
      </c>
      <c r="P41" s="1652" t="str">
        <f>IFERROR(__xludf.DUMMYFUNCTION("IFERROR(
  TEXT(
    DATE(
      INDEX(SPLIT(O41,"" ""),3),
      VLOOKUP(INDEX(SPLIT(O41,"" ""),1),{""jan."",1;""Feb"",2;""mar."",3;""Apr"",4;""May"",5;""jun."",6;""jul."",7;""Aug"",8;""Sep"",9;""Oct"",10;""nov."",11;""Dec"",12},2,FALSE),
      INDEX(SPL"&amp;"IT(O41,"" ""),2)
    ),
    ""dd/mm/yyyy""
  ),
"""")"),"24/06/2026")</f>
        <v>24/06/2026</v>
      </c>
    </row>
    <row r="42">
      <c r="A42" s="1649" t="s">
        <v>1018</v>
      </c>
      <c r="B42" s="1649" t="s">
        <v>1019</v>
      </c>
      <c r="C42" s="1653"/>
      <c r="D42" s="1653"/>
      <c r="E42" s="1651"/>
      <c r="F42" s="1650" t="s">
        <v>470</v>
      </c>
      <c r="G42" s="1650" t="s">
        <v>882</v>
      </c>
      <c r="H42" s="1651"/>
      <c r="I42" s="1651"/>
      <c r="J42" s="1650" t="s">
        <v>882</v>
      </c>
      <c r="K42" s="1650" t="s">
        <v>883</v>
      </c>
      <c r="L42" s="1650" t="s">
        <v>884</v>
      </c>
      <c r="M42" s="1650" t="s">
        <v>885</v>
      </c>
      <c r="N42" s="1650" t="s">
        <v>1020</v>
      </c>
      <c r="O42" s="1650" t="s">
        <v>1021</v>
      </c>
      <c r="P42" s="1652" t="str">
        <f>IFERROR(__xludf.DUMMYFUNCTION("IFERROR(
  TEXT(
    DATE(
      INDEX(SPLIT(O42,"" ""),3),
      VLOOKUP(INDEX(SPLIT(O42,"" ""),1),{""jan."",1;""Feb"",2;""mar."",3;""Apr"",4;""May"",5;""jun."",6;""jul."",7;""Aug"",8;""Sep"",9;""Oct"",10;""nov."",11;""Dec"",12},2,FALSE),
      INDEX(SPL"&amp;"IT(O42,"" ""),2)
    ),
    ""dd/mm/yyyy""
  ),
"""")"),"18/05/2026")</f>
        <v>18/05/2026</v>
      </c>
    </row>
    <row r="43">
      <c r="A43" s="1649" t="s">
        <v>1022</v>
      </c>
      <c r="B43" s="1649" t="s">
        <v>1023</v>
      </c>
      <c r="C43" s="1653"/>
      <c r="D43" s="1653"/>
      <c r="E43" s="1651"/>
      <c r="F43" s="1650" t="s">
        <v>480</v>
      </c>
      <c r="G43" s="1650" t="s">
        <v>882</v>
      </c>
      <c r="H43" s="1651"/>
      <c r="I43" s="1651"/>
      <c r="J43" s="1650" t="s">
        <v>882</v>
      </c>
      <c r="K43" s="1650" t="s">
        <v>883</v>
      </c>
      <c r="L43" s="1650" t="s">
        <v>884</v>
      </c>
      <c r="M43" s="1650" t="s">
        <v>885</v>
      </c>
      <c r="N43" s="1650" t="s">
        <v>1024</v>
      </c>
      <c r="O43" s="1652">
        <v>46195.705555555556</v>
      </c>
      <c r="P43" s="1652" t="str">
        <f>IFERROR(__xludf.DUMMYFUNCTION("IFERROR(
  TEXT(
    DATE(
      INDEX(SPLIT(O43,"" ""),3),
      VLOOKUP(INDEX(SPLIT(O43,"" ""),1),{""jan."",1;""Feb"",2;""mar."",3;""Apr"",4;""May"",5;""jun."",6;""jul."",7;""Aug"",8;""Sep"",9;""Oct"",10;""nov."",11;""Dec"",12},2,FALSE),
      INDEX(SPL"&amp;"IT(O43,"" ""),2)
    ),
    ""dd/mm/yyyy""
  ),
"""")"),"22/06/2026")</f>
        <v>22/06/2026</v>
      </c>
    </row>
    <row r="44">
      <c r="A44" s="1649" t="s">
        <v>1025</v>
      </c>
      <c r="B44" s="1649" t="s">
        <v>1026</v>
      </c>
      <c r="C44" s="1650" t="s">
        <v>880</v>
      </c>
      <c r="D44" s="1650" t="s">
        <v>881</v>
      </c>
      <c r="E44" s="1651"/>
      <c r="F44" s="1650" t="s">
        <v>507</v>
      </c>
      <c r="G44" s="1650" t="s">
        <v>882</v>
      </c>
      <c r="H44" s="1651"/>
      <c r="I44" s="1651"/>
      <c r="J44" s="1650" t="s">
        <v>882</v>
      </c>
      <c r="K44" s="1650" t="s">
        <v>883</v>
      </c>
      <c r="L44" s="1650" t="s">
        <v>884</v>
      </c>
      <c r="M44" s="1650" t="s">
        <v>885</v>
      </c>
      <c r="N44" s="1650" t="s">
        <v>1027</v>
      </c>
      <c r="O44" s="1652">
        <v>46209.69236111111</v>
      </c>
      <c r="P44" s="1652" t="str">
        <f>IFERROR(__xludf.DUMMYFUNCTION("IFERROR(
  TEXT(
    DATE(
      INDEX(SPLIT(O44,"" ""),3),
      VLOOKUP(INDEX(SPLIT(O44,"" ""),1),{""jan."",1;""Feb"",2;""mar."",3;""Apr"",4;""May"",5;""jun."",6;""jul."",7;""Aug"",8;""Sep"",9;""Oct"",10;""nov."",11;""Dec"",12},2,FALSE),
      INDEX(SPL"&amp;"IT(O44,"" ""),2)
    ),
    ""dd/mm/yyyy""
  ),
"""")"),"06/07/2026")</f>
        <v>06/07/2026</v>
      </c>
    </row>
    <row r="45">
      <c r="A45" s="1649" t="s">
        <v>1028</v>
      </c>
      <c r="B45" s="1649" t="s">
        <v>1029</v>
      </c>
      <c r="C45" s="1650" t="s">
        <v>880</v>
      </c>
      <c r="D45" s="1650" t="s">
        <v>881</v>
      </c>
      <c r="E45" s="1651"/>
      <c r="F45" s="1650" t="s">
        <v>470</v>
      </c>
      <c r="G45" s="1650" t="s">
        <v>882</v>
      </c>
      <c r="H45" s="1651"/>
      <c r="I45" s="1651"/>
      <c r="J45" s="1650" t="s">
        <v>882</v>
      </c>
      <c r="K45" s="1650" t="s">
        <v>883</v>
      </c>
      <c r="L45" s="1650" t="s">
        <v>884</v>
      </c>
      <c r="M45" s="1650" t="s">
        <v>885</v>
      </c>
      <c r="N45" s="1650" t="s">
        <v>1030</v>
      </c>
      <c r="O45" s="1650" t="s">
        <v>1031</v>
      </c>
      <c r="P45" s="1652" t="str">
        <f>IFERROR(__xludf.DUMMYFUNCTION("IFERROR(
  TEXT(
    DATE(
      INDEX(SPLIT(O45,"" ""),3),
      VLOOKUP(INDEX(SPLIT(O45,"" ""),1),{""jan."",1;""Feb"",2;""mar."",3;""Apr"",4;""May"",5;""jun."",6;""jul."",7;""Aug"",8;""Sep"",9;""Oct"",10;""nov."",11;""Dec"",12},2,FALSE),
      INDEX(SPL"&amp;"IT(O45,"" ""),2)
    ),
    ""dd/mm/yyyy""
  ),
"""")"),"19/05/2026")</f>
        <v>19/05/2026</v>
      </c>
    </row>
    <row r="46">
      <c r="A46" s="1649" t="s">
        <v>1032</v>
      </c>
      <c r="B46" s="1649" t="s">
        <v>1033</v>
      </c>
      <c r="C46" s="1650" t="s">
        <v>880</v>
      </c>
      <c r="D46" s="1650" t="s">
        <v>881</v>
      </c>
      <c r="E46" s="1651"/>
      <c r="F46" s="1650" t="s">
        <v>470</v>
      </c>
      <c r="G46" s="1650" t="s">
        <v>882</v>
      </c>
      <c r="H46" s="1651"/>
      <c r="I46" s="1651"/>
      <c r="J46" s="1650" t="s">
        <v>882</v>
      </c>
      <c r="K46" s="1650" t="s">
        <v>883</v>
      </c>
      <c r="L46" s="1650" t="s">
        <v>884</v>
      </c>
      <c r="M46" s="1650" t="s">
        <v>885</v>
      </c>
      <c r="N46" s="1650" t="s">
        <v>1034</v>
      </c>
      <c r="O46" s="1650" t="s">
        <v>1031</v>
      </c>
      <c r="P46" s="1652" t="str">
        <f>IFERROR(__xludf.DUMMYFUNCTION("IFERROR(
  TEXT(
    DATE(
      INDEX(SPLIT(O46,"" ""),3),
      VLOOKUP(INDEX(SPLIT(O46,"" ""),1),{""jan."",1;""Feb"",2;""mar."",3;""Apr"",4;""May"",5;""jun."",6;""jul."",7;""Aug"",8;""Sep"",9;""Oct"",10;""nov."",11;""Dec"",12},2,FALSE),
      INDEX(SPL"&amp;"IT(O46,"" ""),2)
    ),
    ""dd/mm/yyyy""
  ),
"""")"),"19/05/2026")</f>
        <v>19/05/2026</v>
      </c>
    </row>
    <row r="47">
      <c r="A47" s="1649" t="s">
        <v>1035</v>
      </c>
      <c r="B47" s="1649" t="s">
        <v>1036</v>
      </c>
      <c r="C47" s="1650" t="s">
        <v>880</v>
      </c>
      <c r="D47" s="1650" t="s">
        <v>881</v>
      </c>
      <c r="E47" s="1651"/>
      <c r="F47" s="1650" t="s">
        <v>480</v>
      </c>
      <c r="G47" s="1650" t="s">
        <v>882</v>
      </c>
      <c r="H47" s="1651"/>
      <c r="I47" s="1651"/>
      <c r="J47" s="1650" t="s">
        <v>882</v>
      </c>
      <c r="K47" s="1650" t="s">
        <v>883</v>
      </c>
      <c r="L47" s="1650" t="s">
        <v>884</v>
      </c>
      <c r="M47" s="1650" t="s">
        <v>885</v>
      </c>
      <c r="N47" s="1650" t="s">
        <v>1037</v>
      </c>
      <c r="O47" s="1652">
        <v>46204.697916666664</v>
      </c>
      <c r="P47" s="1652" t="str">
        <f>IFERROR(__xludf.DUMMYFUNCTION("IFERROR(
  TEXT(
    DATE(
      INDEX(SPLIT(O47,"" ""),3),
      VLOOKUP(INDEX(SPLIT(O47,"" ""),1),{""jan."",1;""Feb"",2;""mar."",3;""Apr"",4;""May"",5;""jun."",6;""jul."",7;""Aug"",8;""Sep"",9;""Oct"",10;""nov."",11;""Dec"",12},2,FALSE),
      INDEX(SPL"&amp;"IT(O47,"" ""),2)
    ),
    ""dd/mm/yyyy""
  ),
"""")"),"01/07/2026")</f>
        <v>01/07/2026</v>
      </c>
    </row>
    <row r="48">
      <c r="A48" s="1649" t="s">
        <v>1038</v>
      </c>
      <c r="B48" s="1649" t="s">
        <v>1039</v>
      </c>
      <c r="C48" s="1650" t="s">
        <v>880</v>
      </c>
      <c r="D48" s="1650" t="s">
        <v>881</v>
      </c>
      <c r="E48" s="1651"/>
      <c r="F48" s="1650" t="s">
        <v>596</v>
      </c>
      <c r="G48" s="1650" t="s">
        <v>882</v>
      </c>
      <c r="H48" s="1651"/>
      <c r="I48" s="1651"/>
      <c r="J48" s="1650" t="s">
        <v>882</v>
      </c>
      <c r="K48" s="1650" t="s">
        <v>883</v>
      </c>
      <c r="L48" s="1650" t="s">
        <v>884</v>
      </c>
      <c r="M48" s="1650" t="s">
        <v>885</v>
      </c>
      <c r="N48" s="1650" t="s">
        <v>1040</v>
      </c>
      <c r="O48" s="1652">
        <v>46188.39375</v>
      </c>
      <c r="P48" s="1652" t="str">
        <f>IFERROR(__xludf.DUMMYFUNCTION("IFERROR(
  TEXT(
    DATE(
      INDEX(SPLIT(O48,"" ""),3),
      VLOOKUP(INDEX(SPLIT(O48,"" ""),1),{""jan."",1;""Feb"",2;""mar."",3;""Apr"",4;""May"",5;""jun."",6;""jul."",7;""Aug"",8;""Sep"",9;""Oct"",10;""nov."",11;""Dec"",12},2,FALSE),
      INDEX(SPL"&amp;"IT(O48,"" ""),2)
    ),
    ""dd/mm/yyyy""
  ),
"""")"),"15/06/2026")</f>
        <v>15/06/2026</v>
      </c>
    </row>
    <row r="49">
      <c r="A49" s="1649" t="s">
        <v>1041</v>
      </c>
      <c r="B49" s="1649" t="s">
        <v>1042</v>
      </c>
      <c r="C49" s="1653"/>
      <c r="D49" s="1653"/>
      <c r="E49" s="1651"/>
      <c r="F49" s="1650" t="s">
        <v>507</v>
      </c>
      <c r="G49" s="1650" t="s">
        <v>882</v>
      </c>
      <c r="H49" s="1651"/>
      <c r="I49" s="1651"/>
      <c r="J49" s="1650" t="s">
        <v>882</v>
      </c>
      <c r="K49" s="1650" t="s">
        <v>883</v>
      </c>
      <c r="L49" s="1650" t="s">
        <v>884</v>
      </c>
      <c r="M49" s="1650" t="s">
        <v>885</v>
      </c>
      <c r="N49" s="1650" t="s">
        <v>1043</v>
      </c>
      <c r="O49" s="1652">
        <v>46209.67222222222</v>
      </c>
      <c r="P49" s="1652" t="str">
        <f>IFERROR(__xludf.DUMMYFUNCTION("IFERROR(
  TEXT(
    DATE(
      INDEX(SPLIT(O49,"" ""),3),
      VLOOKUP(INDEX(SPLIT(O49,"" ""),1),{""jan."",1;""Feb"",2;""mar."",3;""Apr"",4;""May"",5;""jun."",6;""jul."",7;""Aug"",8;""Sep"",9;""Oct"",10;""nov."",11;""Dec"",12},2,FALSE),
      INDEX(SPL"&amp;"IT(O49,"" ""),2)
    ),
    ""dd/mm/yyyy""
  ),
"""")"),"06/07/2026")</f>
        <v>06/07/2026</v>
      </c>
    </row>
    <row r="50">
      <c r="A50" s="1649" t="s">
        <v>1044</v>
      </c>
      <c r="B50" s="1649" t="s">
        <v>1045</v>
      </c>
      <c r="C50" s="1653"/>
      <c r="D50" s="1653"/>
      <c r="E50" s="1651"/>
      <c r="F50" s="1650" t="s">
        <v>470</v>
      </c>
      <c r="G50" s="1650" t="s">
        <v>882</v>
      </c>
      <c r="H50" s="1651"/>
      <c r="I50" s="1651"/>
      <c r="J50" s="1650" t="s">
        <v>882</v>
      </c>
      <c r="K50" s="1650" t="s">
        <v>883</v>
      </c>
      <c r="L50" s="1650" t="s">
        <v>884</v>
      </c>
      <c r="M50" s="1650" t="s">
        <v>885</v>
      </c>
      <c r="N50" s="1650" t="s">
        <v>1046</v>
      </c>
      <c r="O50" s="1650" t="s">
        <v>1047</v>
      </c>
      <c r="P50" s="1652" t="str">
        <f>IFERROR(__xludf.DUMMYFUNCTION("IFERROR(
  TEXT(
    DATE(
      INDEX(SPLIT(O50,"" ""),3),
      VLOOKUP(INDEX(SPLIT(O50,"" ""),1),{""jan."",1;""Feb"",2;""mar."",3;""Apr"",4;""May"",5;""jun."",6;""jul."",7;""Aug"",8;""Sep"",9;""Oct"",10;""nov."",11;""Dec"",12},2,FALSE),
      INDEX(SPL"&amp;"IT(O50,"" ""),2)
    ),
    ""dd/mm/yyyy""
  ),
"""")"),"15/05/2026")</f>
        <v>15/05/2026</v>
      </c>
    </row>
    <row r="51">
      <c r="A51" s="1649" t="s">
        <v>1048</v>
      </c>
      <c r="B51" s="1649" t="s">
        <v>1049</v>
      </c>
      <c r="C51" s="1653"/>
      <c r="D51" s="1653"/>
      <c r="E51" s="1651"/>
      <c r="F51" s="1650" t="s">
        <v>470</v>
      </c>
      <c r="G51" s="1650" t="s">
        <v>882</v>
      </c>
      <c r="H51" s="1651"/>
      <c r="I51" s="1651"/>
      <c r="J51" s="1650" t="s">
        <v>882</v>
      </c>
      <c r="K51" s="1650" t="s">
        <v>883</v>
      </c>
      <c r="L51" s="1650" t="s">
        <v>884</v>
      </c>
      <c r="M51" s="1650" t="s">
        <v>885</v>
      </c>
      <c r="N51" s="1650" t="s">
        <v>1050</v>
      </c>
      <c r="O51" s="1650" t="s">
        <v>1047</v>
      </c>
      <c r="P51" s="1652" t="str">
        <f>IFERROR(__xludf.DUMMYFUNCTION("IFERROR(
  TEXT(
    DATE(
      INDEX(SPLIT(O51,"" ""),3),
      VLOOKUP(INDEX(SPLIT(O51,"" ""),1),{""jan."",1;""Feb"",2;""mar."",3;""Apr"",4;""May"",5;""jun."",6;""jul."",7;""Aug"",8;""Sep"",9;""Oct"",10;""nov."",11;""Dec"",12},2,FALSE),
      INDEX(SPL"&amp;"IT(O51,"" ""),2)
    ),
    ""dd/mm/yyyy""
  ),
"""")"),"15/05/2026")</f>
        <v>15/05/2026</v>
      </c>
    </row>
    <row r="52">
      <c r="A52" s="1649" t="s">
        <v>1051</v>
      </c>
      <c r="B52" s="1649" t="s">
        <v>1052</v>
      </c>
      <c r="C52" s="1653"/>
      <c r="D52" s="1653"/>
      <c r="E52" s="1651"/>
      <c r="F52" s="1650" t="s">
        <v>480</v>
      </c>
      <c r="G52" s="1650" t="s">
        <v>882</v>
      </c>
      <c r="H52" s="1651"/>
      <c r="I52" s="1651"/>
      <c r="J52" s="1650" t="s">
        <v>882</v>
      </c>
      <c r="K52" s="1650" t="s">
        <v>883</v>
      </c>
      <c r="L52" s="1650" t="s">
        <v>884</v>
      </c>
      <c r="M52" s="1650" t="s">
        <v>885</v>
      </c>
      <c r="N52" s="1650" t="s">
        <v>1053</v>
      </c>
      <c r="O52" s="1652">
        <v>46204.69097222222</v>
      </c>
      <c r="P52" s="1652" t="str">
        <f>IFERROR(__xludf.DUMMYFUNCTION("IFERROR(
  TEXT(
    DATE(
      INDEX(SPLIT(O52,"" ""),3),
      VLOOKUP(INDEX(SPLIT(O52,"" ""),1),{""jan."",1;""Feb"",2;""mar."",3;""Apr"",4;""May"",5;""jun."",6;""jul."",7;""Aug"",8;""Sep"",9;""Oct"",10;""nov."",11;""Dec"",12},2,FALSE),
      INDEX(SPL"&amp;"IT(O52,"" ""),2)
    ),
    ""dd/mm/yyyy""
  ),
"""")"),"01/07/2026")</f>
        <v>01/07/2026</v>
      </c>
    </row>
    <row r="53">
      <c r="A53" s="1649" t="s">
        <v>1054</v>
      </c>
      <c r="B53" s="1649" t="s">
        <v>1055</v>
      </c>
      <c r="C53" s="1653"/>
      <c r="D53" s="1653"/>
      <c r="E53" s="1651"/>
      <c r="F53" s="1650" t="s">
        <v>470</v>
      </c>
      <c r="G53" s="1650" t="s">
        <v>882</v>
      </c>
      <c r="H53" s="1651"/>
      <c r="I53" s="1651"/>
      <c r="J53" s="1650" t="s">
        <v>882</v>
      </c>
      <c r="K53" s="1650" t="s">
        <v>883</v>
      </c>
      <c r="L53" s="1650" t="s">
        <v>884</v>
      </c>
      <c r="M53" s="1650" t="s">
        <v>885</v>
      </c>
      <c r="N53" s="1650" t="s">
        <v>1056</v>
      </c>
      <c r="O53" s="1650" t="s">
        <v>1047</v>
      </c>
      <c r="P53" s="1652" t="str">
        <f>IFERROR(__xludf.DUMMYFUNCTION("IFERROR(
  TEXT(
    DATE(
      INDEX(SPLIT(O53,"" ""),3),
      VLOOKUP(INDEX(SPLIT(O53,"" ""),1),{""jan."",1;""Feb"",2;""mar."",3;""Apr"",4;""May"",5;""jun."",6;""jul."",7;""Aug"",8;""Sep"",9;""Oct"",10;""nov."",11;""Dec"",12},2,FALSE),
      INDEX(SPL"&amp;"IT(O53,"" ""),2)
    ),
    ""dd/mm/yyyy""
  ),
"""")"),"15/05/2026")</f>
        <v>15/05/2026</v>
      </c>
    </row>
    <row r="54">
      <c r="A54" s="1649" t="s">
        <v>1057</v>
      </c>
      <c r="B54" s="1649" t="s">
        <v>1058</v>
      </c>
      <c r="C54" s="1650" t="s">
        <v>880</v>
      </c>
      <c r="D54" s="1650" t="s">
        <v>881</v>
      </c>
      <c r="E54" s="1651"/>
      <c r="F54" s="1650" t="s">
        <v>596</v>
      </c>
      <c r="G54" s="1650" t="s">
        <v>882</v>
      </c>
      <c r="H54" s="1651"/>
      <c r="I54" s="1651"/>
      <c r="J54" s="1650" t="s">
        <v>882</v>
      </c>
      <c r="K54" s="1650" t="s">
        <v>883</v>
      </c>
      <c r="L54" s="1650" t="s">
        <v>884</v>
      </c>
      <c r="M54" s="1650" t="s">
        <v>885</v>
      </c>
      <c r="N54" s="1650" t="s">
        <v>1059</v>
      </c>
      <c r="O54" s="1652">
        <v>46215.961805555555</v>
      </c>
      <c r="P54" s="1652" t="str">
        <f>IFERROR(__xludf.DUMMYFUNCTION("IFERROR(
  TEXT(
    DATE(
      INDEX(SPLIT(O54,"" ""),3),
      VLOOKUP(INDEX(SPLIT(O54,"" ""),1),{""jan."",1;""Feb"",2;""mar."",3;""Apr"",4;""May"",5;""jun."",6;""jul."",7;""Aug"",8;""Sep"",9;""Oct"",10;""nov."",11;""Dec"",12},2,FALSE),
      INDEX(SPL"&amp;"IT(O54,"" ""),2)
    ),
    ""dd/mm/yyyy""
  ),
"""")"),"12/07/2026")</f>
        <v>12/07/2026</v>
      </c>
    </row>
    <row r="55">
      <c r="A55" s="1649" t="s">
        <v>1060</v>
      </c>
      <c r="B55" s="1649" t="s">
        <v>1061</v>
      </c>
      <c r="C55" s="1650" t="s">
        <v>880</v>
      </c>
      <c r="D55" s="1650" t="s">
        <v>881</v>
      </c>
      <c r="E55" s="1651"/>
      <c r="F55" s="1650" t="s">
        <v>470</v>
      </c>
      <c r="G55" s="1650" t="s">
        <v>882</v>
      </c>
      <c r="H55" s="1651"/>
      <c r="I55" s="1651"/>
      <c r="J55" s="1650" t="s">
        <v>882</v>
      </c>
      <c r="K55" s="1650" t="s">
        <v>883</v>
      </c>
      <c r="L55" s="1650" t="s">
        <v>884</v>
      </c>
      <c r="M55" s="1650" t="s">
        <v>885</v>
      </c>
      <c r="N55" s="1650" t="s">
        <v>1062</v>
      </c>
      <c r="O55" s="1650" t="s">
        <v>1063</v>
      </c>
      <c r="P55" s="1652" t="str">
        <f>IFERROR(__xludf.DUMMYFUNCTION("IFERROR(
  TEXT(
    DATE(
      INDEX(SPLIT(O55,"" ""),3),
      VLOOKUP(INDEX(SPLIT(O55,"" ""),1),{""jan."",1;""Feb"",2;""mar."",3;""Apr"",4;""May"",5;""jun."",6;""jul."",7;""Aug"",8;""Sep"",9;""Oct"",10;""nov."",11;""Dec"",12},2,FALSE),
      INDEX(SPL"&amp;"IT(O55,"" ""),2)
    ),
    ""dd/mm/yyyy""
  ),
"""")"),"15/05/2026")</f>
        <v>15/05/2026</v>
      </c>
    </row>
    <row r="56">
      <c r="A56" s="1649" t="s">
        <v>1064</v>
      </c>
      <c r="B56" s="1649" t="s">
        <v>1065</v>
      </c>
      <c r="C56" s="1650" t="s">
        <v>880</v>
      </c>
      <c r="D56" s="1650" t="s">
        <v>881</v>
      </c>
      <c r="E56" s="1651"/>
      <c r="F56" s="1650" t="s">
        <v>596</v>
      </c>
      <c r="G56" s="1650" t="s">
        <v>882</v>
      </c>
      <c r="H56" s="1651"/>
      <c r="I56" s="1651"/>
      <c r="J56" s="1650" t="s">
        <v>882</v>
      </c>
      <c r="K56" s="1650" t="s">
        <v>883</v>
      </c>
      <c r="L56" s="1650" t="s">
        <v>884</v>
      </c>
      <c r="M56" s="1650" t="s">
        <v>885</v>
      </c>
      <c r="N56" s="1650" t="s">
        <v>1066</v>
      </c>
      <c r="O56" s="1652">
        <v>46216.53055555555</v>
      </c>
      <c r="P56" s="1652" t="str">
        <f>IFERROR(__xludf.DUMMYFUNCTION("IFERROR(
  TEXT(
    DATE(
      INDEX(SPLIT(O56,"" ""),3),
      VLOOKUP(INDEX(SPLIT(O56,"" ""),1),{""jan."",1;""Feb"",2;""mar."",3;""Apr"",4;""May"",5;""jun."",6;""jul."",7;""Aug"",8;""Sep"",9;""Oct"",10;""nov."",11;""Dec"",12},2,FALSE),
      INDEX(SPL"&amp;"IT(O56,"" ""),2)
    ),
    ""dd/mm/yyyy""
  ),
"""")"),"13/07/2026")</f>
        <v>13/07/2026</v>
      </c>
    </row>
    <row r="57">
      <c r="A57" s="1649" t="s">
        <v>1067</v>
      </c>
      <c r="B57" s="1649" t="s">
        <v>1068</v>
      </c>
      <c r="C57" s="1650" t="s">
        <v>880</v>
      </c>
      <c r="D57" s="1650" t="s">
        <v>881</v>
      </c>
      <c r="E57" s="1651"/>
      <c r="F57" s="1650" t="s">
        <v>480</v>
      </c>
      <c r="G57" s="1650" t="s">
        <v>882</v>
      </c>
      <c r="H57" s="1651"/>
      <c r="I57" s="1651"/>
      <c r="J57" s="1650" t="s">
        <v>882</v>
      </c>
      <c r="K57" s="1650" t="s">
        <v>883</v>
      </c>
      <c r="L57" s="1650" t="s">
        <v>884</v>
      </c>
      <c r="M57" s="1650" t="s">
        <v>885</v>
      </c>
      <c r="N57" s="1650" t="s">
        <v>1069</v>
      </c>
      <c r="O57" s="1652">
        <v>46206.70277777778</v>
      </c>
      <c r="P57" s="1652" t="str">
        <f>IFERROR(__xludf.DUMMYFUNCTION("IFERROR(
  TEXT(
    DATE(
      INDEX(SPLIT(O57,"" ""),3),
      VLOOKUP(INDEX(SPLIT(O57,"" ""),1),{""jan."",1;""Feb"",2;""mar."",3;""Apr"",4;""May"",5;""jun."",6;""jul."",7;""Aug"",8;""Sep"",9;""Oct"",10;""nov."",11;""Dec"",12},2,FALSE),
      INDEX(SPL"&amp;"IT(O57,"" ""),2)
    ),
    ""dd/mm/yyyy""
  ),
"""")"),"03/07/2026")</f>
        <v>03/07/2026</v>
      </c>
    </row>
    <row r="58">
      <c r="A58" s="1649" t="s">
        <v>1070</v>
      </c>
      <c r="B58" s="1649" t="s">
        <v>1071</v>
      </c>
      <c r="C58" s="1650" t="s">
        <v>880</v>
      </c>
      <c r="D58" s="1650" t="s">
        <v>881</v>
      </c>
      <c r="E58" s="1651"/>
      <c r="F58" s="1650" t="s">
        <v>596</v>
      </c>
      <c r="G58" s="1650" t="s">
        <v>882</v>
      </c>
      <c r="H58" s="1651"/>
      <c r="I58" s="1651"/>
      <c r="J58" s="1650" t="s">
        <v>882</v>
      </c>
      <c r="K58" s="1650" t="s">
        <v>883</v>
      </c>
      <c r="L58" s="1650" t="s">
        <v>884</v>
      </c>
      <c r="M58" s="1650" t="s">
        <v>885</v>
      </c>
      <c r="N58" s="1650" t="s">
        <v>1072</v>
      </c>
      <c r="O58" s="1652">
        <v>46175.62569444445</v>
      </c>
      <c r="P58" s="1652" t="str">
        <f>IFERROR(__xludf.DUMMYFUNCTION("IFERROR(
  TEXT(
    DATE(
      INDEX(SPLIT(O58,"" ""),3),
      VLOOKUP(INDEX(SPLIT(O58,"" ""),1),{""jan."",1;""Feb"",2;""mar."",3;""Apr"",4;""May"",5;""jun."",6;""jul."",7;""Aug"",8;""Sep"",9;""Oct"",10;""nov."",11;""Dec"",12},2,FALSE),
      INDEX(SPL"&amp;"IT(O58,"" ""),2)
    ),
    ""dd/mm/yyyy""
  ),
"""")"),"02/06/2026")</f>
        <v>02/06/2026</v>
      </c>
    </row>
    <row r="59">
      <c r="A59" s="1649" t="s">
        <v>1073</v>
      </c>
      <c r="B59" s="1649" t="s">
        <v>1074</v>
      </c>
      <c r="C59" s="1650" t="s">
        <v>880</v>
      </c>
      <c r="D59" s="1650" t="s">
        <v>881</v>
      </c>
      <c r="E59" s="1651"/>
      <c r="F59" s="1650" t="s">
        <v>479</v>
      </c>
      <c r="G59" s="1650" t="s">
        <v>882</v>
      </c>
      <c r="H59" s="1651"/>
      <c r="I59" s="1651"/>
      <c r="J59" s="1650" t="s">
        <v>882</v>
      </c>
      <c r="K59" s="1650" t="s">
        <v>883</v>
      </c>
      <c r="L59" s="1650" t="s">
        <v>884</v>
      </c>
      <c r="M59" s="1650" t="s">
        <v>885</v>
      </c>
      <c r="N59" s="1650" t="s">
        <v>1075</v>
      </c>
      <c r="O59" s="1652">
        <v>46199.73402777778</v>
      </c>
      <c r="P59" s="1652" t="str">
        <f>IFERROR(__xludf.DUMMYFUNCTION("IFERROR(
  TEXT(
    DATE(
      INDEX(SPLIT(O59,"" ""),3),
      VLOOKUP(INDEX(SPLIT(O59,"" ""),1),{""jan."",1;""Feb"",2;""mar."",3;""Apr"",4;""May"",5;""jun."",6;""jul."",7;""Aug"",8;""Sep"",9;""Oct"",10;""nov."",11;""Dec"",12},2,FALSE),
      INDEX(SPL"&amp;"IT(O59,"" ""),2)
    ),
    ""dd/mm/yyyy""
  ),
"""")"),"26/06/2026")</f>
        <v>26/06/2026</v>
      </c>
    </row>
    <row r="60">
      <c r="A60" s="1649" t="s">
        <v>1076</v>
      </c>
      <c r="B60" s="1649" t="s">
        <v>1077</v>
      </c>
      <c r="C60" s="1650" t="s">
        <v>880</v>
      </c>
      <c r="D60" s="1650" t="s">
        <v>881</v>
      </c>
      <c r="E60" s="1651"/>
      <c r="F60" s="1650" t="s">
        <v>479</v>
      </c>
      <c r="G60" s="1650" t="s">
        <v>882</v>
      </c>
      <c r="H60" s="1651"/>
      <c r="I60" s="1651"/>
      <c r="J60" s="1650" t="s">
        <v>882</v>
      </c>
      <c r="K60" s="1650" t="s">
        <v>883</v>
      </c>
      <c r="L60" s="1650" t="s">
        <v>884</v>
      </c>
      <c r="M60" s="1650" t="s">
        <v>885</v>
      </c>
      <c r="N60" s="1650" t="s">
        <v>1078</v>
      </c>
      <c r="O60" s="1652">
        <v>46209.87013888889</v>
      </c>
      <c r="P60" s="1652" t="str">
        <f>IFERROR(__xludf.DUMMYFUNCTION("IFERROR(
  TEXT(
    DATE(
      INDEX(SPLIT(O60,"" ""),3),
      VLOOKUP(INDEX(SPLIT(O60,"" ""),1),{""jan."",1;""Feb"",2;""mar."",3;""Apr"",4;""May"",5;""jun."",6;""jul."",7;""Aug"",8;""Sep"",9;""Oct"",10;""nov."",11;""Dec"",12},2,FALSE),
      INDEX(SPL"&amp;"IT(O60,"" ""),2)
    ),
    ""dd/mm/yyyy""
  ),
"""")"),"06/07/2026")</f>
        <v>06/07/2026</v>
      </c>
    </row>
    <row r="61">
      <c r="A61" s="1649" t="s">
        <v>1079</v>
      </c>
      <c r="B61" s="1649" t="s">
        <v>1080</v>
      </c>
      <c r="C61" s="1650" t="s">
        <v>880</v>
      </c>
      <c r="D61" s="1650" t="s">
        <v>881</v>
      </c>
      <c r="E61" s="1651"/>
      <c r="F61" s="1650" t="s">
        <v>470</v>
      </c>
      <c r="G61" s="1650" t="s">
        <v>882</v>
      </c>
      <c r="H61" s="1651"/>
      <c r="I61" s="1651"/>
      <c r="J61" s="1650" t="s">
        <v>882</v>
      </c>
      <c r="K61" s="1650" t="s">
        <v>883</v>
      </c>
      <c r="L61" s="1650" t="s">
        <v>884</v>
      </c>
      <c r="M61" s="1650" t="s">
        <v>885</v>
      </c>
      <c r="N61" s="1650" t="s">
        <v>1081</v>
      </c>
      <c r="O61" s="1650" t="s">
        <v>1082</v>
      </c>
      <c r="P61" s="1652" t="str">
        <f>IFERROR(__xludf.DUMMYFUNCTION("IFERROR(
  TEXT(
    DATE(
      INDEX(SPLIT(O61,"" ""),3),
      VLOOKUP(INDEX(SPLIT(O61,"" ""),1),{""jan."",1;""Feb"",2;""mar."",3;""Apr"",4;""May"",5;""jun."",6;""jul."",7;""Aug"",8;""Sep"",9;""Oct"",10;""nov."",11;""Dec"",12},2,FALSE),
      INDEX(SPL"&amp;"IT(O61,"" ""),2)
    ),
    ""dd/mm/yyyy""
  ),
"""")"),"19/05/2026")</f>
        <v>19/05/2026</v>
      </c>
    </row>
    <row r="62">
      <c r="A62" s="1649" t="s">
        <v>1083</v>
      </c>
      <c r="B62" s="1649" t="s">
        <v>1084</v>
      </c>
      <c r="C62" s="1650" t="s">
        <v>880</v>
      </c>
      <c r="D62" s="1650" t="s">
        <v>881</v>
      </c>
      <c r="E62" s="1651"/>
      <c r="F62" s="1650" t="s">
        <v>507</v>
      </c>
      <c r="G62" s="1650" t="s">
        <v>882</v>
      </c>
      <c r="H62" s="1651"/>
      <c r="I62" s="1651"/>
      <c r="J62" s="1650" t="s">
        <v>882</v>
      </c>
      <c r="K62" s="1650" t="s">
        <v>883</v>
      </c>
      <c r="L62" s="1650" t="s">
        <v>884</v>
      </c>
      <c r="M62" s="1650" t="s">
        <v>885</v>
      </c>
      <c r="N62" s="1650" t="s">
        <v>1085</v>
      </c>
      <c r="O62" s="1652">
        <v>46216.70416666667</v>
      </c>
      <c r="P62" s="1652" t="str">
        <f>IFERROR(__xludf.DUMMYFUNCTION("IFERROR(
  TEXT(
    DATE(
      INDEX(SPLIT(O62,"" ""),3),
      VLOOKUP(INDEX(SPLIT(O62,"" ""),1),{""jan."",1;""Feb"",2;""mar."",3;""Apr"",4;""May"",5;""jun."",6;""jul."",7;""Aug"",8;""Sep"",9;""Oct"",10;""nov."",11;""Dec"",12},2,FALSE),
      INDEX(SPL"&amp;"IT(O62,"" ""),2)
    ),
    ""dd/mm/yyyy""
  ),
"""")"),"13/07/2026")</f>
        <v>13/07/2026</v>
      </c>
    </row>
    <row r="63">
      <c r="A63" s="1649" t="s">
        <v>1086</v>
      </c>
      <c r="B63" s="1649" t="s">
        <v>1087</v>
      </c>
      <c r="C63" s="1650" t="s">
        <v>880</v>
      </c>
      <c r="D63" s="1650" t="s">
        <v>881</v>
      </c>
      <c r="E63" s="1651"/>
      <c r="F63" s="1650" t="s">
        <v>596</v>
      </c>
      <c r="G63" s="1650" t="s">
        <v>882</v>
      </c>
      <c r="H63" s="1651"/>
      <c r="I63" s="1651"/>
      <c r="J63" s="1650" t="s">
        <v>882</v>
      </c>
      <c r="K63" s="1650" t="s">
        <v>883</v>
      </c>
      <c r="L63" s="1650" t="s">
        <v>884</v>
      </c>
      <c r="M63" s="1650" t="s">
        <v>885</v>
      </c>
      <c r="N63" s="1650" t="s">
        <v>1088</v>
      </c>
      <c r="O63" s="1652">
        <v>46206.58472222222</v>
      </c>
      <c r="P63" s="1652" t="str">
        <f>IFERROR(__xludf.DUMMYFUNCTION("IFERROR(
  TEXT(
    DATE(
      INDEX(SPLIT(O63,"" ""),3),
      VLOOKUP(INDEX(SPLIT(O63,"" ""),1),{""jan."",1;""Feb"",2;""mar."",3;""Apr"",4;""May"",5;""jun."",6;""jul."",7;""Aug"",8;""Sep"",9;""Oct"",10;""nov."",11;""Dec"",12},2,FALSE),
      INDEX(SPL"&amp;"IT(O63,"" ""),2)
    ),
    ""dd/mm/yyyy""
  ),
"""")"),"03/07/2026")</f>
        <v>03/07/2026</v>
      </c>
    </row>
    <row r="64">
      <c r="A64" s="1649" t="s">
        <v>1089</v>
      </c>
      <c r="B64" s="1649" t="s">
        <v>1090</v>
      </c>
      <c r="C64" s="1650" t="s">
        <v>880</v>
      </c>
      <c r="D64" s="1650" t="s">
        <v>881</v>
      </c>
      <c r="E64" s="1651"/>
      <c r="F64" s="1650" t="s">
        <v>480</v>
      </c>
      <c r="G64" s="1650" t="s">
        <v>882</v>
      </c>
      <c r="H64" s="1651"/>
      <c r="I64" s="1651"/>
      <c r="J64" s="1650" t="s">
        <v>882</v>
      </c>
      <c r="K64" s="1650" t="s">
        <v>883</v>
      </c>
      <c r="L64" s="1650" t="s">
        <v>884</v>
      </c>
      <c r="M64" s="1650" t="s">
        <v>885</v>
      </c>
      <c r="N64" s="1650" t="s">
        <v>1091</v>
      </c>
      <c r="O64" s="1652">
        <v>46215.61944444444</v>
      </c>
      <c r="P64" s="1652" t="str">
        <f>IFERROR(__xludf.DUMMYFUNCTION("IFERROR(
  TEXT(
    DATE(
      INDEX(SPLIT(O64,"" ""),3),
      VLOOKUP(INDEX(SPLIT(O64,"" ""),1),{""jan."",1;""Feb"",2;""mar."",3;""Apr"",4;""May"",5;""jun."",6;""jul."",7;""Aug"",8;""Sep"",9;""Oct"",10;""nov."",11;""Dec"",12},2,FALSE),
      INDEX(SPL"&amp;"IT(O64,"" ""),2)
    ),
    ""dd/mm/yyyy""
  ),
"""")"),"12/07/2026")</f>
        <v>12/07/2026</v>
      </c>
    </row>
    <row r="65">
      <c r="A65" s="1649" t="s">
        <v>1092</v>
      </c>
      <c r="B65" s="1649" t="s">
        <v>1093</v>
      </c>
      <c r="C65" s="1650" t="s">
        <v>880</v>
      </c>
      <c r="D65" s="1650" t="s">
        <v>881</v>
      </c>
      <c r="E65" s="1651"/>
      <c r="F65" s="1650" t="s">
        <v>470</v>
      </c>
      <c r="G65" s="1650" t="s">
        <v>882</v>
      </c>
      <c r="H65" s="1651"/>
      <c r="I65" s="1651"/>
      <c r="J65" s="1650" t="s">
        <v>882</v>
      </c>
      <c r="K65" s="1650" t="s">
        <v>883</v>
      </c>
      <c r="L65" s="1650" t="s">
        <v>884</v>
      </c>
      <c r="M65" s="1650" t="s">
        <v>885</v>
      </c>
      <c r="N65" s="1650" t="s">
        <v>1094</v>
      </c>
      <c r="O65" s="1650" t="s">
        <v>1095</v>
      </c>
      <c r="P65" s="1652" t="str">
        <f>IFERROR(__xludf.DUMMYFUNCTION("IFERROR(
  TEXT(
    DATE(
      INDEX(SPLIT(O65,"" ""),3),
      VLOOKUP(INDEX(SPLIT(O65,"" ""),1),{""jan."",1;""Feb"",2;""mar."",3;""Apr"",4;""May"",5;""jun."",6;""jul."",7;""Aug"",8;""Sep"",9;""Oct"",10;""nov."",11;""Dec"",12},2,FALSE),
      INDEX(SPL"&amp;"IT(O65,"" ""),2)
    ),
    ""dd/mm/yyyy""
  ),
"""")"),"15/05/2026")</f>
        <v>15/05/2026</v>
      </c>
    </row>
    <row r="66">
      <c r="A66" s="1649" t="s">
        <v>1096</v>
      </c>
      <c r="B66" s="1649" t="s">
        <v>1097</v>
      </c>
      <c r="C66" s="1650" t="s">
        <v>880</v>
      </c>
      <c r="D66" s="1650" t="s">
        <v>881</v>
      </c>
      <c r="E66" s="1651"/>
      <c r="F66" s="1650" t="s">
        <v>596</v>
      </c>
      <c r="G66" s="1650" t="s">
        <v>882</v>
      </c>
      <c r="H66" s="1651"/>
      <c r="I66" s="1651"/>
      <c r="J66" s="1650" t="s">
        <v>882</v>
      </c>
      <c r="K66" s="1650" t="s">
        <v>883</v>
      </c>
      <c r="L66" s="1650" t="s">
        <v>884</v>
      </c>
      <c r="M66" s="1650" t="s">
        <v>885</v>
      </c>
      <c r="N66" s="1650" t="s">
        <v>1098</v>
      </c>
      <c r="O66" s="1652">
        <v>46209.572916666664</v>
      </c>
      <c r="P66" s="1652" t="str">
        <f>IFERROR(__xludf.DUMMYFUNCTION("IFERROR(
  TEXT(
    DATE(
      INDEX(SPLIT(O66,"" ""),3),
      VLOOKUP(INDEX(SPLIT(O66,"" ""),1),{""jan."",1;""Feb"",2;""mar."",3;""Apr"",4;""May"",5;""jun."",6;""jul."",7;""Aug"",8;""Sep"",9;""Oct"",10;""nov."",11;""Dec"",12},2,FALSE),
      INDEX(SPL"&amp;"IT(O66,"" ""),2)
    ),
    ""dd/mm/yyyy""
  ),
"""")"),"06/07/2026")</f>
        <v>06/07/2026</v>
      </c>
    </row>
    <row r="67">
      <c r="A67" s="1649" t="s">
        <v>1099</v>
      </c>
      <c r="B67" s="1649" t="s">
        <v>1100</v>
      </c>
      <c r="C67" s="1650" t="s">
        <v>880</v>
      </c>
      <c r="D67" s="1650" t="s">
        <v>881</v>
      </c>
      <c r="E67" s="1651"/>
      <c r="F67" s="1650" t="s">
        <v>480</v>
      </c>
      <c r="G67" s="1650" t="s">
        <v>882</v>
      </c>
      <c r="H67" s="1651"/>
      <c r="I67" s="1651"/>
      <c r="J67" s="1650" t="s">
        <v>882</v>
      </c>
      <c r="K67" s="1650" t="s">
        <v>883</v>
      </c>
      <c r="L67" s="1650" t="s">
        <v>884</v>
      </c>
      <c r="M67" s="1650" t="s">
        <v>885</v>
      </c>
      <c r="N67" s="1650" t="s">
        <v>1101</v>
      </c>
      <c r="O67" s="1652">
        <v>46213.47430555556</v>
      </c>
      <c r="P67" s="1652" t="str">
        <f>IFERROR(__xludf.DUMMYFUNCTION("IFERROR(
  TEXT(
    DATE(
      INDEX(SPLIT(O67,"" ""),3),
      VLOOKUP(INDEX(SPLIT(O67,"" ""),1),{""jan."",1;""Feb"",2;""mar."",3;""Apr"",4;""May"",5;""jun."",6;""jul."",7;""Aug"",8;""Sep"",9;""Oct"",10;""nov."",11;""Dec"",12},2,FALSE),
      INDEX(SPL"&amp;"IT(O67,"" ""),2)
    ),
    ""dd/mm/yyyy""
  ),
"""")"),"10/07/2026")</f>
        <v>10/07/2026</v>
      </c>
    </row>
    <row r="68">
      <c r="A68" s="1649" t="s">
        <v>1102</v>
      </c>
      <c r="B68" s="1649" t="s">
        <v>1103</v>
      </c>
      <c r="C68" s="1650" t="s">
        <v>880</v>
      </c>
      <c r="D68" s="1650" t="s">
        <v>881</v>
      </c>
      <c r="E68" s="1651"/>
      <c r="F68" s="1650" t="s">
        <v>479</v>
      </c>
      <c r="G68" s="1650" t="s">
        <v>882</v>
      </c>
      <c r="H68" s="1651"/>
      <c r="I68" s="1651"/>
      <c r="J68" s="1650" t="s">
        <v>882</v>
      </c>
      <c r="K68" s="1650" t="s">
        <v>883</v>
      </c>
      <c r="L68" s="1650" t="s">
        <v>884</v>
      </c>
      <c r="M68" s="1650" t="s">
        <v>885</v>
      </c>
      <c r="N68" s="1650" t="s">
        <v>1104</v>
      </c>
      <c r="O68" s="1652">
        <v>46198.836805555555</v>
      </c>
      <c r="P68" s="1652" t="str">
        <f>IFERROR(__xludf.DUMMYFUNCTION("IFERROR(
  TEXT(
    DATE(
      INDEX(SPLIT(O68,"" ""),3),
      VLOOKUP(INDEX(SPLIT(O68,"" ""),1),{""jan."",1;""Feb"",2;""mar."",3;""Apr"",4;""May"",5;""jun."",6;""jul."",7;""Aug"",8;""Sep"",9;""Oct"",10;""nov."",11;""Dec"",12},2,FALSE),
      INDEX(SPL"&amp;"IT(O68,"" ""),2)
    ),
    ""dd/mm/yyyy""
  ),
"""")"),"25/06/2026")</f>
        <v>25/06/2026</v>
      </c>
    </row>
    <row r="69">
      <c r="A69" s="1649" t="s">
        <v>1105</v>
      </c>
      <c r="B69" s="1649" t="s">
        <v>1106</v>
      </c>
      <c r="C69" s="1650" t="s">
        <v>880</v>
      </c>
      <c r="D69" s="1650" t="s">
        <v>881</v>
      </c>
      <c r="E69" s="1651"/>
      <c r="F69" s="1650" t="s">
        <v>479</v>
      </c>
      <c r="G69" s="1650" t="s">
        <v>882</v>
      </c>
      <c r="H69" s="1651"/>
      <c r="I69" s="1651"/>
      <c r="J69" s="1650" t="s">
        <v>882</v>
      </c>
      <c r="K69" s="1650" t="s">
        <v>883</v>
      </c>
      <c r="L69" s="1650" t="s">
        <v>884</v>
      </c>
      <c r="M69" s="1650" t="s">
        <v>885</v>
      </c>
      <c r="N69" s="1650" t="s">
        <v>1107</v>
      </c>
      <c r="O69" s="1652">
        <v>46216.66875</v>
      </c>
      <c r="P69" s="1652" t="str">
        <f>IFERROR(__xludf.DUMMYFUNCTION("IFERROR(
  TEXT(
    DATE(
      INDEX(SPLIT(O69,"" ""),3),
      VLOOKUP(INDEX(SPLIT(O69,"" ""),1),{""jan."",1;""Feb"",2;""mar."",3;""Apr"",4;""May"",5;""jun."",6;""jul."",7;""Aug"",8;""Sep"",9;""Oct"",10;""nov."",11;""Dec"",12},2,FALSE),
      INDEX(SPL"&amp;"IT(O69,"" ""),2)
    ),
    ""dd/mm/yyyy""
  ),
"""")"),"13/07/2026")</f>
        <v>13/07/2026</v>
      </c>
    </row>
    <row r="70">
      <c r="A70" s="1649" t="s">
        <v>1108</v>
      </c>
      <c r="B70" s="1649" t="s">
        <v>1109</v>
      </c>
      <c r="C70" s="1650" t="s">
        <v>880</v>
      </c>
      <c r="D70" s="1650" t="s">
        <v>881</v>
      </c>
      <c r="E70" s="1651"/>
      <c r="F70" s="1650" t="s">
        <v>507</v>
      </c>
      <c r="G70" s="1650" t="s">
        <v>882</v>
      </c>
      <c r="H70" s="1651"/>
      <c r="I70" s="1651"/>
      <c r="J70" s="1650" t="s">
        <v>882</v>
      </c>
      <c r="K70" s="1650" t="s">
        <v>883</v>
      </c>
      <c r="L70" s="1650" t="s">
        <v>884</v>
      </c>
      <c r="M70" s="1650" t="s">
        <v>885</v>
      </c>
      <c r="N70" s="1650" t="s">
        <v>945</v>
      </c>
      <c r="O70" s="1652">
        <v>46211.57638888889</v>
      </c>
      <c r="P70" s="1652" t="str">
        <f>IFERROR(__xludf.DUMMYFUNCTION("IFERROR(
  TEXT(
    DATE(
      INDEX(SPLIT(O70,"" ""),3),
      VLOOKUP(INDEX(SPLIT(O70,"" ""),1),{""jan."",1;""Feb"",2;""mar."",3;""Apr"",4;""May"",5;""jun."",6;""jul."",7;""Aug"",8;""Sep"",9;""Oct"",10;""nov."",11;""Dec"",12},2,FALSE),
      INDEX(SPL"&amp;"IT(O70,"" ""),2)
    ),
    ""dd/mm/yyyy""
  ),
"""")"),"08/07/2026")</f>
        <v>08/07/2026</v>
      </c>
    </row>
    <row r="71">
      <c r="A71" s="1649" t="s">
        <v>1110</v>
      </c>
      <c r="B71" s="1649" t="s">
        <v>1111</v>
      </c>
      <c r="C71" s="1650" t="s">
        <v>880</v>
      </c>
      <c r="D71" s="1650" t="s">
        <v>881</v>
      </c>
      <c r="E71" s="1651"/>
      <c r="F71" s="1650" t="s">
        <v>479</v>
      </c>
      <c r="G71" s="1650" t="s">
        <v>882</v>
      </c>
      <c r="H71" s="1651"/>
      <c r="I71" s="1651"/>
      <c r="J71" s="1650" t="s">
        <v>882</v>
      </c>
      <c r="K71" s="1650" t="s">
        <v>883</v>
      </c>
      <c r="L71" s="1650" t="s">
        <v>884</v>
      </c>
      <c r="M71" s="1650" t="s">
        <v>885</v>
      </c>
      <c r="N71" s="1650" t="s">
        <v>1112</v>
      </c>
      <c r="O71" s="1652">
        <v>46216.92569444444</v>
      </c>
      <c r="P71" s="1652" t="str">
        <f>IFERROR(__xludf.DUMMYFUNCTION("IFERROR(
  TEXT(
    DATE(
      INDEX(SPLIT(O71,"" ""),3),
      VLOOKUP(INDEX(SPLIT(O71,"" ""),1),{""jan."",1;""Feb"",2;""mar."",3;""Apr"",4;""May"",5;""jun."",6;""jul."",7;""Aug"",8;""Sep"",9;""Oct"",10;""nov."",11;""Dec"",12},2,FALSE),
      INDEX(SPL"&amp;"IT(O71,"" ""),2)
    ),
    ""dd/mm/yyyy""
  ),
"""")"),"13/07/2026")</f>
        <v>13/07/2026</v>
      </c>
    </row>
    <row r="72">
      <c r="A72" s="1649" t="s">
        <v>1113</v>
      </c>
      <c r="B72" s="1649" t="s">
        <v>1114</v>
      </c>
      <c r="C72" s="1650" t="s">
        <v>880</v>
      </c>
      <c r="D72" s="1650" t="s">
        <v>881</v>
      </c>
      <c r="E72" s="1651"/>
      <c r="F72" s="1650" t="s">
        <v>596</v>
      </c>
      <c r="G72" s="1650" t="s">
        <v>882</v>
      </c>
      <c r="H72" s="1651"/>
      <c r="I72" s="1651"/>
      <c r="J72" s="1650" t="s">
        <v>882</v>
      </c>
      <c r="K72" s="1650" t="s">
        <v>883</v>
      </c>
      <c r="L72" s="1650" t="s">
        <v>884</v>
      </c>
      <c r="M72" s="1650" t="s">
        <v>885</v>
      </c>
      <c r="N72" s="1650" t="s">
        <v>1115</v>
      </c>
      <c r="O72" s="1652">
        <v>46216.53333333333</v>
      </c>
      <c r="P72" s="1652" t="str">
        <f>IFERROR(__xludf.DUMMYFUNCTION("IFERROR(
  TEXT(
    DATE(
      INDEX(SPLIT(O72,"" ""),3),
      VLOOKUP(INDEX(SPLIT(O72,"" ""),1),{""jan."",1;""Feb"",2;""mar."",3;""Apr"",4;""May"",5;""jun."",6;""jul."",7;""Aug"",8;""Sep"",9;""Oct"",10;""nov."",11;""Dec"",12},2,FALSE),
      INDEX(SPL"&amp;"IT(O72,"" ""),2)
    ),
    ""dd/mm/yyyy""
  ),
"""")"),"13/07/2026")</f>
        <v>13/07/2026</v>
      </c>
    </row>
    <row r="73">
      <c r="A73" s="1649" t="s">
        <v>1116</v>
      </c>
      <c r="B73" s="1649" t="s">
        <v>1117</v>
      </c>
      <c r="C73" s="1650" t="s">
        <v>880</v>
      </c>
      <c r="D73" s="1650" t="s">
        <v>881</v>
      </c>
      <c r="E73" s="1651"/>
      <c r="F73" s="1650" t="s">
        <v>596</v>
      </c>
      <c r="G73" s="1650" t="s">
        <v>882</v>
      </c>
      <c r="H73" s="1651"/>
      <c r="I73" s="1651"/>
      <c r="J73" s="1650" t="s">
        <v>882</v>
      </c>
      <c r="K73" s="1650" t="s">
        <v>883</v>
      </c>
      <c r="L73" s="1650" t="s">
        <v>884</v>
      </c>
      <c r="M73" s="1650" t="s">
        <v>885</v>
      </c>
      <c r="N73" s="1650" t="s">
        <v>1118</v>
      </c>
      <c r="O73" s="1652">
        <v>46196.48263888889</v>
      </c>
      <c r="P73" s="1652" t="str">
        <f>IFERROR(__xludf.DUMMYFUNCTION("IFERROR(
  TEXT(
    DATE(
      INDEX(SPLIT(O73,"" ""),3),
      VLOOKUP(INDEX(SPLIT(O73,"" ""),1),{""jan."",1;""Feb"",2;""mar."",3;""Apr"",4;""May"",5;""jun."",6;""jul."",7;""Aug"",8;""Sep"",9;""Oct"",10;""nov."",11;""Dec"",12},2,FALSE),
      INDEX(SPL"&amp;"IT(O73,"" ""),2)
    ),
    ""dd/mm/yyyy""
  ),
"""")"),"23/06/2026")</f>
        <v>23/06/2026</v>
      </c>
    </row>
    <row r="74">
      <c r="A74" s="1649" t="s">
        <v>1119</v>
      </c>
      <c r="B74" s="1649" t="s">
        <v>1120</v>
      </c>
      <c r="C74" s="1650" t="s">
        <v>880</v>
      </c>
      <c r="D74" s="1650" t="s">
        <v>881</v>
      </c>
      <c r="E74" s="1651"/>
      <c r="F74" s="1650" t="s">
        <v>596</v>
      </c>
      <c r="G74" s="1650" t="s">
        <v>882</v>
      </c>
      <c r="H74" s="1651"/>
      <c r="I74" s="1651"/>
      <c r="J74" s="1650" t="s">
        <v>882</v>
      </c>
      <c r="K74" s="1650" t="s">
        <v>883</v>
      </c>
      <c r="L74" s="1650" t="s">
        <v>884</v>
      </c>
      <c r="M74" s="1650" t="s">
        <v>885</v>
      </c>
      <c r="N74" s="1650" t="s">
        <v>1121</v>
      </c>
      <c r="O74" s="1652">
        <v>46176.78680555556</v>
      </c>
      <c r="P74" s="1652" t="str">
        <f>IFERROR(__xludf.DUMMYFUNCTION("IFERROR(
  TEXT(
    DATE(
      INDEX(SPLIT(O74,"" ""),3),
      VLOOKUP(INDEX(SPLIT(O74,"" ""),1),{""jan."",1;""Feb"",2;""mar."",3;""Apr"",4;""May"",5;""jun."",6;""jul."",7;""Aug"",8;""Sep"",9;""Oct"",10;""nov."",11;""Dec"",12},2,FALSE),
      INDEX(SPL"&amp;"IT(O74,"" ""),2)
    ),
    ""dd/mm/yyyy""
  ),
"""")"),"03/06/2026")</f>
        <v>03/06/2026</v>
      </c>
    </row>
    <row r="75">
      <c r="A75" s="1649" t="s">
        <v>1122</v>
      </c>
      <c r="B75" s="1649" t="s">
        <v>1123</v>
      </c>
      <c r="C75" s="1650" t="s">
        <v>880</v>
      </c>
      <c r="D75" s="1650" t="s">
        <v>881</v>
      </c>
      <c r="E75" s="1651"/>
      <c r="F75" s="1650" t="s">
        <v>596</v>
      </c>
      <c r="G75" s="1650" t="s">
        <v>882</v>
      </c>
      <c r="H75" s="1651"/>
      <c r="I75" s="1651"/>
      <c r="J75" s="1650" t="s">
        <v>882</v>
      </c>
      <c r="K75" s="1650" t="s">
        <v>883</v>
      </c>
      <c r="L75" s="1650" t="s">
        <v>884</v>
      </c>
      <c r="M75" s="1650" t="s">
        <v>885</v>
      </c>
      <c r="N75" s="1650" t="s">
        <v>1124</v>
      </c>
      <c r="O75" s="1652">
        <v>46174.66805555556</v>
      </c>
      <c r="P75" s="1652" t="str">
        <f>IFERROR(__xludf.DUMMYFUNCTION("IFERROR(
  TEXT(
    DATE(
      INDEX(SPLIT(O75,"" ""),3),
      VLOOKUP(INDEX(SPLIT(O75,"" ""),1),{""jan."",1;""Feb"",2;""mar."",3;""Apr"",4;""May"",5;""jun."",6;""jul."",7;""Aug"",8;""Sep"",9;""Oct"",10;""nov."",11;""Dec"",12},2,FALSE),
      INDEX(SPL"&amp;"IT(O75,"" ""),2)
    ),
    ""dd/mm/yyyy""
  ),
"""")"),"01/06/2026")</f>
        <v>01/06/2026</v>
      </c>
    </row>
    <row r="76">
      <c r="A76" s="1649" t="s">
        <v>1125</v>
      </c>
      <c r="B76" s="1649" t="s">
        <v>1126</v>
      </c>
      <c r="C76" s="1650" t="s">
        <v>880</v>
      </c>
      <c r="D76" s="1650" t="s">
        <v>881</v>
      </c>
      <c r="E76" s="1651"/>
      <c r="F76" s="1650" t="s">
        <v>480</v>
      </c>
      <c r="G76" s="1650" t="s">
        <v>882</v>
      </c>
      <c r="H76" s="1651"/>
      <c r="I76" s="1651"/>
      <c r="J76" s="1650" t="s">
        <v>882</v>
      </c>
      <c r="K76" s="1650" t="s">
        <v>883</v>
      </c>
      <c r="L76" s="1650" t="s">
        <v>884</v>
      </c>
      <c r="M76" s="1650" t="s">
        <v>885</v>
      </c>
      <c r="N76" s="1650" t="s">
        <v>1127</v>
      </c>
      <c r="O76" s="1652">
        <v>46216.65555555555</v>
      </c>
      <c r="P76" s="1652" t="str">
        <f>IFERROR(__xludf.DUMMYFUNCTION("IFERROR(
  TEXT(
    DATE(
      INDEX(SPLIT(O76,"" ""),3),
      VLOOKUP(INDEX(SPLIT(O76,"" ""),1),{""jan."",1;""Feb"",2;""mar."",3;""Apr"",4;""May"",5;""jun."",6;""jul."",7;""Aug"",8;""Sep"",9;""Oct"",10;""nov."",11;""Dec"",12},2,FALSE),
      INDEX(SPL"&amp;"IT(O76,"" ""),2)
    ),
    ""dd/mm/yyyy""
  ),
"""")"),"13/07/2026")</f>
        <v>13/07/2026</v>
      </c>
    </row>
    <row r="77">
      <c r="A77" s="1649" t="s">
        <v>1128</v>
      </c>
      <c r="B77" s="1649" t="s">
        <v>1129</v>
      </c>
      <c r="C77" s="1650" t="s">
        <v>880</v>
      </c>
      <c r="D77" s="1650" t="s">
        <v>881</v>
      </c>
      <c r="E77" s="1651"/>
      <c r="F77" s="1650" t="s">
        <v>470</v>
      </c>
      <c r="G77" s="1650" t="s">
        <v>882</v>
      </c>
      <c r="H77" s="1651"/>
      <c r="I77" s="1651"/>
      <c r="J77" s="1650" t="s">
        <v>882</v>
      </c>
      <c r="K77" s="1650" t="s">
        <v>883</v>
      </c>
      <c r="L77" s="1650" t="s">
        <v>884</v>
      </c>
      <c r="M77" s="1650" t="s">
        <v>885</v>
      </c>
      <c r="N77" s="1650" t="s">
        <v>1130</v>
      </c>
      <c r="O77" s="1650" t="s">
        <v>1131</v>
      </c>
      <c r="P77" s="1652" t="str">
        <f>IFERROR(__xludf.DUMMYFUNCTION("IFERROR(
  TEXT(
    DATE(
      INDEX(SPLIT(O77,"" ""),3),
      VLOOKUP(INDEX(SPLIT(O77,"" ""),1),{""jan."",1;""Feb"",2;""mar."",3;""Apr"",4;""May"",5;""jun."",6;""jul."",7;""Aug"",8;""Sep"",9;""Oct"",10;""nov."",11;""Dec"",12},2,FALSE),
      INDEX(SPL"&amp;"IT(O77,"" ""),2)
    ),
    ""dd/mm/yyyy""
  ),
"""")"),"20/05/2026")</f>
        <v>20/05/2026</v>
      </c>
    </row>
    <row r="78">
      <c r="A78" s="1649" t="s">
        <v>1132</v>
      </c>
      <c r="B78" s="1649" t="s">
        <v>1133</v>
      </c>
      <c r="C78" s="1653"/>
      <c r="D78" s="1653"/>
      <c r="E78" s="1651"/>
      <c r="F78" s="1650" t="s">
        <v>470</v>
      </c>
      <c r="G78" s="1650" t="s">
        <v>882</v>
      </c>
      <c r="H78" s="1651"/>
      <c r="I78" s="1651"/>
      <c r="J78" s="1650" t="s">
        <v>882</v>
      </c>
      <c r="K78" s="1650" t="s">
        <v>883</v>
      </c>
      <c r="L78" s="1650" t="s">
        <v>884</v>
      </c>
      <c r="M78" s="1650" t="s">
        <v>885</v>
      </c>
      <c r="N78" s="1650" t="s">
        <v>1134</v>
      </c>
      <c r="O78" s="1650" t="s">
        <v>1135</v>
      </c>
      <c r="P78" s="1652" t="str">
        <f>IFERROR(__xludf.DUMMYFUNCTION("IFERROR(
  TEXT(
    DATE(
      INDEX(SPLIT(O78,"" ""),3),
      VLOOKUP(INDEX(SPLIT(O78,"" ""),1),{""jan."",1;""Feb"",2;""mar."",3;""Apr"",4;""May"",5;""jun."",6;""jul."",7;""Aug"",8;""Sep"",9;""Oct"",10;""nov."",11;""Dec"",12},2,FALSE),
      INDEX(SPL"&amp;"IT(O78,"" ""),2)
    ),
    ""dd/mm/yyyy""
  ),
"""")"),"19/05/2026")</f>
        <v>19/05/2026</v>
      </c>
    </row>
    <row r="79">
      <c r="A79" s="1649" t="s">
        <v>1136</v>
      </c>
      <c r="B79" s="1649" t="s">
        <v>1137</v>
      </c>
      <c r="C79" s="1650" t="s">
        <v>880</v>
      </c>
      <c r="D79" s="1650" t="s">
        <v>881</v>
      </c>
      <c r="E79" s="1651"/>
      <c r="F79" s="1650" t="s">
        <v>507</v>
      </c>
      <c r="G79" s="1650" t="s">
        <v>882</v>
      </c>
      <c r="H79" s="1651"/>
      <c r="I79" s="1651"/>
      <c r="J79" s="1650" t="s">
        <v>882</v>
      </c>
      <c r="K79" s="1650" t="s">
        <v>883</v>
      </c>
      <c r="L79" s="1650" t="s">
        <v>884</v>
      </c>
      <c r="M79" s="1650" t="s">
        <v>885</v>
      </c>
      <c r="N79" s="1650" t="s">
        <v>1138</v>
      </c>
      <c r="O79" s="1652">
        <v>46211.7</v>
      </c>
      <c r="P79" s="1652" t="str">
        <f>IFERROR(__xludf.DUMMYFUNCTION("IFERROR(
  TEXT(
    DATE(
      INDEX(SPLIT(O79,"" ""),3),
      VLOOKUP(INDEX(SPLIT(O79,"" ""),1),{""jan."",1;""Feb"",2;""mar."",3;""Apr"",4;""May"",5;""jun."",6;""jul."",7;""Aug"",8;""Sep"",9;""Oct"",10;""nov."",11;""Dec"",12},2,FALSE),
      INDEX(SPL"&amp;"IT(O79,"" ""),2)
    ),
    ""dd/mm/yyyy""
  ),
"""")"),"08/07/2026")</f>
        <v>08/07/2026</v>
      </c>
    </row>
    <row r="80">
      <c r="A80" s="1649" t="s">
        <v>1139</v>
      </c>
      <c r="B80" s="1649" t="s">
        <v>1140</v>
      </c>
      <c r="C80" s="1650" t="s">
        <v>880</v>
      </c>
      <c r="D80" s="1650" t="s">
        <v>881</v>
      </c>
      <c r="E80" s="1651"/>
      <c r="F80" s="1650" t="s">
        <v>507</v>
      </c>
      <c r="G80" s="1650" t="s">
        <v>882</v>
      </c>
      <c r="H80" s="1651"/>
      <c r="I80" s="1651"/>
      <c r="J80" s="1650" t="s">
        <v>882</v>
      </c>
      <c r="K80" s="1650" t="s">
        <v>883</v>
      </c>
      <c r="L80" s="1650" t="s">
        <v>884</v>
      </c>
      <c r="M80" s="1650" t="s">
        <v>885</v>
      </c>
      <c r="N80" s="1650" t="s">
        <v>1141</v>
      </c>
      <c r="O80" s="1652">
        <v>46213.66527777778</v>
      </c>
      <c r="P80" s="1652" t="str">
        <f>IFERROR(__xludf.DUMMYFUNCTION("IFERROR(
  TEXT(
    DATE(
      INDEX(SPLIT(O80,"" ""),3),
      VLOOKUP(INDEX(SPLIT(O80,"" ""),1),{""jan."",1;""Feb"",2;""mar."",3;""Apr"",4;""May"",5;""jun."",6;""jul."",7;""Aug"",8;""Sep"",9;""Oct"",10;""nov."",11;""Dec"",12},2,FALSE),
      INDEX(SPL"&amp;"IT(O80,"" ""),2)
    ),
    ""dd/mm/yyyy""
  ),
"""")"),"10/07/2026")</f>
        <v>10/07/2026</v>
      </c>
    </row>
    <row r="81">
      <c r="A81" s="1649" t="s">
        <v>1142</v>
      </c>
      <c r="B81" s="1649" t="s">
        <v>1143</v>
      </c>
      <c r="C81" s="1650" t="s">
        <v>880</v>
      </c>
      <c r="D81" s="1650" t="s">
        <v>881</v>
      </c>
      <c r="E81" s="1651"/>
      <c r="F81" s="1650" t="s">
        <v>480</v>
      </c>
      <c r="G81" s="1650" t="s">
        <v>882</v>
      </c>
      <c r="H81" s="1651"/>
      <c r="I81" s="1651"/>
      <c r="J81" s="1650" t="s">
        <v>882</v>
      </c>
      <c r="K81" s="1650" t="s">
        <v>883</v>
      </c>
      <c r="L81" s="1650" t="s">
        <v>884</v>
      </c>
      <c r="M81" s="1650" t="s">
        <v>885</v>
      </c>
      <c r="N81" s="1650" t="s">
        <v>1144</v>
      </c>
      <c r="O81" s="1652">
        <v>46206.67013888889</v>
      </c>
      <c r="P81" s="1652" t="str">
        <f>IFERROR(__xludf.DUMMYFUNCTION("IFERROR(
  TEXT(
    DATE(
      INDEX(SPLIT(O81,"" ""),3),
      VLOOKUP(INDEX(SPLIT(O81,"" ""),1),{""jan."",1;""Feb"",2;""mar."",3;""Apr"",4;""May"",5;""jun."",6;""jul."",7;""Aug"",8;""Sep"",9;""Oct"",10;""nov."",11;""Dec"",12},2,FALSE),
      INDEX(SPL"&amp;"IT(O81,"" ""),2)
    ),
    ""dd/mm/yyyy""
  ),
"""")"),"03/07/2026")</f>
        <v>03/07/2026</v>
      </c>
    </row>
    <row r="82">
      <c r="A82" s="1649" t="s">
        <v>1145</v>
      </c>
      <c r="B82" s="1649" t="s">
        <v>1146</v>
      </c>
      <c r="C82" s="1650" t="s">
        <v>880</v>
      </c>
      <c r="D82" s="1650" t="s">
        <v>881</v>
      </c>
      <c r="E82" s="1651"/>
      <c r="F82" s="1650" t="s">
        <v>480</v>
      </c>
      <c r="G82" s="1650" t="s">
        <v>882</v>
      </c>
      <c r="H82" s="1651"/>
      <c r="I82" s="1651"/>
      <c r="J82" s="1650" t="s">
        <v>882</v>
      </c>
      <c r="K82" s="1650" t="s">
        <v>883</v>
      </c>
      <c r="L82" s="1650" t="s">
        <v>884</v>
      </c>
      <c r="M82" s="1650" t="s">
        <v>885</v>
      </c>
      <c r="N82" s="1650" t="s">
        <v>1147</v>
      </c>
      <c r="O82" s="1652">
        <v>46216.532638888886</v>
      </c>
      <c r="P82" s="1652" t="str">
        <f>IFERROR(__xludf.DUMMYFUNCTION("IFERROR(
  TEXT(
    DATE(
      INDEX(SPLIT(O82,"" ""),3),
      VLOOKUP(INDEX(SPLIT(O82,"" ""),1),{""jan."",1;""Feb"",2;""mar."",3;""Apr"",4;""May"",5;""jun."",6;""jul."",7;""Aug"",8;""Sep"",9;""Oct"",10;""nov."",11;""Dec"",12},2,FALSE),
      INDEX(SPL"&amp;"IT(O82,"" ""),2)
    ),
    ""dd/mm/yyyy""
  ),
"""")"),"13/07/2026")</f>
        <v>13/07/2026</v>
      </c>
    </row>
    <row r="83">
      <c r="A83" s="1649" t="s">
        <v>1148</v>
      </c>
      <c r="B83" s="1649" t="s">
        <v>1149</v>
      </c>
      <c r="C83" s="1650" t="s">
        <v>880</v>
      </c>
      <c r="D83" s="1650" t="s">
        <v>881</v>
      </c>
      <c r="E83" s="1651"/>
      <c r="F83" s="1650" t="s">
        <v>479</v>
      </c>
      <c r="G83" s="1650" t="s">
        <v>882</v>
      </c>
      <c r="H83" s="1651"/>
      <c r="I83" s="1651"/>
      <c r="J83" s="1650" t="s">
        <v>882</v>
      </c>
      <c r="K83" s="1650" t="s">
        <v>883</v>
      </c>
      <c r="L83" s="1650" t="s">
        <v>884</v>
      </c>
      <c r="M83" s="1650" t="s">
        <v>885</v>
      </c>
      <c r="N83" s="1650" t="s">
        <v>1150</v>
      </c>
      <c r="O83" s="1652">
        <v>46217.35833333333</v>
      </c>
      <c r="P83" s="1652" t="str">
        <f>IFERROR(__xludf.DUMMYFUNCTION("IFERROR(
  TEXT(
    DATE(
      INDEX(SPLIT(O83,"" ""),3),
      VLOOKUP(INDEX(SPLIT(O83,"" ""),1),{""jan."",1;""Feb"",2;""mar."",3;""Apr"",4;""May"",5;""jun."",6;""jul."",7;""Aug"",8;""Sep"",9;""Oct"",10;""nov."",11;""Dec"",12},2,FALSE),
      INDEX(SPL"&amp;"IT(O83,"" ""),2)
    ),
    ""dd/mm/yyyy""
  ),
"""")"),"14/07/2026")</f>
        <v>14/07/2026</v>
      </c>
    </row>
    <row r="84">
      <c r="A84" s="1649" t="s">
        <v>1151</v>
      </c>
      <c r="B84" s="1649" t="s">
        <v>1152</v>
      </c>
      <c r="C84" s="1650" t="s">
        <v>880</v>
      </c>
      <c r="D84" s="1650" t="s">
        <v>881</v>
      </c>
      <c r="E84" s="1651"/>
      <c r="F84" s="1650" t="s">
        <v>480</v>
      </c>
      <c r="G84" s="1650" t="s">
        <v>882</v>
      </c>
      <c r="H84" s="1651"/>
      <c r="I84" s="1651"/>
      <c r="J84" s="1650" t="s">
        <v>882</v>
      </c>
      <c r="K84" s="1650" t="s">
        <v>883</v>
      </c>
      <c r="L84" s="1650" t="s">
        <v>884</v>
      </c>
      <c r="M84" s="1650" t="s">
        <v>885</v>
      </c>
      <c r="N84" s="1650" t="s">
        <v>1153</v>
      </c>
      <c r="O84" s="1652">
        <v>46202.90069444444</v>
      </c>
      <c r="P84" s="1652" t="str">
        <f>IFERROR(__xludf.DUMMYFUNCTION("IFERROR(
  TEXT(
    DATE(
      INDEX(SPLIT(O84,"" ""),3),
      VLOOKUP(INDEX(SPLIT(O84,"" ""),1),{""jan."",1;""Feb"",2;""mar."",3;""Apr"",4;""May"",5;""jun."",6;""jul."",7;""Aug"",8;""Sep"",9;""Oct"",10;""nov."",11;""Dec"",12},2,FALSE),
      INDEX(SPL"&amp;"IT(O84,"" ""),2)
    ),
    ""dd/mm/yyyy""
  ),
"""")"),"29/06/2026")</f>
        <v>29/06/2026</v>
      </c>
    </row>
    <row r="85">
      <c r="A85" s="1649" t="s">
        <v>1154</v>
      </c>
      <c r="B85" s="1649" t="s">
        <v>1155</v>
      </c>
      <c r="C85" s="1650" t="s">
        <v>880</v>
      </c>
      <c r="D85" s="1650" t="s">
        <v>881</v>
      </c>
      <c r="E85" s="1651"/>
      <c r="F85" s="1650" t="s">
        <v>596</v>
      </c>
      <c r="G85" s="1650" t="s">
        <v>882</v>
      </c>
      <c r="H85" s="1651"/>
      <c r="I85" s="1651"/>
      <c r="J85" s="1650" t="s">
        <v>882</v>
      </c>
      <c r="K85" s="1650" t="s">
        <v>883</v>
      </c>
      <c r="L85" s="1650" t="s">
        <v>884</v>
      </c>
      <c r="M85" s="1650" t="s">
        <v>885</v>
      </c>
      <c r="N85" s="1650" t="s">
        <v>1156</v>
      </c>
      <c r="O85" s="1652">
        <v>46210.71319444444</v>
      </c>
      <c r="P85" s="1652" t="str">
        <f>IFERROR(__xludf.DUMMYFUNCTION("IFERROR(
  TEXT(
    DATE(
      INDEX(SPLIT(O85,"" ""),3),
      VLOOKUP(INDEX(SPLIT(O85,"" ""),1),{""jan."",1;""Feb"",2;""mar."",3;""Apr"",4;""May"",5;""jun."",6;""jul."",7;""Aug"",8;""Sep"",9;""Oct"",10;""nov."",11;""Dec"",12},2,FALSE),
      INDEX(SPL"&amp;"IT(O85,"" ""),2)
    ),
    ""dd/mm/yyyy""
  ),
"""")"),"07/07/2026")</f>
        <v>07/07/2026</v>
      </c>
    </row>
    <row r="86">
      <c r="A86" s="1649" t="s">
        <v>1157</v>
      </c>
      <c r="B86" s="1649" t="s">
        <v>1158</v>
      </c>
      <c r="C86" s="1653"/>
      <c r="D86" s="1653"/>
      <c r="E86" s="1651"/>
      <c r="F86" s="1650" t="s">
        <v>596</v>
      </c>
      <c r="G86" s="1650" t="s">
        <v>882</v>
      </c>
      <c r="H86" s="1651"/>
      <c r="I86" s="1651"/>
      <c r="J86" s="1650" t="s">
        <v>882</v>
      </c>
      <c r="K86" s="1650" t="s">
        <v>883</v>
      </c>
      <c r="L86" s="1650" t="s">
        <v>884</v>
      </c>
      <c r="M86" s="1650" t="s">
        <v>885</v>
      </c>
      <c r="N86" s="1650" t="s">
        <v>1159</v>
      </c>
      <c r="O86" s="1652">
        <v>46215.96111111111</v>
      </c>
      <c r="P86" s="1652" t="str">
        <f>IFERROR(__xludf.DUMMYFUNCTION("IFERROR(
  TEXT(
    DATE(
      INDEX(SPLIT(O86,"" ""),3),
      VLOOKUP(INDEX(SPLIT(O86,"" ""),1),{""jan."",1;""Feb"",2;""mar."",3;""Apr"",4;""May"",5;""jun."",6;""jul."",7;""Aug"",8;""Sep"",9;""Oct"",10;""nov."",11;""Dec"",12},2,FALSE),
      INDEX(SPL"&amp;"IT(O86,"" ""),2)
    ),
    ""dd/mm/yyyy""
  ),
"""")"),"12/07/2026")</f>
        <v>12/07/2026</v>
      </c>
    </row>
    <row r="87">
      <c r="A87" s="1649" t="s">
        <v>1160</v>
      </c>
      <c r="B87" s="1649" t="s">
        <v>1161</v>
      </c>
      <c r="C87" s="1653"/>
      <c r="D87" s="1653"/>
      <c r="E87" s="1651"/>
      <c r="F87" s="1650" t="s">
        <v>470</v>
      </c>
      <c r="G87" s="1650" t="s">
        <v>882</v>
      </c>
      <c r="H87" s="1651"/>
      <c r="I87" s="1651"/>
      <c r="J87" s="1650" t="s">
        <v>882</v>
      </c>
      <c r="K87" s="1650" t="s">
        <v>883</v>
      </c>
      <c r="L87" s="1650" t="s">
        <v>884</v>
      </c>
      <c r="M87" s="1650" t="s">
        <v>885</v>
      </c>
      <c r="N87" s="1650" t="s">
        <v>1162</v>
      </c>
      <c r="O87" s="1650" t="s">
        <v>1063</v>
      </c>
      <c r="P87" s="1652" t="str">
        <f>IFERROR(__xludf.DUMMYFUNCTION("IFERROR(
  TEXT(
    DATE(
      INDEX(SPLIT(O87,"" ""),3),
      VLOOKUP(INDEX(SPLIT(O87,"" ""),1),{""jan."",1;""Feb"",2;""mar."",3;""Apr"",4;""May"",5;""jun."",6;""jul."",7;""Aug"",8;""Sep"",9;""Oct"",10;""nov."",11;""Dec"",12},2,FALSE),
      INDEX(SPL"&amp;"IT(O87,"" ""),2)
    ),
    ""dd/mm/yyyy""
  ),
"""")"),"15/05/2026")</f>
        <v>15/05/2026</v>
      </c>
    </row>
    <row r="88">
      <c r="A88" s="1649" t="s">
        <v>1163</v>
      </c>
      <c r="B88" s="1649" t="s">
        <v>1164</v>
      </c>
      <c r="C88" s="1653"/>
      <c r="D88" s="1653"/>
      <c r="E88" s="1651"/>
      <c r="F88" s="1650" t="s">
        <v>596</v>
      </c>
      <c r="G88" s="1650" t="s">
        <v>882</v>
      </c>
      <c r="H88" s="1651"/>
      <c r="I88" s="1651"/>
      <c r="J88" s="1650" t="s">
        <v>882</v>
      </c>
      <c r="K88" s="1650" t="s">
        <v>883</v>
      </c>
      <c r="L88" s="1650" t="s">
        <v>884</v>
      </c>
      <c r="M88" s="1650" t="s">
        <v>885</v>
      </c>
      <c r="N88" s="1650" t="s">
        <v>1165</v>
      </c>
      <c r="O88" s="1652">
        <v>46216.52916666667</v>
      </c>
      <c r="P88" s="1652" t="str">
        <f>IFERROR(__xludf.DUMMYFUNCTION("IFERROR(
  TEXT(
    DATE(
      INDEX(SPLIT(O88,"" ""),3),
      VLOOKUP(INDEX(SPLIT(O88,"" ""),1),{""jan."",1;""Feb"",2;""mar."",3;""Apr"",4;""May"",5;""jun."",6;""jul."",7;""Aug"",8;""Sep"",9;""Oct"",10;""nov."",11;""Dec"",12},2,FALSE),
      INDEX(SPL"&amp;"IT(O88,"" ""),2)
    ),
    ""dd/mm/yyyy""
  ),
"""")"),"13/07/2026")</f>
        <v>13/07/2026</v>
      </c>
    </row>
    <row r="89">
      <c r="A89" s="1649" t="s">
        <v>1166</v>
      </c>
      <c r="B89" s="1649" t="s">
        <v>1167</v>
      </c>
      <c r="C89" s="1653"/>
      <c r="D89" s="1653"/>
      <c r="E89" s="1651"/>
      <c r="F89" s="1650" t="s">
        <v>480</v>
      </c>
      <c r="G89" s="1650" t="s">
        <v>882</v>
      </c>
      <c r="H89" s="1651"/>
      <c r="I89" s="1651"/>
      <c r="J89" s="1650" t="s">
        <v>882</v>
      </c>
      <c r="K89" s="1650" t="s">
        <v>883</v>
      </c>
      <c r="L89" s="1650" t="s">
        <v>884</v>
      </c>
      <c r="M89" s="1650" t="s">
        <v>885</v>
      </c>
      <c r="N89" s="1650" t="s">
        <v>1168</v>
      </c>
      <c r="O89" s="1652">
        <v>46206.70138888889</v>
      </c>
      <c r="P89" s="1652" t="str">
        <f>IFERROR(__xludf.DUMMYFUNCTION("IFERROR(
  TEXT(
    DATE(
      INDEX(SPLIT(O89,"" ""),3),
      VLOOKUP(INDEX(SPLIT(O89,"" ""),1),{""jan."",1;""Feb"",2;""mar."",3;""Apr"",4;""May"",5;""jun."",6;""jul."",7;""Aug"",8;""Sep"",9;""Oct"",10;""nov."",11;""Dec"",12},2,FALSE),
      INDEX(SPL"&amp;"IT(O89,"" ""),2)
    ),
    ""dd/mm/yyyy""
  ),
"""")"),"03/07/2026")</f>
        <v>03/07/2026</v>
      </c>
    </row>
    <row r="90">
      <c r="A90" s="1649" t="s">
        <v>1169</v>
      </c>
      <c r="B90" s="1649" t="s">
        <v>1170</v>
      </c>
      <c r="C90" s="1653"/>
      <c r="D90" s="1653"/>
      <c r="E90" s="1651"/>
      <c r="F90" s="1650" t="s">
        <v>596</v>
      </c>
      <c r="G90" s="1650" t="s">
        <v>882</v>
      </c>
      <c r="H90" s="1651"/>
      <c r="I90" s="1651"/>
      <c r="J90" s="1650" t="s">
        <v>882</v>
      </c>
      <c r="K90" s="1650" t="s">
        <v>883</v>
      </c>
      <c r="L90" s="1650" t="s">
        <v>884</v>
      </c>
      <c r="M90" s="1650" t="s">
        <v>885</v>
      </c>
      <c r="N90" s="1650" t="s">
        <v>1171</v>
      </c>
      <c r="O90" s="1652">
        <v>46175.61944444444</v>
      </c>
      <c r="P90" s="1652" t="str">
        <f>IFERROR(__xludf.DUMMYFUNCTION("IFERROR(
  TEXT(
    DATE(
      INDEX(SPLIT(O90,"" ""),3),
      VLOOKUP(INDEX(SPLIT(O90,"" ""),1),{""jan."",1;""Feb"",2;""mar."",3;""Apr"",4;""May"",5;""jun."",6;""jul."",7;""Aug"",8;""Sep"",9;""Oct"",10;""nov."",11;""Dec"",12},2,FALSE),
      INDEX(SPL"&amp;"IT(O90,"" ""),2)
    ),
    ""dd/mm/yyyy""
  ),
"""")"),"02/06/2026")</f>
        <v>02/06/2026</v>
      </c>
    </row>
    <row r="91">
      <c r="A91" s="1649" t="s">
        <v>1172</v>
      </c>
      <c r="B91" s="1649" t="s">
        <v>1173</v>
      </c>
      <c r="C91" s="1653"/>
      <c r="D91" s="1653"/>
      <c r="E91" s="1651"/>
      <c r="F91" s="1650" t="s">
        <v>479</v>
      </c>
      <c r="G91" s="1650" t="s">
        <v>882</v>
      </c>
      <c r="H91" s="1651"/>
      <c r="I91" s="1651"/>
      <c r="J91" s="1650" t="s">
        <v>882</v>
      </c>
      <c r="K91" s="1650" t="s">
        <v>883</v>
      </c>
      <c r="L91" s="1650" t="s">
        <v>884</v>
      </c>
      <c r="M91" s="1650" t="s">
        <v>885</v>
      </c>
      <c r="N91" s="1650" t="s">
        <v>1174</v>
      </c>
      <c r="O91" s="1652">
        <v>46199.731944444444</v>
      </c>
      <c r="P91" s="1652" t="str">
        <f>IFERROR(__xludf.DUMMYFUNCTION("IFERROR(
  TEXT(
    DATE(
      INDEX(SPLIT(O91,"" ""),3),
      VLOOKUP(INDEX(SPLIT(O91,"" ""),1),{""jan."",1;""Feb"",2;""mar."",3;""Apr"",4;""May"",5;""jun."",6;""jul."",7;""Aug"",8;""Sep"",9;""Oct"",10;""nov."",11;""Dec"",12},2,FALSE),
      INDEX(SPL"&amp;"IT(O91,"" ""),2)
    ),
    ""dd/mm/yyyy""
  ),
"""")"),"26/06/2026")</f>
        <v>26/06/2026</v>
      </c>
    </row>
    <row r="92">
      <c r="A92" s="1649" t="s">
        <v>1175</v>
      </c>
      <c r="B92" s="1649" t="s">
        <v>1176</v>
      </c>
      <c r="C92" s="1653"/>
      <c r="D92" s="1653"/>
      <c r="E92" s="1651"/>
      <c r="F92" s="1650" t="s">
        <v>507</v>
      </c>
      <c r="G92" s="1650" t="s">
        <v>882</v>
      </c>
      <c r="H92" s="1651"/>
      <c r="I92" s="1651"/>
      <c r="J92" s="1650" t="s">
        <v>882</v>
      </c>
      <c r="K92" s="1650" t="s">
        <v>883</v>
      </c>
      <c r="L92" s="1650" t="s">
        <v>884</v>
      </c>
      <c r="M92" s="1650" t="s">
        <v>885</v>
      </c>
      <c r="N92" s="1650" t="s">
        <v>1177</v>
      </c>
      <c r="O92" s="1652">
        <v>46209.825</v>
      </c>
      <c r="P92" s="1652" t="str">
        <f>IFERROR(__xludf.DUMMYFUNCTION("IFERROR(
  TEXT(
    DATE(
      INDEX(SPLIT(O92,"" ""),3),
      VLOOKUP(INDEX(SPLIT(O92,"" ""),1),{""jan."",1;""Feb"",2;""mar."",3;""Apr"",4;""May"",5;""jun."",6;""jul."",7;""Aug"",8;""Sep"",9;""Oct"",10;""nov."",11;""Dec"",12},2,FALSE),
      INDEX(SPL"&amp;"IT(O92,"" ""),2)
    ),
    ""dd/mm/yyyy""
  ),
"""")"),"06/07/2026")</f>
        <v>06/07/2026</v>
      </c>
    </row>
    <row r="93">
      <c r="A93" s="1649" t="s">
        <v>1178</v>
      </c>
      <c r="B93" s="1649" t="s">
        <v>1179</v>
      </c>
      <c r="C93" s="1653"/>
      <c r="D93" s="1653"/>
      <c r="E93" s="1651"/>
      <c r="F93" s="1650" t="s">
        <v>470</v>
      </c>
      <c r="G93" s="1650" t="s">
        <v>882</v>
      </c>
      <c r="H93" s="1651"/>
      <c r="I93" s="1651"/>
      <c r="J93" s="1650" t="s">
        <v>882</v>
      </c>
      <c r="K93" s="1650" t="s">
        <v>883</v>
      </c>
      <c r="L93" s="1650" t="s">
        <v>884</v>
      </c>
      <c r="M93" s="1650" t="s">
        <v>885</v>
      </c>
      <c r="N93" s="1650" t="s">
        <v>1180</v>
      </c>
      <c r="O93" s="1650" t="s">
        <v>1181</v>
      </c>
      <c r="P93" s="1652" t="str">
        <f>IFERROR(__xludf.DUMMYFUNCTION("IFERROR(
  TEXT(
    DATE(
      INDEX(SPLIT(O93,"" ""),3),
      VLOOKUP(INDEX(SPLIT(O93,"" ""),1),{""jan."",1;""Feb"",2;""mar."",3;""Apr"",4;""May"",5;""jun."",6;""jul."",7;""Aug"",8;""Sep"",9;""Oct"",10;""nov."",11;""Dec"",12},2,FALSE),
      INDEX(SPL"&amp;"IT(O93,"" ""),2)
    ),
    ""dd/mm/yyyy""
  ),
"""")"),"18/05/2026")</f>
        <v>18/05/2026</v>
      </c>
    </row>
    <row r="94">
      <c r="A94" s="1649" t="s">
        <v>1182</v>
      </c>
      <c r="B94" s="1649" t="s">
        <v>1183</v>
      </c>
      <c r="C94" s="1653"/>
      <c r="D94" s="1653"/>
      <c r="E94" s="1651"/>
      <c r="F94" s="1650" t="s">
        <v>507</v>
      </c>
      <c r="G94" s="1650" t="s">
        <v>882</v>
      </c>
      <c r="H94" s="1651"/>
      <c r="I94" s="1651"/>
      <c r="J94" s="1650" t="s">
        <v>882</v>
      </c>
      <c r="K94" s="1650" t="s">
        <v>883</v>
      </c>
      <c r="L94" s="1650" t="s">
        <v>884</v>
      </c>
      <c r="M94" s="1650" t="s">
        <v>885</v>
      </c>
      <c r="N94" s="1650" t="s">
        <v>1184</v>
      </c>
      <c r="O94" s="1652">
        <v>46216.69930555556</v>
      </c>
      <c r="P94" s="1652" t="str">
        <f>IFERROR(__xludf.DUMMYFUNCTION("IFERROR(
  TEXT(
    DATE(
      INDEX(SPLIT(O94,"" ""),3),
      VLOOKUP(INDEX(SPLIT(O94,"" ""),1),{""jan."",1;""Feb"",2;""mar."",3;""Apr"",4;""May"",5;""jun."",6;""jul."",7;""Aug"",8;""Sep"",9;""Oct"",10;""nov."",11;""Dec"",12},2,FALSE),
      INDEX(SPL"&amp;"IT(O94,"" ""),2)
    ),
    ""dd/mm/yyyy""
  ),
"""")"),"13/07/2026")</f>
        <v>13/07/2026</v>
      </c>
    </row>
    <row r="95">
      <c r="A95" s="1649" t="s">
        <v>1185</v>
      </c>
      <c r="B95" s="1649" t="s">
        <v>1186</v>
      </c>
      <c r="C95" s="1653"/>
      <c r="D95" s="1653"/>
      <c r="E95" s="1651"/>
      <c r="F95" s="1650" t="s">
        <v>596</v>
      </c>
      <c r="G95" s="1650" t="s">
        <v>882</v>
      </c>
      <c r="H95" s="1651"/>
      <c r="I95" s="1651"/>
      <c r="J95" s="1650" t="s">
        <v>882</v>
      </c>
      <c r="K95" s="1650" t="s">
        <v>883</v>
      </c>
      <c r="L95" s="1650" t="s">
        <v>884</v>
      </c>
      <c r="M95" s="1650" t="s">
        <v>885</v>
      </c>
      <c r="N95" s="1650" t="s">
        <v>1159</v>
      </c>
      <c r="O95" s="1652">
        <v>46206.584027777775</v>
      </c>
      <c r="P95" s="1652" t="str">
        <f>IFERROR(__xludf.DUMMYFUNCTION("IFERROR(
  TEXT(
    DATE(
      INDEX(SPLIT(O95,"" ""),3),
      VLOOKUP(INDEX(SPLIT(O95,"" ""),1),{""jan."",1;""Feb"",2;""mar."",3;""Apr"",4;""May"",5;""jun."",6;""jul."",7;""Aug"",8;""Sep"",9;""Oct"",10;""nov."",11;""Dec"",12},2,FALSE),
      INDEX(SPL"&amp;"IT(O95,"" ""),2)
    ),
    ""dd/mm/yyyy""
  ),
"""")"),"03/07/2026")</f>
        <v>03/07/2026</v>
      </c>
    </row>
    <row r="96">
      <c r="A96" s="1649" t="s">
        <v>1187</v>
      </c>
      <c r="B96" s="1649" t="s">
        <v>1188</v>
      </c>
      <c r="C96" s="1653"/>
      <c r="D96" s="1653"/>
      <c r="E96" s="1651"/>
      <c r="F96" s="1650" t="s">
        <v>480</v>
      </c>
      <c r="G96" s="1650" t="s">
        <v>882</v>
      </c>
      <c r="H96" s="1651"/>
      <c r="I96" s="1651"/>
      <c r="J96" s="1650" t="s">
        <v>882</v>
      </c>
      <c r="K96" s="1650" t="s">
        <v>883</v>
      </c>
      <c r="L96" s="1650" t="s">
        <v>884</v>
      </c>
      <c r="M96" s="1650" t="s">
        <v>885</v>
      </c>
      <c r="N96" s="1650" t="s">
        <v>1189</v>
      </c>
      <c r="O96" s="1652">
        <v>46215.61944444444</v>
      </c>
      <c r="P96" s="1652" t="str">
        <f>IFERROR(__xludf.DUMMYFUNCTION("IFERROR(
  TEXT(
    DATE(
      INDEX(SPLIT(O96,"" ""),3),
      VLOOKUP(INDEX(SPLIT(O96,"" ""),1),{""jan."",1;""Feb"",2;""mar."",3;""Apr"",4;""May"",5;""jun."",6;""jul."",7;""Aug"",8;""Sep"",9;""Oct"",10;""nov."",11;""Dec"",12},2,FALSE),
      INDEX(SPL"&amp;"IT(O96,"" ""),2)
    ),
    ""dd/mm/yyyy""
  ),
"""")"),"12/07/2026")</f>
        <v>12/07/2026</v>
      </c>
    </row>
    <row r="97">
      <c r="A97" s="1649" t="s">
        <v>1190</v>
      </c>
      <c r="B97" s="1649" t="s">
        <v>1191</v>
      </c>
      <c r="C97" s="1653"/>
      <c r="D97" s="1653"/>
      <c r="E97" s="1651"/>
      <c r="F97" s="1650" t="s">
        <v>470</v>
      </c>
      <c r="G97" s="1650" t="s">
        <v>882</v>
      </c>
      <c r="H97" s="1651"/>
      <c r="I97" s="1651"/>
      <c r="J97" s="1650" t="s">
        <v>882</v>
      </c>
      <c r="K97" s="1650" t="s">
        <v>883</v>
      </c>
      <c r="L97" s="1650" t="s">
        <v>884</v>
      </c>
      <c r="M97" s="1650" t="s">
        <v>885</v>
      </c>
      <c r="N97" s="1650" t="s">
        <v>1192</v>
      </c>
      <c r="O97" s="1650" t="s">
        <v>1063</v>
      </c>
      <c r="P97" s="1652" t="str">
        <f>IFERROR(__xludf.DUMMYFUNCTION("IFERROR(
  TEXT(
    DATE(
      INDEX(SPLIT(O97,"" ""),3),
      VLOOKUP(INDEX(SPLIT(O97,"" ""),1),{""jan."",1;""Feb"",2;""mar."",3;""Apr"",4;""May"",5;""jun."",6;""jul."",7;""Aug"",8;""Sep"",9;""Oct"",10;""nov."",11;""Dec"",12},2,FALSE),
      INDEX(SPL"&amp;"IT(O97,"" ""),2)
    ),
    ""dd/mm/yyyy""
  ),
"""")"),"15/05/2026")</f>
        <v>15/05/2026</v>
      </c>
    </row>
    <row r="98">
      <c r="A98" s="1649" t="s">
        <v>1193</v>
      </c>
      <c r="B98" s="1649" t="s">
        <v>1194</v>
      </c>
      <c r="C98" s="1653"/>
      <c r="D98" s="1653"/>
      <c r="E98" s="1651"/>
      <c r="F98" s="1650" t="s">
        <v>596</v>
      </c>
      <c r="G98" s="1650" t="s">
        <v>882</v>
      </c>
      <c r="H98" s="1651"/>
      <c r="I98" s="1651"/>
      <c r="J98" s="1650" t="s">
        <v>882</v>
      </c>
      <c r="K98" s="1650" t="s">
        <v>883</v>
      </c>
      <c r="L98" s="1650" t="s">
        <v>884</v>
      </c>
      <c r="M98" s="1650" t="s">
        <v>885</v>
      </c>
      <c r="N98" s="1650" t="s">
        <v>1195</v>
      </c>
      <c r="O98" s="1652">
        <v>46209.561111111114</v>
      </c>
      <c r="P98" s="1652" t="str">
        <f>IFERROR(__xludf.DUMMYFUNCTION("IFERROR(
  TEXT(
    DATE(
      INDEX(SPLIT(O98,"" ""),3),
      VLOOKUP(INDEX(SPLIT(O98,"" ""),1),{""jan."",1;""Feb"",2;""mar."",3;""Apr"",4;""May"",5;""jun."",6;""jul."",7;""Aug"",8;""Sep"",9;""Oct"",10;""nov."",11;""Dec"",12},2,FALSE),
      INDEX(SPL"&amp;"IT(O98,"" ""),2)
    ),
    ""dd/mm/yyyy""
  ),
"""")"),"06/07/2026")</f>
        <v>06/07/2026</v>
      </c>
    </row>
    <row r="99">
      <c r="A99" s="1649" t="s">
        <v>1196</v>
      </c>
      <c r="B99" s="1649" t="s">
        <v>1197</v>
      </c>
      <c r="C99" s="1653"/>
      <c r="D99" s="1653"/>
      <c r="E99" s="1651"/>
      <c r="F99" s="1650" t="s">
        <v>479</v>
      </c>
      <c r="G99" s="1650" t="s">
        <v>882</v>
      </c>
      <c r="H99" s="1651"/>
      <c r="I99" s="1651"/>
      <c r="J99" s="1650" t="s">
        <v>882</v>
      </c>
      <c r="K99" s="1650" t="s">
        <v>883</v>
      </c>
      <c r="L99" s="1650" t="s">
        <v>884</v>
      </c>
      <c r="M99" s="1650" t="s">
        <v>885</v>
      </c>
      <c r="N99" s="1650" t="s">
        <v>951</v>
      </c>
      <c r="O99" s="1652">
        <v>46213.478472222225</v>
      </c>
      <c r="P99" s="1652" t="str">
        <f>IFERROR(__xludf.DUMMYFUNCTION("IFERROR(
  TEXT(
    DATE(
      INDEX(SPLIT(O99,"" ""),3),
      VLOOKUP(INDEX(SPLIT(O99,"" ""),1),{""jan."",1;""Feb"",2;""mar."",3;""Apr"",4;""May"",5;""jun."",6;""jul."",7;""Aug"",8;""Sep"",9;""Oct"",10;""nov."",11;""Dec"",12},2,FALSE),
      INDEX(SPL"&amp;"IT(O99,"" ""),2)
    ),
    ""dd/mm/yyyy""
  ),
"""")"),"10/07/2026")</f>
        <v>10/07/2026</v>
      </c>
    </row>
    <row r="100">
      <c r="A100" s="1649" t="s">
        <v>1198</v>
      </c>
      <c r="B100" s="1649" t="s">
        <v>1199</v>
      </c>
      <c r="C100" s="1653"/>
      <c r="D100" s="1653"/>
      <c r="E100" s="1651"/>
      <c r="F100" s="1650" t="s">
        <v>479</v>
      </c>
      <c r="G100" s="1650" t="s">
        <v>882</v>
      </c>
      <c r="H100" s="1651"/>
      <c r="I100" s="1651"/>
      <c r="J100" s="1650" t="s">
        <v>882</v>
      </c>
      <c r="K100" s="1650" t="s">
        <v>883</v>
      </c>
      <c r="L100" s="1650" t="s">
        <v>884</v>
      </c>
      <c r="M100" s="1650" t="s">
        <v>885</v>
      </c>
      <c r="N100" s="1650" t="s">
        <v>1200</v>
      </c>
      <c r="O100" s="1652">
        <v>46198.81597222222</v>
      </c>
      <c r="P100" s="1652" t="str">
        <f>IFERROR(__xludf.DUMMYFUNCTION("IFERROR(
  TEXT(
    DATE(
      INDEX(SPLIT(O100,"" ""),3),
      VLOOKUP(INDEX(SPLIT(O100,"" ""),1),{""jan."",1;""Feb"",2;""mar."",3;""Apr"",4;""May"",5;""jun."",6;""jul."",7;""Aug"",8;""Sep"",9;""Oct"",10;""nov."",11;""Dec"",12},2,FALSE),
      INDEX(S"&amp;"PLIT(O100,"" ""),2)
    ),
    ""dd/mm/yyyy""
  ),
"""")"),"25/06/2026")</f>
        <v>25/06/2026</v>
      </c>
    </row>
    <row r="101">
      <c r="A101" s="1649" t="s">
        <v>1201</v>
      </c>
      <c r="B101" s="1649" t="s">
        <v>1202</v>
      </c>
      <c r="C101" s="1653"/>
      <c r="D101" s="1653"/>
      <c r="E101" s="1651"/>
      <c r="F101" s="1650" t="s">
        <v>479</v>
      </c>
      <c r="G101" s="1650" t="s">
        <v>882</v>
      </c>
      <c r="H101" s="1651"/>
      <c r="I101" s="1651"/>
      <c r="J101" s="1650" t="s">
        <v>882</v>
      </c>
      <c r="K101" s="1650" t="s">
        <v>883</v>
      </c>
      <c r="L101" s="1650" t="s">
        <v>884</v>
      </c>
      <c r="M101" s="1650" t="s">
        <v>885</v>
      </c>
      <c r="N101" s="1650" t="s">
        <v>1203</v>
      </c>
      <c r="O101" s="1652">
        <v>46216.666666666664</v>
      </c>
      <c r="P101" s="1652" t="str">
        <f>IFERROR(__xludf.DUMMYFUNCTION("IFERROR(
  TEXT(
    DATE(
      INDEX(SPLIT(O101,"" ""),3),
      VLOOKUP(INDEX(SPLIT(O101,"" ""),1),{""jan."",1;""Feb"",2;""mar."",3;""Apr"",4;""May"",5;""jun."",6;""jul."",7;""Aug"",8;""Sep"",9;""Oct"",10;""nov."",11;""Dec"",12},2,FALSE),
      INDEX(S"&amp;"PLIT(O101,"" ""),2)
    ),
    ""dd/mm/yyyy""
  ),
"""")"),"13/07/2026")</f>
        <v>13/07/2026</v>
      </c>
    </row>
    <row r="102">
      <c r="A102" s="1649" t="s">
        <v>1204</v>
      </c>
      <c r="B102" s="1649" t="s">
        <v>1205</v>
      </c>
      <c r="C102" s="1653"/>
      <c r="D102" s="1653"/>
      <c r="E102" s="1651"/>
      <c r="F102" s="1650" t="s">
        <v>480</v>
      </c>
      <c r="G102" s="1650" t="s">
        <v>882</v>
      </c>
      <c r="H102" s="1651"/>
      <c r="I102" s="1651"/>
      <c r="J102" s="1650" t="s">
        <v>882</v>
      </c>
      <c r="K102" s="1650" t="s">
        <v>883</v>
      </c>
      <c r="L102" s="1650" t="s">
        <v>884</v>
      </c>
      <c r="M102" s="1650" t="s">
        <v>885</v>
      </c>
      <c r="N102" s="1650" t="s">
        <v>1159</v>
      </c>
      <c r="O102" s="1652">
        <v>46211.575694444444</v>
      </c>
      <c r="P102" s="1652" t="str">
        <f>IFERROR(__xludf.DUMMYFUNCTION("IFERROR(
  TEXT(
    DATE(
      INDEX(SPLIT(O102,"" ""),3),
      VLOOKUP(INDEX(SPLIT(O102,"" ""),1),{""jan."",1;""Feb"",2;""mar."",3;""Apr"",4;""May"",5;""jun."",6;""jul."",7;""Aug"",8;""Sep"",9;""Oct"",10;""nov."",11;""Dec"",12},2,FALSE),
      INDEX(S"&amp;"PLIT(O102,"" ""),2)
    ),
    ""dd/mm/yyyy""
  ),
"""")"),"08/07/2026")</f>
        <v>08/07/2026</v>
      </c>
    </row>
    <row r="103">
      <c r="A103" s="1649" t="s">
        <v>1206</v>
      </c>
      <c r="B103" s="1649" t="s">
        <v>1207</v>
      </c>
      <c r="C103" s="1653"/>
      <c r="D103" s="1653"/>
      <c r="E103" s="1651"/>
      <c r="F103" s="1650" t="s">
        <v>479</v>
      </c>
      <c r="G103" s="1650" t="s">
        <v>882</v>
      </c>
      <c r="H103" s="1651"/>
      <c r="I103" s="1651"/>
      <c r="J103" s="1650" t="s">
        <v>882</v>
      </c>
      <c r="K103" s="1650" t="s">
        <v>883</v>
      </c>
      <c r="L103" s="1650" t="s">
        <v>884</v>
      </c>
      <c r="M103" s="1650" t="s">
        <v>885</v>
      </c>
      <c r="N103" s="1650" t="s">
        <v>1208</v>
      </c>
      <c r="O103" s="1652">
        <v>46216.924305555556</v>
      </c>
      <c r="P103" s="1652" t="str">
        <f>IFERROR(__xludf.DUMMYFUNCTION("IFERROR(
  TEXT(
    DATE(
      INDEX(SPLIT(O103,"" ""),3),
      VLOOKUP(INDEX(SPLIT(O103,"" ""),1),{""jan."",1;""Feb"",2;""mar."",3;""Apr"",4;""May"",5;""jun."",6;""jul."",7;""Aug"",8;""Sep"",9;""Oct"",10;""nov."",11;""Dec"",12},2,FALSE),
      INDEX(S"&amp;"PLIT(O103,"" ""),2)
    ),
    ""dd/mm/yyyy""
  ),
"""")"),"13/07/2026")</f>
        <v>13/07/2026</v>
      </c>
    </row>
    <row r="104">
      <c r="A104" s="1649" t="s">
        <v>1209</v>
      </c>
      <c r="B104" s="1649" t="s">
        <v>1210</v>
      </c>
      <c r="C104" s="1653"/>
      <c r="D104" s="1653"/>
      <c r="E104" s="1651"/>
      <c r="F104" s="1650" t="s">
        <v>596</v>
      </c>
      <c r="G104" s="1650" t="s">
        <v>882</v>
      </c>
      <c r="H104" s="1651"/>
      <c r="I104" s="1651"/>
      <c r="J104" s="1650" t="s">
        <v>882</v>
      </c>
      <c r="K104" s="1650" t="s">
        <v>883</v>
      </c>
      <c r="L104" s="1650" t="s">
        <v>884</v>
      </c>
      <c r="M104" s="1650" t="s">
        <v>885</v>
      </c>
      <c r="N104" s="1650" t="s">
        <v>1211</v>
      </c>
      <c r="O104" s="1652">
        <v>46216.52916666667</v>
      </c>
      <c r="P104" s="1652" t="str">
        <f>IFERROR(__xludf.DUMMYFUNCTION("IFERROR(
  TEXT(
    DATE(
      INDEX(SPLIT(O104,"" ""),3),
      VLOOKUP(INDEX(SPLIT(O104,"" ""),1),{""jan."",1;""Feb"",2;""mar."",3;""Apr"",4;""May"",5;""jun."",6;""jul."",7;""Aug"",8;""Sep"",9;""Oct"",10;""nov."",11;""Dec"",12},2,FALSE),
      INDEX(S"&amp;"PLIT(O104,"" ""),2)
    ),
    ""dd/mm/yyyy""
  ),
"""")"),"13/07/2026")</f>
        <v>13/07/2026</v>
      </c>
    </row>
    <row r="105">
      <c r="A105" s="1649" t="s">
        <v>1212</v>
      </c>
      <c r="B105" s="1649" t="s">
        <v>1213</v>
      </c>
      <c r="C105" s="1653"/>
      <c r="D105" s="1653"/>
      <c r="E105" s="1651"/>
      <c r="F105" s="1650" t="s">
        <v>596</v>
      </c>
      <c r="G105" s="1650" t="s">
        <v>882</v>
      </c>
      <c r="H105" s="1651"/>
      <c r="I105" s="1651"/>
      <c r="J105" s="1650" t="s">
        <v>882</v>
      </c>
      <c r="K105" s="1650" t="s">
        <v>883</v>
      </c>
      <c r="L105" s="1650" t="s">
        <v>884</v>
      </c>
      <c r="M105" s="1650" t="s">
        <v>885</v>
      </c>
      <c r="N105" s="1650" t="s">
        <v>1214</v>
      </c>
      <c r="O105" s="1652">
        <v>46196.481944444444</v>
      </c>
      <c r="P105" s="1652" t="str">
        <f>IFERROR(__xludf.DUMMYFUNCTION("IFERROR(
  TEXT(
    DATE(
      INDEX(SPLIT(O105,"" ""),3),
      VLOOKUP(INDEX(SPLIT(O105,"" ""),1),{""jan."",1;""Feb"",2;""mar."",3;""Apr"",4;""May"",5;""jun."",6;""jul."",7;""Aug"",8;""Sep"",9;""Oct"",10;""nov."",11;""Dec"",12},2,FALSE),
      INDEX(S"&amp;"PLIT(O105,"" ""),2)
    ),
    ""dd/mm/yyyy""
  ),
"""")"),"23/06/2026")</f>
        <v>23/06/2026</v>
      </c>
    </row>
    <row r="106">
      <c r="A106" s="1649" t="s">
        <v>1215</v>
      </c>
      <c r="B106" s="1649" t="s">
        <v>1216</v>
      </c>
      <c r="C106" s="1653"/>
      <c r="D106" s="1653"/>
      <c r="E106" s="1651"/>
      <c r="F106" s="1650" t="s">
        <v>596</v>
      </c>
      <c r="G106" s="1650" t="s">
        <v>882</v>
      </c>
      <c r="H106" s="1651"/>
      <c r="I106" s="1651"/>
      <c r="J106" s="1650" t="s">
        <v>882</v>
      </c>
      <c r="K106" s="1650" t="s">
        <v>883</v>
      </c>
      <c r="L106" s="1650" t="s">
        <v>884</v>
      </c>
      <c r="M106" s="1650" t="s">
        <v>885</v>
      </c>
      <c r="N106" s="1650" t="s">
        <v>1184</v>
      </c>
      <c r="O106" s="1652">
        <v>46176.774305555555</v>
      </c>
      <c r="P106" s="1652" t="str">
        <f>IFERROR(__xludf.DUMMYFUNCTION("IFERROR(
  TEXT(
    DATE(
      INDEX(SPLIT(O106,"" ""),3),
      VLOOKUP(INDEX(SPLIT(O106,"" ""),1),{""jan."",1;""Feb"",2;""mar."",3;""Apr"",4;""May"",5;""jun."",6;""jul."",7;""Aug"",8;""Sep"",9;""Oct"",10;""nov."",11;""Dec"",12},2,FALSE),
      INDEX(S"&amp;"PLIT(O106,"" ""),2)
    ),
    ""dd/mm/yyyy""
  ),
"""")"),"03/06/2026")</f>
        <v>03/06/2026</v>
      </c>
    </row>
    <row r="107">
      <c r="A107" s="1649" t="s">
        <v>1217</v>
      </c>
      <c r="B107" s="1649" t="s">
        <v>1218</v>
      </c>
      <c r="C107" s="1653"/>
      <c r="D107" s="1653"/>
      <c r="E107" s="1651"/>
      <c r="F107" s="1650" t="s">
        <v>596</v>
      </c>
      <c r="G107" s="1650" t="s">
        <v>882</v>
      </c>
      <c r="H107" s="1651"/>
      <c r="I107" s="1651"/>
      <c r="J107" s="1650" t="s">
        <v>882</v>
      </c>
      <c r="K107" s="1650" t="s">
        <v>883</v>
      </c>
      <c r="L107" s="1650" t="s">
        <v>884</v>
      </c>
      <c r="M107" s="1650" t="s">
        <v>885</v>
      </c>
      <c r="N107" s="1650" t="s">
        <v>1219</v>
      </c>
      <c r="O107" s="1652">
        <v>46174.67013888889</v>
      </c>
      <c r="P107" s="1652" t="str">
        <f>IFERROR(__xludf.DUMMYFUNCTION("IFERROR(
  TEXT(
    DATE(
      INDEX(SPLIT(O107,"" ""),3),
      VLOOKUP(INDEX(SPLIT(O107,"" ""),1),{""jan."",1;""Feb"",2;""mar."",3;""Apr"",4;""May"",5;""jun."",6;""jul."",7;""Aug"",8;""Sep"",9;""Oct"",10;""nov."",11;""Dec"",12},2,FALSE),
      INDEX(S"&amp;"PLIT(O107,"" ""),2)
    ),
    ""dd/mm/yyyy""
  ),
"""")"),"01/06/2026")</f>
        <v>01/06/2026</v>
      </c>
    </row>
    <row r="108">
      <c r="A108" s="1649" t="s">
        <v>1220</v>
      </c>
      <c r="B108" s="1649" t="s">
        <v>1221</v>
      </c>
      <c r="C108" s="1653"/>
      <c r="D108" s="1653"/>
      <c r="E108" s="1651"/>
      <c r="F108" s="1650" t="s">
        <v>596</v>
      </c>
      <c r="G108" s="1650" t="s">
        <v>882</v>
      </c>
      <c r="H108" s="1651"/>
      <c r="I108" s="1651"/>
      <c r="J108" s="1650" t="s">
        <v>882</v>
      </c>
      <c r="K108" s="1650" t="s">
        <v>883</v>
      </c>
      <c r="L108" s="1650" t="s">
        <v>884</v>
      </c>
      <c r="M108" s="1650" t="s">
        <v>885</v>
      </c>
      <c r="N108" s="1650" t="s">
        <v>1222</v>
      </c>
      <c r="O108" s="1652">
        <v>46216.64861111111</v>
      </c>
      <c r="P108" s="1652" t="str">
        <f>IFERROR(__xludf.DUMMYFUNCTION("IFERROR(
  TEXT(
    DATE(
      INDEX(SPLIT(O108,"" ""),3),
      VLOOKUP(INDEX(SPLIT(O108,"" ""),1),{""jan."",1;""Feb"",2;""mar."",3;""Apr"",4;""May"",5;""jun."",6;""jul."",7;""Aug"",8;""Sep"",9;""Oct"",10;""nov."",11;""Dec"",12},2,FALSE),
      INDEX(S"&amp;"PLIT(O108,"" ""),2)
    ),
    ""dd/mm/yyyy""
  ),
"""")"),"13/07/2026")</f>
        <v>13/07/2026</v>
      </c>
    </row>
    <row r="109">
      <c r="A109" s="1649" t="s">
        <v>1223</v>
      </c>
      <c r="B109" s="1649" t="s">
        <v>1224</v>
      </c>
      <c r="C109" s="1653"/>
      <c r="D109" s="1653"/>
      <c r="E109" s="1651"/>
      <c r="F109" s="1650" t="s">
        <v>479</v>
      </c>
      <c r="G109" s="1650" t="s">
        <v>882</v>
      </c>
      <c r="H109" s="1651"/>
      <c r="I109" s="1651"/>
      <c r="J109" s="1650" t="s">
        <v>882</v>
      </c>
      <c r="K109" s="1650" t="s">
        <v>883</v>
      </c>
      <c r="L109" s="1650" t="s">
        <v>884</v>
      </c>
      <c r="M109" s="1650" t="s">
        <v>885</v>
      </c>
      <c r="N109" s="1650" t="s">
        <v>1225</v>
      </c>
      <c r="O109" s="1652">
        <v>46211.70138888889</v>
      </c>
      <c r="P109" s="1652" t="str">
        <f>IFERROR(__xludf.DUMMYFUNCTION("IFERROR(
  TEXT(
    DATE(
      INDEX(SPLIT(O109,"" ""),3),
      VLOOKUP(INDEX(SPLIT(O109,"" ""),1),{""jan."",1;""Feb"",2;""mar."",3;""Apr"",4;""May"",5;""jun."",6;""jul."",7;""Aug"",8;""Sep"",9;""Oct"",10;""nov."",11;""Dec"",12},2,FALSE),
      INDEX(S"&amp;"PLIT(O109,"" ""),2)
    ),
    ""dd/mm/yyyy""
  ),
"""")"),"08/07/2026")</f>
        <v>08/07/2026</v>
      </c>
    </row>
    <row r="110">
      <c r="A110" s="1649" t="s">
        <v>1226</v>
      </c>
      <c r="B110" s="1649" t="s">
        <v>1227</v>
      </c>
      <c r="C110" s="1653"/>
      <c r="D110" s="1653"/>
      <c r="E110" s="1651"/>
      <c r="F110" s="1650" t="s">
        <v>479</v>
      </c>
      <c r="G110" s="1650" t="s">
        <v>882</v>
      </c>
      <c r="H110" s="1651"/>
      <c r="I110" s="1651"/>
      <c r="J110" s="1650" t="s">
        <v>882</v>
      </c>
      <c r="K110" s="1650" t="s">
        <v>883</v>
      </c>
      <c r="L110" s="1650" t="s">
        <v>884</v>
      </c>
      <c r="M110" s="1650" t="s">
        <v>885</v>
      </c>
      <c r="N110" s="1650" t="s">
        <v>1228</v>
      </c>
      <c r="O110" s="1652">
        <v>46213.66388888889</v>
      </c>
      <c r="P110" s="1652" t="str">
        <f>IFERROR(__xludf.DUMMYFUNCTION("IFERROR(
  TEXT(
    DATE(
      INDEX(SPLIT(O110,"" ""),3),
      VLOOKUP(INDEX(SPLIT(O110,"" ""),1),{""jan."",1;""Feb"",2;""mar."",3;""Apr"",4;""May"",5;""jun."",6;""jul."",7;""Aug"",8;""Sep"",9;""Oct"",10;""nov."",11;""Dec"",12},2,FALSE),
      INDEX(S"&amp;"PLIT(O110,"" ""),2)
    ),
    ""dd/mm/yyyy""
  ),
"""")"),"10/07/2026")</f>
        <v>10/07/2026</v>
      </c>
    </row>
    <row r="111">
      <c r="A111" s="1649" t="s">
        <v>1229</v>
      </c>
      <c r="B111" s="1649" t="s">
        <v>1230</v>
      </c>
      <c r="C111" s="1653"/>
      <c r="D111" s="1653"/>
      <c r="E111" s="1651"/>
      <c r="F111" s="1650" t="s">
        <v>480</v>
      </c>
      <c r="G111" s="1650" t="s">
        <v>882</v>
      </c>
      <c r="H111" s="1651"/>
      <c r="I111" s="1651"/>
      <c r="J111" s="1650" t="s">
        <v>882</v>
      </c>
      <c r="K111" s="1650" t="s">
        <v>883</v>
      </c>
      <c r="L111" s="1650" t="s">
        <v>884</v>
      </c>
      <c r="M111" s="1650" t="s">
        <v>885</v>
      </c>
      <c r="N111" s="1650" t="s">
        <v>1231</v>
      </c>
      <c r="O111" s="1652">
        <v>46206.67013888889</v>
      </c>
      <c r="P111" s="1652" t="str">
        <f>IFERROR(__xludf.DUMMYFUNCTION("IFERROR(
  TEXT(
    DATE(
      INDEX(SPLIT(O111,"" ""),3),
      VLOOKUP(INDEX(SPLIT(O111,"" ""),1),{""jan."",1;""Feb"",2;""mar."",3;""Apr"",4;""May"",5;""jun."",6;""jul."",7;""Aug"",8;""Sep"",9;""Oct"",10;""nov."",11;""Dec"",12},2,FALSE),
      INDEX(S"&amp;"PLIT(O111,"" ""),2)
    ),
    ""dd/mm/yyyy""
  ),
"""")"),"03/07/2026")</f>
        <v>03/07/2026</v>
      </c>
    </row>
    <row r="112">
      <c r="A112" s="1649" t="s">
        <v>1232</v>
      </c>
      <c r="B112" s="1649" t="s">
        <v>1233</v>
      </c>
      <c r="C112" s="1653"/>
      <c r="D112" s="1653"/>
      <c r="E112" s="1651"/>
      <c r="F112" s="1650" t="s">
        <v>480</v>
      </c>
      <c r="G112" s="1650" t="s">
        <v>882</v>
      </c>
      <c r="H112" s="1651"/>
      <c r="I112" s="1651"/>
      <c r="J112" s="1650" t="s">
        <v>882</v>
      </c>
      <c r="K112" s="1650" t="s">
        <v>883</v>
      </c>
      <c r="L112" s="1650" t="s">
        <v>884</v>
      </c>
      <c r="M112" s="1650" t="s">
        <v>885</v>
      </c>
      <c r="N112" s="1650" t="s">
        <v>1234</v>
      </c>
      <c r="O112" s="1652">
        <v>46216.52916666667</v>
      </c>
      <c r="P112" s="1652" t="str">
        <f>IFERROR(__xludf.DUMMYFUNCTION("IFERROR(
  TEXT(
    DATE(
      INDEX(SPLIT(O112,"" ""),3),
      VLOOKUP(INDEX(SPLIT(O112,"" ""),1),{""jan."",1;""Feb"",2;""mar."",3;""Apr"",4;""May"",5;""jun."",6;""jul."",7;""Aug"",8;""Sep"",9;""Oct"",10;""nov."",11;""Dec"",12},2,FALSE),
      INDEX(S"&amp;"PLIT(O112,"" ""),2)
    ),
    ""dd/mm/yyyy""
  ),
"""")"),"13/07/2026")</f>
        <v>13/07/2026</v>
      </c>
    </row>
    <row r="113">
      <c r="A113" s="1649" t="s">
        <v>1235</v>
      </c>
      <c r="B113" s="1649" t="s">
        <v>1236</v>
      </c>
      <c r="C113" s="1653"/>
      <c r="D113" s="1653"/>
      <c r="E113" s="1651"/>
      <c r="F113" s="1650" t="s">
        <v>480</v>
      </c>
      <c r="G113" s="1650" t="s">
        <v>882</v>
      </c>
      <c r="H113" s="1651"/>
      <c r="I113" s="1651"/>
      <c r="J113" s="1650" t="s">
        <v>882</v>
      </c>
      <c r="K113" s="1650" t="s">
        <v>883</v>
      </c>
      <c r="L113" s="1650" t="s">
        <v>884</v>
      </c>
      <c r="M113" s="1650" t="s">
        <v>885</v>
      </c>
      <c r="N113" s="1650" t="s">
        <v>1237</v>
      </c>
      <c r="O113" s="1652">
        <v>46210.396527777775</v>
      </c>
      <c r="P113" s="1652" t="str">
        <f>IFERROR(__xludf.DUMMYFUNCTION("IFERROR(
  TEXT(
    DATE(
      INDEX(SPLIT(O113,"" ""),3),
      VLOOKUP(INDEX(SPLIT(O113,"" ""),1),{""jan."",1;""Feb"",2;""mar."",3;""Apr"",4;""May"",5;""jun."",6;""jul."",7;""Aug"",8;""Sep"",9;""Oct"",10;""nov."",11;""Dec"",12},2,FALSE),
      INDEX(S"&amp;"PLIT(O113,"" ""),2)
    ),
    ""dd/mm/yyyy""
  ),
"""")"),"07/07/2026")</f>
        <v>07/07/2026</v>
      </c>
    </row>
    <row r="114">
      <c r="A114" s="1649" t="s">
        <v>1238</v>
      </c>
      <c r="B114" s="1649" t="s">
        <v>1239</v>
      </c>
      <c r="C114" s="1653"/>
      <c r="D114" s="1653"/>
      <c r="E114" s="1651"/>
      <c r="F114" s="1650" t="s">
        <v>480</v>
      </c>
      <c r="G114" s="1650" t="s">
        <v>882</v>
      </c>
      <c r="H114" s="1651"/>
      <c r="I114" s="1651"/>
      <c r="J114" s="1650" t="s">
        <v>882</v>
      </c>
      <c r="K114" s="1650" t="s">
        <v>883</v>
      </c>
      <c r="L114" s="1650" t="s">
        <v>884</v>
      </c>
      <c r="M114" s="1650" t="s">
        <v>885</v>
      </c>
      <c r="N114" s="1650" t="s">
        <v>1240</v>
      </c>
      <c r="O114" s="1652">
        <v>46202.89375</v>
      </c>
      <c r="P114" s="1652" t="str">
        <f>IFERROR(__xludf.DUMMYFUNCTION("IFERROR(
  TEXT(
    DATE(
      INDEX(SPLIT(O114,"" ""),3),
      VLOOKUP(INDEX(SPLIT(O114,"" ""),1),{""jan."",1;""Feb"",2;""mar."",3;""Apr"",4;""May"",5;""jun."",6;""jul."",7;""Aug"",8;""Sep"",9;""Oct"",10;""nov."",11;""Dec"",12},2,FALSE),
      INDEX(S"&amp;"PLIT(O114,"" ""),2)
    ),
    ""dd/mm/yyyy""
  ),
"""")"),"29/06/2026")</f>
        <v>29/06/2026</v>
      </c>
    </row>
    <row r="115">
      <c r="A115" s="1649" t="s">
        <v>1241</v>
      </c>
      <c r="B115" s="1649" t="s">
        <v>1242</v>
      </c>
      <c r="C115" s="1653"/>
      <c r="D115" s="1653"/>
      <c r="E115" s="1651"/>
      <c r="F115" s="1650" t="s">
        <v>596</v>
      </c>
      <c r="G115" s="1650" t="s">
        <v>882</v>
      </c>
      <c r="H115" s="1651"/>
      <c r="I115" s="1651"/>
      <c r="J115" s="1650" t="s">
        <v>882</v>
      </c>
      <c r="K115" s="1650" t="s">
        <v>883</v>
      </c>
      <c r="L115" s="1650" t="s">
        <v>884</v>
      </c>
      <c r="M115" s="1650" t="s">
        <v>885</v>
      </c>
      <c r="N115" s="1650" t="s">
        <v>1243</v>
      </c>
      <c r="O115" s="1652">
        <v>46210.7125</v>
      </c>
      <c r="P115" s="1652" t="str">
        <f>IFERROR(__xludf.DUMMYFUNCTION("IFERROR(
  TEXT(
    DATE(
      INDEX(SPLIT(O115,"" ""),3),
      VLOOKUP(INDEX(SPLIT(O115,"" ""),1),{""jan."",1;""Feb"",2;""mar."",3;""Apr"",4;""May"",5;""jun."",6;""jul."",7;""Aug"",8;""Sep"",9;""Oct"",10;""nov."",11;""Dec"",12},2,FALSE),
      INDEX(S"&amp;"PLIT(O115,"" ""),2)
    ),
    ""dd/mm/yyyy""
  ),
"""")"),"07/07/2026")</f>
        <v>07/07/2026</v>
      </c>
    </row>
    <row r="116">
      <c r="A116" s="1649" t="s">
        <v>1244</v>
      </c>
      <c r="B116" s="1649" t="s">
        <v>1245</v>
      </c>
      <c r="C116" s="1650" t="s">
        <v>880</v>
      </c>
      <c r="D116" s="1650" t="s">
        <v>881</v>
      </c>
      <c r="E116" s="1651"/>
      <c r="F116" s="1650" t="s">
        <v>470</v>
      </c>
      <c r="G116" s="1650" t="s">
        <v>882</v>
      </c>
      <c r="H116" s="1651"/>
      <c r="I116" s="1651"/>
      <c r="J116" s="1650" t="s">
        <v>882</v>
      </c>
      <c r="K116" s="1650" t="s">
        <v>883</v>
      </c>
      <c r="L116" s="1650" t="s">
        <v>884</v>
      </c>
      <c r="M116" s="1650" t="s">
        <v>885</v>
      </c>
      <c r="N116" s="1650" t="s">
        <v>1246</v>
      </c>
      <c r="O116" s="1650" t="s">
        <v>1247</v>
      </c>
      <c r="P116" s="1652" t="str">
        <f>IFERROR(__xludf.DUMMYFUNCTION("IFERROR(
  TEXT(
    DATE(
      INDEX(SPLIT(O116,"" ""),3),
      VLOOKUP(INDEX(SPLIT(O116,"" ""),1),{""jan."",1;""Feb"",2;""mar."",3;""Apr"",4;""May"",5;""jun."",6;""jul."",7;""Aug"",8;""Sep"",9;""Oct"",10;""nov."",11;""Dec"",12},2,FALSE),
      INDEX(S"&amp;"PLIT(O116,"" ""),2)
    ),
    ""dd/mm/yyyy""
  ),
"""")"),"20/05/2026")</f>
        <v>20/05/2026</v>
      </c>
    </row>
    <row r="117">
      <c r="A117" s="1649" t="s">
        <v>1248</v>
      </c>
      <c r="B117" s="1649" t="s">
        <v>1249</v>
      </c>
      <c r="C117" s="1650" t="s">
        <v>880</v>
      </c>
      <c r="D117" s="1650" t="s">
        <v>881</v>
      </c>
      <c r="E117" s="1651"/>
      <c r="F117" s="1650" t="s">
        <v>470</v>
      </c>
      <c r="G117" s="1650" t="s">
        <v>882</v>
      </c>
      <c r="H117" s="1651"/>
      <c r="I117" s="1651"/>
      <c r="J117" s="1650" t="s">
        <v>882</v>
      </c>
      <c r="K117" s="1650" t="s">
        <v>883</v>
      </c>
      <c r="L117" s="1650" t="s">
        <v>884</v>
      </c>
      <c r="M117" s="1650" t="s">
        <v>885</v>
      </c>
      <c r="N117" s="1650" t="s">
        <v>1250</v>
      </c>
      <c r="O117" s="1650" t="s">
        <v>1251</v>
      </c>
      <c r="P117" s="1652" t="str">
        <f>IFERROR(__xludf.DUMMYFUNCTION("IFERROR(
  TEXT(
    DATE(
      INDEX(SPLIT(O117,"" ""),3),
      VLOOKUP(INDEX(SPLIT(O117,"" ""),1),{""jan."",1;""Feb"",2;""mar."",3;""Apr"",4;""May"",5;""jun."",6;""jul."",7;""Aug"",8;""Sep"",9;""Oct"",10;""nov."",11;""Dec"",12},2,FALSE),
      INDEX(S"&amp;"PLIT(O117,"" ""),2)
    ),
    ""dd/mm/yyyy""
  ),
"""")"),"20/05/2026")</f>
        <v>20/05/2026</v>
      </c>
    </row>
    <row r="118">
      <c r="A118" s="1649" t="s">
        <v>1252</v>
      </c>
      <c r="B118" s="1649" t="s">
        <v>1253</v>
      </c>
      <c r="C118" s="1650" t="s">
        <v>880</v>
      </c>
      <c r="D118" s="1650" t="s">
        <v>881</v>
      </c>
      <c r="E118" s="1651"/>
      <c r="F118" s="1650" t="s">
        <v>470</v>
      </c>
      <c r="G118" s="1650" t="s">
        <v>882</v>
      </c>
      <c r="H118" s="1651"/>
      <c r="I118" s="1651"/>
      <c r="J118" s="1650" t="s">
        <v>882</v>
      </c>
      <c r="K118" s="1650" t="s">
        <v>883</v>
      </c>
      <c r="L118" s="1650" t="s">
        <v>884</v>
      </c>
      <c r="M118" s="1650" t="s">
        <v>885</v>
      </c>
      <c r="N118" s="1650" t="s">
        <v>1254</v>
      </c>
      <c r="O118" s="1650" t="s">
        <v>1255</v>
      </c>
      <c r="P118" s="1652" t="str">
        <f>IFERROR(__xludf.DUMMYFUNCTION("IFERROR(
  TEXT(
    DATE(
      INDEX(SPLIT(O118,"" ""),3),
      VLOOKUP(INDEX(SPLIT(O118,"" ""),1),{""jan."",1;""Feb"",2;""mar."",3;""Apr"",4;""May"",5;""jun."",6;""jul."",7;""Aug"",8;""Sep"",9;""Oct"",10;""nov."",11;""Dec"",12},2,FALSE),
      INDEX(S"&amp;"PLIT(O118,"" ""),2)
    ),
    ""dd/mm/yyyy""
  ),
"""")"),"20/05/2026")</f>
        <v>20/05/2026</v>
      </c>
    </row>
    <row r="119">
      <c r="A119" s="1649" t="s">
        <v>1256</v>
      </c>
      <c r="B119" s="1649" t="s">
        <v>1257</v>
      </c>
      <c r="C119" s="1650" t="s">
        <v>880</v>
      </c>
      <c r="D119" s="1650" t="s">
        <v>881</v>
      </c>
      <c r="E119" s="1651"/>
      <c r="F119" s="1650" t="s">
        <v>470</v>
      </c>
      <c r="G119" s="1650" t="s">
        <v>882</v>
      </c>
      <c r="H119" s="1651"/>
      <c r="I119" s="1651"/>
      <c r="J119" s="1650" t="s">
        <v>882</v>
      </c>
      <c r="K119" s="1650" t="s">
        <v>883</v>
      </c>
      <c r="L119" s="1650" t="s">
        <v>884</v>
      </c>
      <c r="M119" s="1650" t="s">
        <v>885</v>
      </c>
      <c r="N119" s="1650" t="s">
        <v>1258</v>
      </c>
      <c r="O119" s="1650" t="s">
        <v>1259</v>
      </c>
      <c r="P119" s="1652" t="str">
        <f>IFERROR(__xludf.DUMMYFUNCTION("IFERROR(
  TEXT(
    DATE(
      INDEX(SPLIT(O119,"" ""),3),
      VLOOKUP(INDEX(SPLIT(O119,"" ""),1),{""jan."",1;""Feb"",2;""mar."",3;""Apr"",4;""May"",5;""jun."",6;""jul."",7;""Aug"",8;""Sep"",9;""Oct"",10;""nov."",11;""Dec"",12},2,FALSE),
      INDEX(S"&amp;"PLIT(O119,"" ""),2)
    ),
    ""dd/mm/yyyy""
  ),
"""")"),"20/05/2026")</f>
        <v>20/05/2026</v>
      </c>
    </row>
    <row r="120">
      <c r="A120" s="1649" t="s">
        <v>1260</v>
      </c>
      <c r="B120" s="1649" t="s">
        <v>1261</v>
      </c>
      <c r="C120" s="1650" t="s">
        <v>880</v>
      </c>
      <c r="D120" s="1650" t="s">
        <v>881</v>
      </c>
      <c r="E120" s="1651"/>
      <c r="F120" s="1650" t="s">
        <v>470</v>
      </c>
      <c r="G120" s="1650" t="s">
        <v>882</v>
      </c>
      <c r="H120" s="1651"/>
      <c r="I120" s="1651"/>
      <c r="J120" s="1650" t="s">
        <v>882</v>
      </c>
      <c r="K120" s="1650" t="s">
        <v>883</v>
      </c>
      <c r="L120" s="1650" t="s">
        <v>884</v>
      </c>
      <c r="M120" s="1650" t="s">
        <v>885</v>
      </c>
      <c r="N120" s="1650" t="s">
        <v>1262</v>
      </c>
      <c r="O120" s="1650" t="s">
        <v>1263</v>
      </c>
      <c r="P120" s="1652" t="str">
        <f>IFERROR(__xludf.DUMMYFUNCTION("IFERROR(
  TEXT(
    DATE(
      INDEX(SPLIT(O120,"" ""),3),
      VLOOKUP(INDEX(SPLIT(O120,"" ""),1),{""jan."",1;""Feb"",2;""mar."",3;""Apr"",4;""May"",5;""jun."",6;""jul."",7;""Aug"",8;""Sep"",9;""Oct"",10;""nov."",11;""Dec"",12},2,FALSE),
      INDEX(S"&amp;"PLIT(O120,"" ""),2)
    ),
    ""dd/mm/yyyy""
  ),
"""")"),"20/05/2026")</f>
        <v>20/05/2026</v>
      </c>
    </row>
    <row r="121">
      <c r="A121" s="1649" t="s">
        <v>1264</v>
      </c>
      <c r="B121" s="1649" t="s">
        <v>1265</v>
      </c>
      <c r="C121" s="1650" t="s">
        <v>880</v>
      </c>
      <c r="D121" s="1650" t="s">
        <v>881</v>
      </c>
      <c r="E121" s="1651"/>
      <c r="F121" s="1650" t="s">
        <v>470</v>
      </c>
      <c r="G121" s="1650" t="s">
        <v>882</v>
      </c>
      <c r="H121" s="1651"/>
      <c r="I121" s="1651"/>
      <c r="J121" s="1650" t="s">
        <v>882</v>
      </c>
      <c r="K121" s="1650" t="s">
        <v>883</v>
      </c>
      <c r="L121" s="1650" t="s">
        <v>884</v>
      </c>
      <c r="M121" s="1650" t="s">
        <v>885</v>
      </c>
      <c r="N121" s="1650" t="s">
        <v>1266</v>
      </c>
      <c r="O121" s="1650" t="s">
        <v>1267</v>
      </c>
      <c r="P121" s="1652" t="str">
        <f>IFERROR(__xludf.DUMMYFUNCTION("IFERROR(
  TEXT(
    DATE(
      INDEX(SPLIT(O121,"" ""),3),
      VLOOKUP(INDEX(SPLIT(O121,"" ""),1),{""jan."",1;""Feb"",2;""mar."",3;""Apr"",4;""May"",5;""jun."",6;""jul."",7;""Aug"",8;""Sep"",9;""Oct"",10;""nov."",11;""Dec"",12},2,FALSE),
      INDEX(S"&amp;"PLIT(O121,"" ""),2)
    ),
    ""dd/mm/yyyy""
  ),
"""")"),"20/05/2026")</f>
        <v>20/05/2026</v>
      </c>
    </row>
    <row r="122">
      <c r="A122" s="1649" t="s">
        <v>1268</v>
      </c>
      <c r="B122" s="1649" t="s">
        <v>1269</v>
      </c>
      <c r="C122" s="1650" t="s">
        <v>880</v>
      </c>
      <c r="D122" s="1650" t="s">
        <v>881</v>
      </c>
      <c r="E122" s="1651"/>
      <c r="F122" s="1650" t="s">
        <v>470</v>
      </c>
      <c r="G122" s="1650" t="s">
        <v>882</v>
      </c>
      <c r="H122" s="1651"/>
      <c r="I122" s="1651"/>
      <c r="J122" s="1650" t="s">
        <v>882</v>
      </c>
      <c r="K122" s="1650" t="s">
        <v>883</v>
      </c>
      <c r="L122" s="1650" t="s">
        <v>884</v>
      </c>
      <c r="M122" s="1650" t="s">
        <v>885</v>
      </c>
      <c r="N122" s="1650" t="s">
        <v>1270</v>
      </c>
      <c r="O122" s="1650" t="s">
        <v>1271</v>
      </c>
      <c r="P122" s="1652" t="str">
        <f>IFERROR(__xludf.DUMMYFUNCTION("IFERROR(
  TEXT(
    DATE(
      INDEX(SPLIT(O122,"" ""),3),
      VLOOKUP(INDEX(SPLIT(O122,"" ""),1),{""jan."",1;""Feb"",2;""mar."",3;""Apr"",4;""May"",5;""jun."",6;""jul."",7;""Aug"",8;""Sep"",9;""Oct"",10;""nov."",11;""Dec"",12},2,FALSE),
      INDEX(S"&amp;"PLIT(O122,"" ""),2)
    ),
    ""dd/mm/yyyy""
  ),
"""")"),"20/05/2026")</f>
        <v>20/05/2026</v>
      </c>
    </row>
    <row r="123">
      <c r="A123" s="1649" t="s">
        <v>1272</v>
      </c>
      <c r="B123" s="1649" t="s">
        <v>1273</v>
      </c>
      <c r="C123" s="1650" t="s">
        <v>880</v>
      </c>
      <c r="D123" s="1650" t="s">
        <v>881</v>
      </c>
      <c r="E123" s="1651"/>
      <c r="F123" s="1650" t="s">
        <v>470</v>
      </c>
      <c r="G123" s="1650" t="s">
        <v>882</v>
      </c>
      <c r="H123" s="1651"/>
      <c r="I123" s="1651"/>
      <c r="J123" s="1650" t="s">
        <v>882</v>
      </c>
      <c r="K123" s="1650" t="s">
        <v>883</v>
      </c>
      <c r="L123" s="1650" t="s">
        <v>884</v>
      </c>
      <c r="M123" s="1650" t="s">
        <v>885</v>
      </c>
      <c r="N123" s="1650" t="s">
        <v>1274</v>
      </c>
      <c r="O123" s="1650" t="s">
        <v>1275</v>
      </c>
      <c r="P123" s="1652" t="str">
        <f>IFERROR(__xludf.DUMMYFUNCTION("IFERROR(
  TEXT(
    DATE(
      INDEX(SPLIT(O123,"" ""),3),
      VLOOKUP(INDEX(SPLIT(O123,"" ""),1),{""jan."",1;""Feb"",2;""mar."",3;""Apr"",4;""May"",5;""jun."",6;""jul."",7;""Aug"",8;""Sep"",9;""Oct"",10;""nov."",11;""Dec"",12},2,FALSE),
      INDEX(S"&amp;"PLIT(O123,"" ""),2)
    ),
    ""dd/mm/yyyy""
  ),
"""")"),"20/05/2026")</f>
        <v>20/05/2026</v>
      </c>
    </row>
    <row r="124">
      <c r="A124" s="1649" t="s">
        <v>1276</v>
      </c>
      <c r="B124" s="1649" t="s">
        <v>1277</v>
      </c>
      <c r="C124" s="1650" t="s">
        <v>880</v>
      </c>
      <c r="D124" s="1650" t="s">
        <v>881</v>
      </c>
      <c r="E124" s="1651"/>
      <c r="F124" s="1650" t="s">
        <v>470</v>
      </c>
      <c r="G124" s="1650" t="s">
        <v>882</v>
      </c>
      <c r="H124" s="1651"/>
      <c r="I124" s="1651"/>
      <c r="J124" s="1650" t="s">
        <v>882</v>
      </c>
      <c r="K124" s="1650" t="s">
        <v>883</v>
      </c>
      <c r="L124" s="1650" t="s">
        <v>884</v>
      </c>
      <c r="M124" s="1650" t="s">
        <v>885</v>
      </c>
      <c r="N124" s="1650" t="s">
        <v>1278</v>
      </c>
      <c r="O124" s="1650" t="s">
        <v>1279</v>
      </c>
      <c r="P124" s="1652" t="str">
        <f>IFERROR(__xludf.DUMMYFUNCTION("IFERROR(
  TEXT(
    DATE(
      INDEX(SPLIT(O124,"" ""),3),
      VLOOKUP(INDEX(SPLIT(O124,"" ""),1),{""jan."",1;""Feb"",2;""mar."",3;""Apr"",4;""May"",5;""jun."",6;""jul."",7;""Aug"",8;""Sep"",9;""Oct"",10;""nov."",11;""Dec"",12},2,FALSE),
      INDEX(S"&amp;"PLIT(O124,"" ""),2)
    ),
    ""dd/mm/yyyy""
  ),
"""")"),"20/05/2026")</f>
        <v>20/05/2026</v>
      </c>
    </row>
    <row r="125">
      <c r="A125" s="1649" t="s">
        <v>1280</v>
      </c>
      <c r="B125" s="1649" t="s">
        <v>1281</v>
      </c>
      <c r="C125" s="1653"/>
      <c r="D125" s="1653"/>
      <c r="E125" s="1651"/>
      <c r="F125" s="1650" t="s">
        <v>470</v>
      </c>
      <c r="G125" s="1650" t="s">
        <v>882</v>
      </c>
      <c r="H125" s="1651"/>
      <c r="I125" s="1651"/>
      <c r="J125" s="1650" t="s">
        <v>882</v>
      </c>
      <c r="K125" s="1650" t="s">
        <v>1282</v>
      </c>
      <c r="L125" s="1650" t="s">
        <v>882</v>
      </c>
      <c r="M125" s="1650" t="s">
        <v>882</v>
      </c>
      <c r="N125" s="1650" t="s">
        <v>1283</v>
      </c>
      <c r="O125" s="1650" t="s">
        <v>1284</v>
      </c>
      <c r="P125" s="1652" t="str">
        <f>IFERROR(__xludf.DUMMYFUNCTION("IFERROR(
  TEXT(
    DATE(
      INDEX(SPLIT(O125,"" ""),3),
      VLOOKUP(INDEX(SPLIT(O125,"" ""),1),{""jan."",1;""Feb"",2;""mar."",3;""Apr"",4;""May"",5;""jun."",6;""jul."",7;""Aug"",8;""Sep"",9;""Oct"",10;""nov."",11;""Dec"",12},2,FALSE),
      INDEX(S"&amp;"PLIT(O125,"" ""),2)
    ),
    ""dd/mm/yyyy""
  ),
"""")"),"21/05/2026")</f>
        <v>21/05/2026</v>
      </c>
    </row>
    <row r="126">
      <c r="A126" s="1649" t="s">
        <v>1285</v>
      </c>
      <c r="B126" s="1649" t="s">
        <v>1286</v>
      </c>
      <c r="C126" s="1653"/>
      <c r="D126" s="1653"/>
      <c r="E126" s="1651"/>
      <c r="F126" s="1650" t="s">
        <v>470</v>
      </c>
      <c r="G126" s="1650" t="s">
        <v>882</v>
      </c>
      <c r="H126" s="1651"/>
      <c r="I126" s="1651"/>
      <c r="J126" s="1650" t="s">
        <v>882</v>
      </c>
      <c r="K126" s="1650" t="s">
        <v>1282</v>
      </c>
      <c r="L126" s="1650" t="s">
        <v>884</v>
      </c>
      <c r="M126" s="1650" t="s">
        <v>885</v>
      </c>
      <c r="N126" s="1650" t="s">
        <v>1287</v>
      </c>
      <c r="O126" s="1650" t="s">
        <v>1284</v>
      </c>
      <c r="P126" s="1652" t="str">
        <f>IFERROR(__xludf.DUMMYFUNCTION("IFERROR(
  TEXT(
    DATE(
      INDEX(SPLIT(O126,"" ""),3),
      VLOOKUP(INDEX(SPLIT(O126,"" ""),1),{""jan."",1;""Feb"",2;""mar."",3;""Apr"",4;""May"",5;""jun."",6;""jul."",7;""Aug"",8;""Sep"",9;""Oct"",10;""nov."",11;""Dec"",12},2,FALSE),
      INDEX(S"&amp;"PLIT(O126,"" ""),2)
    ),
    ""dd/mm/yyyy""
  ),
"""")"),"21/05/2026")</f>
        <v>21/05/2026</v>
      </c>
    </row>
    <row r="127">
      <c r="A127" s="1649" t="s">
        <v>1288</v>
      </c>
      <c r="B127" s="1649" t="s">
        <v>1289</v>
      </c>
      <c r="C127" s="1653"/>
      <c r="D127" s="1653"/>
      <c r="E127" s="1651"/>
      <c r="F127" s="1650" t="s">
        <v>470</v>
      </c>
      <c r="G127" s="1650" t="s">
        <v>882</v>
      </c>
      <c r="H127" s="1651"/>
      <c r="I127" s="1651"/>
      <c r="J127" s="1650" t="s">
        <v>882</v>
      </c>
      <c r="K127" s="1650" t="s">
        <v>1282</v>
      </c>
      <c r="L127" s="1650" t="s">
        <v>884</v>
      </c>
      <c r="M127" s="1650" t="s">
        <v>885</v>
      </c>
      <c r="N127" s="1650" t="s">
        <v>1290</v>
      </c>
      <c r="O127" s="1650" t="s">
        <v>1284</v>
      </c>
      <c r="P127" s="1652" t="str">
        <f>IFERROR(__xludf.DUMMYFUNCTION("IFERROR(
  TEXT(
    DATE(
      INDEX(SPLIT(O127,"" ""),3),
      VLOOKUP(INDEX(SPLIT(O127,"" ""),1),{""jan."",1;""Feb"",2;""mar."",3;""Apr"",4;""May"",5;""jun."",6;""jul."",7;""Aug"",8;""Sep"",9;""Oct"",10;""nov."",11;""Dec"",12},2,FALSE),
      INDEX(S"&amp;"PLIT(O127,"" ""),2)
    ),
    ""dd/mm/yyyy""
  ),
"""")"),"21/05/2026")</f>
        <v>21/05/2026</v>
      </c>
    </row>
    <row r="128">
      <c r="A128" s="1649" t="s">
        <v>1291</v>
      </c>
      <c r="B128" s="1649" t="s">
        <v>1292</v>
      </c>
      <c r="C128" s="1653"/>
      <c r="D128" s="1653"/>
      <c r="E128" s="1651"/>
      <c r="F128" s="1650" t="s">
        <v>470</v>
      </c>
      <c r="G128" s="1650" t="s">
        <v>882</v>
      </c>
      <c r="H128" s="1651"/>
      <c r="I128" s="1651"/>
      <c r="J128" s="1650" t="s">
        <v>882</v>
      </c>
      <c r="K128" s="1650" t="s">
        <v>1282</v>
      </c>
      <c r="L128" s="1650" t="s">
        <v>884</v>
      </c>
      <c r="M128" s="1650" t="s">
        <v>885</v>
      </c>
      <c r="N128" s="1650" t="s">
        <v>1293</v>
      </c>
      <c r="O128" s="1650" t="s">
        <v>1284</v>
      </c>
      <c r="P128" s="1652" t="str">
        <f>IFERROR(__xludf.DUMMYFUNCTION("IFERROR(
  TEXT(
    DATE(
      INDEX(SPLIT(O128,"" ""),3),
      VLOOKUP(INDEX(SPLIT(O128,"" ""),1),{""jan."",1;""Feb"",2;""mar."",3;""Apr"",4;""May"",5;""jun."",6;""jul."",7;""Aug"",8;""Sep"",9;""Oct"",10;""nov."",11;""Dec"",12},2,FALSE),
      INDEX(S"&amp;"PLIT(O128,"" ""),2)
    ),
    ""dd/mm/yyyy""
  ),
"""")"),"21/05/2026")</f>
        <v>21/05/2026</v>
      </c>
    </row>
    <row r="129">
      <c r="A129" s="1649" t="s">
        <v>1294</v>
      </c>
      <c r="B129" s="1649" t="s">
        <v>1295</v>
      </c>
      <c r="C129" s="1653"/>
      <c r="D129" s="1653"/>
      <c r="E129" s="1651"/>
      <c r="F129" s="1650" t="s">
        <v>470</v>
      </c>
      <c r="G129" s="1650" t="s">
        <v>882</v>
      </c>
      <c r="H129" s="1651"/>
      <c r="I129" s="1651"/>
      <c r="J129" s="1650" t="s">
        <v>882</v>
      </c>
      <c r="K129" s="1650" t="s">
        <v>1282</v>
      </c>
      <c r="L129" s="1650" t="s">
        <v>884</v>
      </c>
      <c r="M129" s="1650" t="s">
        <v>885</v>
      </c>
      <c r="N129" s="1650" t="s">
        <v>1296</v>
      </c>
      <c r="O129" s="1650" t="s">
        <v>1284</v>
      </c>
      <c r="P129" s="1652" t="str">
        <f>IFERROR(__xludf.DUMMYFUNCTION("IFERROR(
  TEXT(
    DATE(
      INDEX(SPLIT(O129,"" ""),3),
      VLOOKUP(INDEX(SPLIT(O129,"" ""),1),{""jan."",1;""Feb"",2;""mar."",3;""Apr"",4;""May"",5;""jun."",6;""jul."",7;""Aug"",8;""Sep"",9;""Oct"",10;""nov."",11;""Dec"",12},2,FALSE),
      INDEX(S"&amp;"PLIT(O129,"" ""),2)
    ),
    ""dd/mm/yyyy""
  ),
"""")"),"21/05/2026")</f>
        <v>21/05/2026</v>
      </c>
    </row>
    <row r="130">
      <c r="A130" s="1649" t="s">
        <v>1297</v>
      </c>
      <c r="B130" s="1649" t="s">
        <v>1298</v>
      </c>
      <c r="C130" s="1653"/>
      <c r="D130" s="1653"/>
      <c r="E130" s="1651"/>
      <c r="F130" s="1650" t="s">
        <v>470</v>
      </c>
      <c r="G130" s="1650" t="s">
        <v>882</v>
      </c>
      <c r="H130" s="1651"/>
      <c r="I130" s="1651"/>
      <c r="J130" s="1650" t="s">
        <v>882</v>
      </c>
      <c r="K130" s="1650" t="s">
        <v>1282</v>
      </c>
      <c r="L130" s="1650" t="s">
        <v>884</v>
      </c>
      <c r="M130" s="1650" t="s">
        <v>885</v>
      </c>
      <c r="N130" s="1650" t="s">
        <v>1299</v>
      </c>
      <c r="O130" s="1650" t="s">
        <v>1284</v>
      </c>
      <c r="P130" s="1652" t="str">
        <f>IFERROR(__xludf.DUMMYFUNCTION("IFERROR(
  TEXT(
    DATE(
      INDEX(SPLIT(O130,"" ""),3),
      VLOOKUP(INDEX(SPLIT(O130,"" ""),1),{""jan."",1;""Feb"",2;""mar."",3;""Apr"",4;""May"",5;""jun."",6;""jul."",7;""Aug"",8;""Sep"",9;""Oct"",10;""nov."",11;""Dec"",12},2,FALSE),
      INDEX(S"&amp;"PLIT(O130,"" ""),2)
    ),
    ""dd/mm/yyyy""
  ),
"""")"),"21/05/2026")</f>
        <v>21/05/2026</v>
      </c>
    </row>
    <row r="131">
      <c r="A131" s="1649" t="s">
        <v>1300</v>
      </c>
      <c r="B131" s="1649" t="s">
        <v>1301</v>
      </c>
      <c r="C131" s="1653"/>
      <c r="D131" s="1653"/>
      <c r="E131" s="1651"/>
      <c r="F131" s="1650" t="s">
        <v>470</v>
      </c>
      <c r="G131" s="1650" t="s">
        <v>882</v>
      </c>
      <c r="H131" s="1651"/>
      <c r="I131" s="1651"/>
      <c r="J131" s="1650" t="s">
        <v>882</v>
      </c>
      <c r="K131" s="1650" t="s">
        <v>1282</v>
      </c>
      <c r="L131" s="1650" t="s">
        <v>884</v>
      </c>
      <c r="M131" s="1650" t="s">
        <v>885</v>
      </c>
      <c r="N131" s="1650" t="s">
        <v>1107</v>
      </c>
      <c r="O131" s="1650" t="s">
        <v>1284</v>
      </c>
      <c r="P131" s="1652" t="str">
        <f>IFERROR(__xludf.DUMMYFUNCTION("IFERROR(
  TEXT(
    DATE(
      INDEX(SPLIT(O131,"" ""),3),
      VLOOKUP(INDEX(SPLIT(O131,"" ""),1),{""jan."",1;""Feb"",2;""mar."",3;""Apr"",4;""May"",5;""jun."",6;""jul."",7;""Aug"",8;""Sep"",9;""Oct"",10;""nov."",11;""Dec"",12},2,FALSE),
      INDEX(S"&amp;"PLIT(O131,"" ""),2)
    ),
    ""dd/mm/yyyy""
  ),
"""")"),"21/05/2026")</f>
        <v>21/05/2026</v>
      </c>
    </row>
    <row r="132">
      <c r="A132" s="1649" t="s">
        <v>1302</v>
      </c>
      <c r="B132" s="1649" t="s">
        <v>1303</v>
      </c>
      <c r="C132" s="1653"/>
      <c r="D132" s="1653"/>
      <c r="E132" s="1651"/>
      <c r="F132" s="1650" t="s">
        <v>470</v>
      </c>
      <c r="G132" s="1650" t="s">
        <v>882</v>
      </c>
      <c r="H132" s="1651"/>
      <c r="I132" s="1651"/>
      <c r="J132" s="1650" t="s">
        <v>882</v>
      </c>
      <c r="K132" s="1650" t="s">
        <v>1282</v>
      </c>
      <c r="L132" s="1650" t="s">
        <v>884</v>
      </c>
      <c r="M132" s="1650" t="s">
        <v>885</v>
      </c>
      <c r="N132" s="1650" t="s">
        <v>1304</v>
      </c>
      <c r="O132" s="1650" t="s">
        <v>1284</v>
      </c>
      <c r="P132" s="1652" t="str">
        <f>IFERROR(__xludf.DUMMYFUNCTION("IFERROR(
  TEXT(
    DATE(
      INDEX(SPLIT(O132,"" ""),3),
      VLOOKUP(INDEX(SPLIT(O132,"" ""),1),{""jan."",1;""Feb"",2;""mar."",3;""Apr"",4;""May"",5;""jun."",6;""jul."",7;""Aug"",8;""Sep"",9;""Oct"",10;""nov."",11;""Dec"",12},2,FALSE),
      INDEX(S"&amp;"PLIT(O132,"" ""),2)
    ),
    ""dd/mm/yyyy""
  ),
"""")"),"21/05/2026")</f>
        <v>21/05/2026</v>
      </c>
    </row>
    <row r="133">
      <c r="A133" s="1649" t="s">
        <v>1305</v>
      </c>
      <c r="B133" s="1649" t="s">
        <v>1306</v>
      </c>
      <c r="C133" s="1653"/>
      <c r="D133" s="1653"/>
      <c r="E133" s="1651"/>
      <c r="F133" s="1650" t="s">
        <v>470</v>
      </c>
      <c r="G133" s="1650" t="s">
        <v>882</v>
      </c>
      <c r="H133" s="1651"/>
      <c r="I133" s="1651"/>
      <c r="J133" s="1650" t="s">
        <v>882</v>
      </c>
      <c r="K133" s="1650" t="s">
        <v>1282</v>
      </c>
      <c r="L133" s="1650" t="s">
        <v>884</v>
      </c>
      <c r="M133" s="1650" t="s">
        <v>885</v>
      </c>
      <c r="N133" s="1650" t="s">
        <v>1307</v>
      </c>
      <c r="O133" s="1650" t="s">
        <v>1284</v>
      </c>
      <c r="P133" s="1652" t="str">
        <f>IFERROR(__xludf.DUMMYFUNCTION("IFERROR(
  TEXT(
    DATE(
      INDEX(SPLIT(O133,"" ""),3),
      VLOOKUP(INDEX(SPLIT(O133,"" ""),1),{""jan."",1;""Feb"",2;""mar."",3;""Apr"",4;""May"",5;""jun."",6;""jul."",7;""Aug"",8;""Sep"",9;""Oct"",10;""nov."",11;""Dec"",12},2,FALSE),
      INDEX(S"&amp;"PLIT(O133,"" ""),2)
    ),
    ""dd/mm/yyyy""
  ),
"""")"),"21/05/2026")</f>
        <v>21/05/2026</v>
      </c>
    </row>
    <row r="134">
      <c r="A134" s="1649" t="s">
        <v>1308</v>
      </c>
      <c r="B134" s="1649" t="s">
        <v>1309</v>
      </c>
      <c r="C134" s="1653"/>
      <c r="D134" s="1653"/>
      <c r="E134" s="1651"/>
      <c r="F134" s="1650" t="s">
        <v>470</v>
      </c>
      <c r="G134" s="1650" t="s">
        <v>882</v>
      </c>
      <c r="H134" s="1651"/>
      <c r="I134" s="1651"/>
      <c r="J134" s="1650" t="s">
        <v>882</v>
      </c>
      <c r="K134" s="1650" t="s">
        <v>1282</v>
      </c>
      <c r="L134" s="1650" t="s">
        <v>884</v>
      </c>
      <c r="M134" s="1650" t="s">
        <v>885</v>
      </c>
      <c r="N134" s="1650" t="s">
        <v>1310</v>
      </c>
      <c r="O134" s="1650" t="s">
        <v>1284</v>
      </c>
      <c r="P134" s="1652" t="str">
        <f>IFERROR(__xludf.DUMMYFUNCTION("IFERROR(
  TEXT(
    DATE(
      INDEX(SPLIT(O134,"" ""),3),
      VLOOKUP(INDEX(SPLIT(O134,"" ""),1),{""jan."",1;""Feb"",2;""mar."",3;""Apr"",4;""May"",5;""jun."",6;""jul."",7;""Aug"",8;""Sep"",9;""Oct"",10;""nov."",11;""Dec"",12},2,FALSE),
      INDEX(S"&amp;"PLIT(O134,"" ""),2)
    ),
    ""dd/mm/yyyy""
  ),
"""")"),"21/05/2026")</f>
        <v>21/05/2026</v>
      </c>
    </row>
    <row r="135">
      <c r="A135" s="1649" t="s">
        <v>1311</v>
      </c>
      <c r="B135" s="1649" t="s">
        <v>1312</v>
      </c>
      <c r="C135" s="1650" t="s">
        <v>880</v>
      </c>
      <c r="D135" s="1650" t="s">
        <v>881</v>
      </c>
      <c r="E135" s="1651"/>
      <c r="F135" s="1650" t="s">
        <v>470</v>
      </c>
      <c r="G135" s="1650" t="s">
        <v>882</v>
      </c>
      <c r="H135" s="1651"/>
      <c r="I135" s="1651"/>
      <c r="J135" s="1650" t="s">
        <v>882</v>
      </c>
      <c r="K135" s="1650" t="s">
        <v>883</v>
      </c>
      <c r="L135" s="1650" t="s">
        <v>884</v>
      </c>
      <c r="M135" s="1650" t="s">
        <v>885</v>
      </c>
      <c r="N135" s="1650" t="s">
        <v>1313</v>
      </c>
      <c r="O135" s="1650" t="s">
        <v>1314</v>
      </c>
      <c r="P135" s="1652" t="str">
        <f>IFERROR(__xludf.DUMMYFUNCTION("IFERROR(
  TEXT(
    DATE(
      INDEX(SPLIT(O135,"" ""),3),
      VLOOKUP(INDEX(SPLIT(O135,"" ""),1),{""jan."",1;""Feb"",2;""mar."",3;""Apr"",4;""May"",5;""jun."",6;""jul."",7;""Aug"",8;""Sep"",9;""Oct"",10;""nov."",11;""Dec"",12},2,FALSE),
      INDEX(S"&amp;"PLIT(O135,"" ""),2)
    ),
    ""dd/mm/yyyy""
  ),
"""")"),"15/05/2026")</f>
        <v>15/05/2026</v>
      </c>
    </row>
    <row r="136">
      <c r="A136" s="1649" t="s">
        <v>1315</v>
      </c>
      <c r="B136" s="1649" t="s">
        <v>1316</v>
      </c>
      <c r="C136" s="1650" t="s">
        <v>880</v>
      </c>
      <c r="D136" s="1650" t="s">
        <v>881</v>
      </c>
      <c r="E136" s="1651"/>
      <c r="F136" s="1650" t="s">
        <v>470</v>
      </c>
      <c r="G136" s="1650" t="s">
        <v>882</v>
      </c>
      <c r="H136" s="1651"/>
      <c r="I136" s="1651"/>
      <c r="J136" s="1650" t="s">
        <v>882</v>
      </c>
      <c r="K136" s="1650" t="s">
        <v>883</v>
      </c>
      <c r="L136" s="1650" t="s">
        <v>884</v>
      </c>
      <c r="M136" s="1650" t="s">
        <v>885</v>
      </c>
      <c r="N136" s="1650" t="s">
        <v>1317</v>
      </c>
      <c r="O136" s="1650" t="s">
        <v>1318</v>
      </c>
      <c r="P136" s="1652" t="str">
        <f>IFERROR(__xludf.DUMMYFUNCTION("IFERROR(
  TEXT(
    DATE(
      INDEX(SPLIT(O136,"" ""),3),
      VLOOKUP(INDEX(SPLIT(O136,"" ""),1),{""jan."",1;""Feb"",2;""mar."",3;""Apr"",4;""May"",5;""jun."",6;""jul."",7;""Aug"",8;""Sep"",9;""Oct"",10;""nov."",11;""Dec"",12},2,FALSE),
      INDEX(S"&amp;"PLIT(O136,"" ""),2)
    ),
    ""dd/mm/yyyy""
  ),
"""")"),"15/05/2026")</f>
        <v>15/05/2026</v>
      </c>
    </row>
    <row r="137">
      <c r="A137" s="1649" t="s">
        <v>1319</v>
      </c>
      <c r="B137" s="1649" t="s">
        <v>1320</v>
      </c>
      <c r="C137" s="1650" t="s">
        <v>880</v>
      </c>
      <c r="D137" s="1650" t="s">
        <v>881</v>
      </c>
      <c r="E137" s="1651"/>
      <c r="F137" s="1650" t="s">
        <v>470</v>
      </c>
      <c r="G137" s="1650" t="s">
        <v>882</v>
      </c>
      <c r="H137" s="1651"/>
      <c r="I137" s="1651"/>
      <c r="J137" s="1650" t="s">
        <v>882</v>
      </c>
      <c r="K137" s="1650" t="s">
        <v>883</v>
      </c>
      <c r="L137" s="1650" t="s">
        <v>884</v>
      </c>
      <c r="M137" s="1650" t="s">
        <v>885</v>
      </c>
      <c r="N137" s="1650" t="s">
        <v>1112</v>
      </c>
      <c r="O137" s="1650" t="s">
        <v>1314</v>
      </c>
      <c r="P137" s="1652" t="str">
        <f>IFERROR(__xludf.DUMMYFUNCTION("IFERROR(
  TEXT(
    DATE(
      INDEX(SPLIT(O137,"" ""),3),
      VLOOKUP(INDEX(SPLIT(O137,"" ""),1),{""jan."",1;""Feb"",2;""mar."",3;""Apr"",4;""May"",5;""jun."",6;""jul."",7;""Aug"",8;""Sep"",9;""Oct"",10;""nov."",11;""Dec"",12},2,FALSE),
      INDEX(S"&amp;"PLIT(O137,"" ""),2)
    ),
    ""dd/mm/yyyy""
  ),
"""")"),"15/05/2026")</f>
        <v>15/05/2026</v>
      </c>
    </row>
    <row r="138">
      <c r="A138" s="1649" t="s">
        <v>1321</v>
      </c>
      <c r="B138" s="1649" t="s">
        <v>1322</v>
      </c>
      <c r="C138" s="1650" t="s">
        <v>880</v>
      </c>
      <c r="D138" s="1650" t="s">
        <v>881</v>
      </c>
      <c r="E138" s="1651"/>
      <c r="F138" s="1650" t="s">
        <v>470</v>
      </c>
      <c r="G138" s="1650" t="s">
        <v>882</v>
      </c>
      <c r="H138" s="1651"/>
      <c r="I138" s="1651"/>
      <c r="J138" s="1650" t="s">
        <v>882</v>
      </c>
      <c r="K138" s="1650" t="s">
        <v>883</v>
      </c>
      <c r="L138" s="1650" t="s">
        <v>884</v>
      </c>
      <c r="M138" s="1650" t="s">
        <v>885</v>
      </c>
      <c r="N138" s="1650" t="s">
        <v>1323</v>
      </c>
      <c r="O138" s="1650" t="s">
        <v>1314</v>
      </c>
      <c r="P138" s="1652" t="str">
        <f>IFERROR(__xludf.DUMMYFUNCTION("IFERROR(
  TEXT(
    DATE(
      INDEX(SPLIT(O138,"" ""),3),
      VLOOKUP(INDEX(SPLIT(O138,"" ""),1),{""jan."",1;""Feb"",2;""mar."",3;""Apr"",4;""May"",5;""jun."",6;""jul."",7;""Aug"",8;""Sep"",9;""Oct"",10;""nov."",11;""Dec"",12},2,FALSE),
      INDEX(S"&amp;"PLIT(O138,"" ""),2)
    ),
    ""dd/mm/yyyy""
  ),
"""")"),"15/05/2026")</f>
        <v>15/05/2026</v>
      </c>
    </row>
    <row r="139">
      <c r="A139" s="1649" t="s">
        <v>1324</v>
      </c>
      <c r="B139" s="1649" t="s">
        <v>1325</v>
      </c>
      <c r="C139" s="1650" t="s">
        <v>880</v>
      </c>
      <c r="D139" s="1650" t="s">
        <v>881</v>
      </c>
      <c r="E139" s="1651"/>
      <c r="F139" s="1650" t="s">
        <v>480</v>
      </c>
      <c r="G139" s="1650" t="s">
        <v>882</v>
      </c>
      <c r="H139" s="1651"/>
      <c r="I139" s="1651"/>
      <c r="J139" s="1650" t="s">
        <v>882</v>
      </c>
      <c r="K139" s="1650" t="s">
        <v>883</v>
      </c>
      <c r="L139" s="1650" t="s">
        <v>882</v>
      </c>
      <c r="M139" s="1650" t="s">
        <v>882</v>
      </c>
      <c r="N139" s="1650" t="s">
        <v>1326</v>
      </c>
      <c r="O139" s="1652">
        <v>46193.89166666667</v>
      </c>
      <c r="P139" s="1652" t="str">
        <f>IFERROR(__xludf.DUMMYFUNCTION("IFERROR(
  TEXT(
    DATE(
      INDEX(SPLIT(O139,"" ""),3),
      VLOOKUP(INDEX(SPLIT(O139,"" ""),1),{""jan."",1;""Feb"",2;""mar."",3;""Apr"",4;""May"",5;""jun."",6;""jul."",7;""Aug"",8;""Sep"",9;""Oct"",10;""nov."",11;""Dec"",12},2,FALSE),
      INDEX(S"&amp;"PLIT(O139,"" ""),2)
    ),
    ""dd/mm/yyyy""
  ),
"""")"),"20/06/2026")</f>
        <v>20/06/2026</v>
      </c>
    </row>
    <row r="140">
      <c r="A140" s="1649" t="s">
        <v>1327</v>
      </c>
      <c r="B140" s="1649" t="s">
        <v>1328</v>
      </c>
      <c r="C140" s="1650" t="s">
        <v>880</v>
      </c>
      <c r="D140" s="1650" t="s">
        <v>881</v>
      </c>
      <c r="E140" s="1651"/>
      <c r="F140" s="1650" t="s">
        <v>596</v>
      </c>
      <c r="G140" s="1650" t="s">
        <v>882</v>
      </c>
      <c r="H140" s="1651"/>
      <c r="I140" s="1651"/>
      <c r="J140" s="1650" t="s">
        <v>882</v>
      </c>
      <c r="K140" s="1650" t="s">
        <v>883</v>
      </c>
      <c r="L140" s="1650" t="s">
        <v>884</v>
      </c>
      <c r="M140" s="1650" t="s">
        <v>885</v>
      </c>
      <c r="N140" s="1650" t="s">
        <v>1329</v>
      </c>
      <c r="O140" s="1650" t="s">
        <v>1330</v>
      </c>
      <c r="P140" s="1652" t="str">
        <f>IFERROR(__xludf.DUMMYFUNCTION("IFERROR(
  TEXT(
    DATE(
      INDEX(SPLIT(O140,"" ""),3),
      VLOOKUP(INDEX(SPLIT(O140,"" ""),1),{""jan."",1;""Feb"",2;""mar."",3;""Apr"",4;""May"",5;""jun."",6;""jul."",7;""Aug"",8;""Sep"",9;""Oct"",10;""nov."",11;""Dec"",12},2,FALSE),
      INDEX(S"&amp;"PLIT(O140,"" ""),2)
    ),
    ""dd/mm/yyyy""
  ),
"""")"),"26/05/2026")</f>
        <v>26/05/2026</v>
      </c>
    </row>
    <row r="141">
      <c r="A141" s="1649" t="s">
        <v>1331</v>
      </c>
      <c r="B141" s="1649" t="s">
        <v>1332</v>
      </c>
      <c r="C141" s="1653"/>
      <c r="D141" s="1653"/>
      <c r="E141" s="1651"/>
      <c r="F141" s="1650" t="s">
        <v>470</v>
      </c>
      <c r="G141" s="1650" t="s">
        <v>882</v>
      </c>
      <c r="H141" s="1651"/>
      <c r="I141" s="1651"/>
      <c r="J141" s="1650" t="s">
        <v>882</v>
      </c>
      <c r="K141" s="1650" t="s">
        <v>883</v>
      </c>
      <c r="L141" s="1650" t="s">
        <v>884</v>
      </c>
      <c r="M141" s="1650" t="s">
        <v>885</v>
      </c>
      <c r="N141" s="1650" t="s">
        <v>1333</v>
      </c>
      <c r="O141" s="1650" t="s">
        <v>1334</v>
      </c>
      <c r="P141" s="1652" t="str">
        <f>IFERROR(__xludf.DUMMYFUNCTION("IFERROR(
  TEXT(
    DATE(
      INDEX(SPLIT(O141,"" ""),3),
      VLOOKUP(INDEX(SPLIT(O141,"" ""),1),{""jan."",1;""Feb"",2;""mar."",3;""Apr"",4;""May"",5;""jun."",6;""jul."",7;""Aug"",8;""Sep"",9;""Oct"",10;""nov."",11;""Dec"",12},2,FALSE),
      INDEX(S"&amp;"PLIT(O141,"" ""),2)
    ),
    ""dd/mm/yyyy""
  ),
"""")"),"15/05/2026")</f>
        <v>15/05/2026</v>
      </c>
    </row>
    <row r="142">
      <c r="A142" s="1649" t="s">
        <v>1335</v>
      </c>
      <c r="B142" s="1649" t="s">
        <v>1336</v>
      </c>
      <c r="C142" s="1653"/>
      <c r="D142" s="1653"/>
      <c r="E142" s="1651"/>
      <c r="F142" s="1650" t="s">
        <v>470</v>
      </c>
      <c r="G142" s="1650" t="s">
        <v>882</v>
      </c>
      <c r="H142" s="1651"/>
      <c r="I142" s="1651"/>
      <c r="J142" s="1650" t="s">
        <v>882</v>
      </c>
      <c r="K142" s="1650" t="s">
        <v>883</v>
      </c>
      <c r="L142" s="1650" t="s">
        <v>884</v>
      </c>
      <c r="M142" s="1650" t="s">
        <v>885</v>
      </c>
      <c r="N142" s="1650" t="s">
        <v>1337</v>
      </c>
      <c r="O142" s="1650" t="s">
        <v>1334</v>
      </c>
      <c r="P142" s="1652" t="str">
        <f>IFERROR(__xludf.DUMMYFUNCTION("IFERROR(
  TEXT(
    DATE(
      INDEX(SPLIT(O142,"" ""),3),
      VLOOKUP(INDEX(SPLIT(O142,"" ""),1),{""jan."",1;""Feb"",2;""mar."",3;""Apr"",4;""May"",5;""jun."",6;""jul."",7;""Aug"",8;""Sep"",9;""Oct"",10;""nov."",11;""Dec"",12},2,FALSE),
      INDEX(S"&amp;"PLIT(O142,"" ""),2)
    ),
    ""dd/mm/yyyy""
  ),
"""")"),"15/05/2026")</f>
        <v>15/05/2026</v>
      </c>
    </row>
    <row r="143">
      <c r="A143" s="1649" t="s">
        <v>1338</v>
      </c>
      <c r="B143" s="1649" t="s">
        <v>1339</v>
      </c>
      <c r="C143" s="1653"/>
      <c r="D143" s="1653"/>
      <c r="E143" s="1651"/>
      <c r="F143" s="1650" t="s">
        <v>470</v>
      </c>
      <c r="G143" s="1650" t="s">
        <v>882</v>
      </c>
      <c r="H143" s="1651"/>
      <c r="I143" s="1651"/>
      <c r="J143" s="1650" t="s">
        <v>882</v>
      </c>
      <c r="K143" s="1650" t="s">
        <v>883</v>
      </c>
      <c r="L143" s="1650" t="s">
        <v>884</v>
      </c>
      <c r="M143" s="1650" t="s">
        <v>885</v>
      </c>
      <c r="N143" s="1650" t="s">
        <v>1340</v>
      </c>
      <c r="O143" s="1650" t="s">
        <v>1334</v>
      </c>
      <c r="P143" s="1652" t="str">
        <f>IFERROR(__xludf.DUMMYFUNCTION("IFERROR(
  TEXT(
    DATE(
      INDEX(SPLIT(O143,"" ""),3),
      VLOOKUP(INDEX(SPLIT(O143,"" ""),1),{""jan."",1;""Feb"",2;""mar."",3;""Apr"",4;""May"",5;""jun."",6;""jul."",7;""Aug"",8;""Sep"",9;""Oct"",10;""nov."",11;""Dec"",12},2,FALSE),
      INDEX(S"&amp;"PLIT(O143,"" ""),2)
    ),
    ""dd/mm/yyyy""
  ),
"""")"),"15/05/2026")</f>
        <v>15/05/2026</v>
      </c>
    </row>
    <row r="144">
      <c r="A144" s="1649" t="s">
        <v>1341</v>
      </c>
      <c r="B144" s="1649" t="s">
        <v>1342</v>
      </c>
      <c r="C144" s="1653"/>
      <c r="D144" s="1653"/>
      <c r="E144" s="1651"/>
      <c r="F144" s="1650" t="s">
        <v>470</v>
      </c>
      <c r="G144" s="1650" t="s">
        <v>882</v>
      </c>
      <c r="H144" s="1651"/>
      <c r="I144" s="1651"/>
      <c r="J144" s="1650" t="s">
        <v>882</v>
      </c>
      <c r="K144" s="1650" t="s">
        <v>883</v>
      </c>
      <c r="L144" s="1650" t="s">
        <v>884</v>
      </c>
      <c r="M144" s="1650" t="s">
        <v>885</v>
      </c>
      <c r="N144" s="1650" t="s">
        <v>1159</v>
      </c>
      <c r="O144" s="1650" t="s">
        <v>1334</v>
      </c>
      <c r="P144" s="1652" t="str">
        <f>IFERROR(__xludf.DUMMYFUNCTION("IFERROR(
  TEXT(
    DATE(
      INDEX(SPLIT(O144,"" ""),3),
      VLOOKUP(INDEX(SPLIT(O144,"" ""),1),{""jan."",1;""Feb"",2;""mar."",3;""Apr"",4;""May"",5;""jun."",6;""jul."",7;""Aug"",8;""Sep"",9;""Oct"",10;""nov."",11;""Dec"",12},2,FALSE),
      INDEX(S"&amp;"PLIT(O144,"" ""),2)
    ),
    ""dd/mm/yyyy""
  ),
"""")"),"15/05/2026")</f>
        <v>15/05/2026</v>
      </c>
    </row>
    <row r="145">
      <c r="A145" s="1649" t="s">
        <v>1343</v>
      </c>
      <c r="B145" s="1649" t="s">
        <v>1344</v>
      </c>
      <c r="C145" s="1653"/>
      <c r="D145" s="1653"/>
      <c r="E145" s="1651"/>
      <c r="F145" s="1650" t="s">
        <v>480</v>
      </c>
      <c r="G145" s="1650" t="s">
        <v>882</v>
      </c>
      <c r="H145" s="1651"/>
      <c r="I145" s="1651"/>
      <c r="J145" s="1650" t="s">
        <v>882</v>
      </c>
      <c r="K145" s="1650" t="s">
        <v>883</v>
      </c>
      <c r="L145" s="1650" t="s">
        <v>884</v>
      </c>
      <c r="M145" s="1650" t="s">
        <v>885</v>
      </c>
      <c r="N145" s="1650" t="s">
        <v>1345</v>
      </c>
      <c r="O145" s="1652">
        <v>46193.822916666664</v>
      </c>
      <c r="P145" s="1652" t="str">
        <f>IFERROR(__xludf.DUMMYFUNCTION("IFERROR(
  TEXT(
    DATE(
      INDEX(SPLIT(O145,"" ""),3),
      VLOOKUP(INDEX(SPLIT(O145,"" ""),1),{""jan."",1;""Feb"",2;""mar."",3;""Apr"",4;""May"",5;""jun."",6;""jul."",7;""Aug"",8;""Sep"",9;""Oct"",10;""nov."",11;""Dec"",12},2,FALSE),
      INDEX(S"&amp;"PLIT(O145,"" ""),2)
    ),
    ""dd/mm/yyyy""
  ),
"""")"),"20/06/2026")</f>
        <v>20/06/2026</v>
      </c>
    </row>
    <row r="146">
      <c r="A146" s="1649" t="s">
        <v>1346</v>
      </c>
      <c r="B146" s="1649" t="s">
        <v>1347</v>
      </c>
      <c r="C146" s="1653"/>
      <c r="D146" s="1653"/>
      <c r="E146" s="1651"/>
      <c r="F146" s="1650" t="s">
        <v>596</v>
      </c>
      <c r="G146" s="1650" t="s">
        <v>882</v>
      </c>
      <c r="H146" s="1651"/>
      <c r="I146" s="1651"/>
      <c r="J146" s="1650" t="s">
        <v>882</v>
      </c>
      <c r="K146" s="1650" t="s">
        <v>883</v>
      </c>
      <c r="L146" s="1650" t="s">
        <v>884</v>
      </c>
      <c r="M146" s="1650" t="s">
        <v>885</v>
      </c>
      <c r="N146" s="1650" t="s">
        <v>1348</v>
      </c>
      <c r="O146" s="1650" t="s">
        <v>1349</v>
      </c>
      <c r="P146" s="1652" t="str">
        <f>IFERROR(__xludf.DUMMYFUNCTION("IFERROR(
  TEXT(
    DATE(
      INDEX(SPLIT(O146,"" ""),3),
      VLOOKUP(INDEX(SPLIT(O146,"" ""),1),{""jan."",1;""Feb"",2;""mar."",3;""Apr"",4;""May"",5;""jun."",6;""jul."",7;""Aug"",8;""Sep"",9;""Oct"",10;""nov."",11;""Dec"",12},2,FALSE),
      INDEX(S"&amp;"PLIT(O146,"" ""),2)
    ),
    ""dd/mm/yyyy""
  ),
"""")"),"26/05/2026")</f>
        <v>26/05/2026</v>
      </c>
    </row>
  </sheetData>
  <autoFilter ref="$A$1:$W$146">
    <sortState ref="A1:W146">
      <sortCondition descending="1" sortBy="cellColor" ref="B1:B146" dxfId="20"/>
    </sortState>
  </autoFilter>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s>
  <drawing r:id="rId29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34.25"/>
    <col customWidth="1" min="4" max="4" width="15.38"/>
    <col customWidth="1" min="5" max="5" width="11.5"/>
    <col customWidth="1" min="15" max="16" width="22.0"/>
  </cols>
  <sheetData>
    <row r="1">
      <c r="A1" s="1647" t="s">
        <v>862</v>
      </c>
      <c r="B1" s="1647" t="s">
        <v>863</v>
      </c>
      <c r="C1" s="1647" t="s">
        <v>864</v>
      </c>
      <c r="D1" s="1647" t="s">
        <v>865</v>
      </c>
      <c r="E1" s="1647" t="s">
        <v>866</v>
      </c>
      <c r="F1" s="1647" t="s">
        <v>867</v>
      </c>
      <c r="G1" s="1647" t="s">
        <v>868</v>
      </c>
      <c r="H1" s="1647" t="s">
        <v>869</v>
      </c>
      <c r="I1" s="1647" t="s">
        <v>870</v>
      </c>
      <c r="J1" s="1647" t="s">
        <v>871</v>
      </c>
      <c r="K1" s="1647" t="s">
        <v>872</v>
      </c>
      <c r="L1" s="1647" t="s">
        <v>873</v>
      </c>
      <c r="M1" s="1647" t="s">
        <v>874</v>
      </c>
      <c r="N1" s="1647" t="s">
        <v>875</v>
      </c>
      <c r="O1" s="1647" t="s">
        <v>876</v>
      </c>
      <c r="P1" s="1648" t="s">
        <v>877</v>
      </c>
    </row>
    <row r="2">
      <c r="A2" s="1649" t="s">
        <v>1350</v>
      </c>
      <c r="B2" s="1649" t="s">
        <v>1351</v>
      </c>
      <c r="C2" s="1651"/>
      <c r="D2" s="1651"/>
      <c r="E2" s="1651"/>
      <c r="F2" s="1650" t="s">
        <v>1352</v>
      </c>
      <c r="G2" s="1650" t="s">
        <v>882</v>
      </c>
      <c r="H2" s="1651"/>
      <c r="I2" s="1651"/>
      <c r="J2" s="1650" t="s">
        <v>882</v>
      </c>
      <c r="K2" s="1650" t="s">
        <v>883</v>
      </c>
      <c r="L2" s="1650" t="s">
        <v>884</v>
      </c>
      <c r="M2" s="1650" t="s">
        <v>885</v>
      </c>
      <c r="N2" s="1650" t="s">
        <v>1353</v>
      </c>
      <c r="O2" s="1650" t="s">
        <v>1354</v>
      </c>
      <c r="P2" s="1652" t="str">
        <f>IFERROR(__xludf.DUMMYFUNCTION("IFERROR(
  TEXT(
    DATE(
      INDEX(SPLIT(O2,"" ""),3),
      VLOOKUP(INDEX(SPLIT(O2,"" ""),1),{""jan."",1;""Feb"",2;""mar."",3;""Apr"",4;""May"",5;""jun."",6;""jul."",7;""Aug"",8;""Sep"",9;""Oct"",10;""nov."",11;""Dec"",12},2,FALSE),
      INDEX(SPLIT"&amp;"(O2,"" ""),2)
    ),
    ""dd/mm/yyyy""
  ),
"""")"),"10/04/2026")</f>
        <v>10/04/2026</v>
      </c>
    </row>
    <row r="3">
      <c r="A3" s="1649" t="s">
        <v>1355</v>
      </c>
      <c r="B3" s="1649" t="s">
        <v>1356</v>
      </c>
      <c r="C3" s="1651"/>
      <c r="D3" s="1651"/>
      <c r="E3" s="1651"/>
      <c r="F3" s="1650" t="s">
        <v>502</v>
      </c>
      <c r="G3" s="1650" t="s">
        <v>882</v>
      </c>
      <c r="H3" s="1651"/>
      <c r="I3" s="1651"/>
      <c r="J3" s="1650" t="s">
        <v>882</v>
      </c>
      <c r="K3" s="1650" t="s">
        <v>883</v>
      </c>
      <c r="L3" s="1650" t="s">
        <v>884</v>
      </c>
      <c r="M3" s="1650" t="s">
        <v>885</v>
      </c>
      <c r="N3" s="1650" t="s">
        <v>1357</v>
      </c>
      <c r="O3" s="1650" t="s">
        <v>1358</v>
      </c>
      <c r="P3" s="1652" t="str">
        <f>IFERROR(__xludf.DUMMYFUNCTION("IFERROR(
  TEXT(
    DATE(
      INDEX(SPLIT(O3,"" ""),3),
      VLOOKUP(INDEX(SPLIT(O3,"" ""),1),{""jan."",1;""Feb"",2;""mar."",3;""Apr"",4;""May"",5;""jun."",6;""jul."",7;""Aug"",8;""Sep"",9;""Oct"",10;""nov."",11;""Dec"",12},2,FALSE),
      INDEX(SPLIT"&amp;"(O3,"" ""),2)
    ),
    ""dd/mm/yyyy""
  ),
"""")"),"17/04/2026")</f>
        <v>17/04/2026</v>
      </c>
    </row>
    <row r="4">
      <c r="A4" s="1649" t="s">
        <v>1359</v>
      </c>
      <c r="B4" s="1649" t="s">
        <v>1360</v>
      </c>
      <c r="C4" s="1653"/>
      <c r="D4" s="1653"/>
      <c r="E4" s="1651"/>
      <c r="F4" s="1650" t="s">
        <v>508</v>
      </c>
      <c r="G4" s="1650" t="s">
        <v>882</v>
      </c>
      <c r="H4" s="1651"/>
      <c r="I4" s="1651"/>
      <c r="J4" s="1650" t="s">
        <v>882</v>
      </c>
      <c r="K4" s="1650" t="s">
        <v>883</v>
      </c>
      <c r="L4" s="1650" t="s">
        <v>884</v>
      </c>
      <c r="M4" s="1650" t="s">
        <v>885</v>
      </c>
      <c r="N4" s="1650" t="s">
        <v>1208</v>
      </c>
      <c r="O4" s="1650" t="s">
        <v>1361</v>
      </c>
      <c r="P4" s="1652" t="str">
        <f>IFERROR(__xludf.DUMMYFUNCTION("IFERROR(
  TEXT(
    DATE(
      INDEX(SPLIT(O4,"" ""),3),
      VLOOKUP(INDEX(SPLIT(O4,"" ""),1),{""jan."",1;""Feb"",2;""mar."",3;""Apr"",4;""May"",5;""jun."",6;""jul."",7;""Aug"",8;""Sep"",9;""Oct"",10;""nov."",11;""Dec"",12},2,FALSE),
      INDEX(SPLIT"&amp;"(O4,"" ""),2)
    ),
    ""dd/mm/yyyy""
  ),
"""")"),"04/12/2025")</f>
        <v>04/12/2025</v>
      </c>
    </row>
    <row r="5">
      <c r="A5" s="1649" t="s">
        <v>1362</v>
      </c>
      <c r="B5" s="1649" t="s">
        <v>1363</v>
      </c>
      <c r="C5" s="1651"/>
      <c r="D5" s="1651"/>
      <c r="E5" s="1651"/>
      <c r="F5" s="1650" t="s">
        <v>479</v>
      </c>
      <c r="G5" s="1650" t="s">
        <v>882</v>
      </c>
      <c r="H5" s="1651"/>
      <c r="I5" s="1651"/>
      <c r="J5" s="1650" t="s">
        <v>882</v>
      </c>
      <c r="K5" s="1650" t="s">
        <v>883</v>
      </c>
      <c r="L5" s="1650" t="s">
        <v>884</v>
      </c>
      <c r="M5" s="1650" t="s">
        <v>885</v>
      </c>
      <c r="N5" s="1650" t="s">
        <v>1364</v>
      </c>
      <c r="O5" s="1650" t="s">
        <v>1365</v>
      </c>
      <c r="P5" s="1652" t="str">
        <f>IFERROR(__xludf.DUMMYFUNCTION("IFERROR(
  TEXT(
    DATE(
      INDEX(SPLIT(O5,"" ""),3),
      VLOOKUP(INDEX(SPLIT(O5,"" ""),1),{""jan."",1;""Feb"",2;""mar."",3;""Apr"",4;""May"",5;""jun."",6;""jul."",7;""Aug"",8;""Sep"",9;""Oct"",10;""nov."",11;""Dec"",12},2,FALSE),
      INDEX(SPLIT"&amp;"(O5,"" ""),2)
    ),
    ""dd/mm/yyyy""
  ),
"""")"),"29/04/2026")</f>
        <v>29/04/2026</v>
      </c>
    </row>
    <row r="6">
      <c r="A6" s="1649" t="s">
        <v>1366</v>
      </c>
      <c r="B6" s="1649" t="s">
        <v>1367</v>
      </c>
      <c r="C6" s="1653"/>
      <c r="D6" s="1653"/>
      <c r="E6" s="1651"/>
      <c r="F6" s="1650" t="s">
        <v>480</v>
      </c>
      <c r="G6" s="1650" t="s">
        <v>882</v>
      </c>
      <c r="H6" s="1651"/>
      <c r="I6" s="1651"/>
      <c r="J6" s="1650" t="s">
        <v>882</v>
      </c>
      <c r="K6" s="1650" t="s">
        <v>883</v>
      </c>
      <c r="L6" s="1650" t="s">
        <v>884</v>
      </c>
      <c r="M6" s="1650" t="s">
        <v>885</v>
      </c>
      <c r="N6" s="1650" t="s">
        <v>1368</v>
      </c>
      <c r="O6" s="1650" t="s">
        <v>1369</v>
      </c>
      <c r="P6" s="1652" t="str">
        <f>IFERROR(__xludf.DUMMYFUNCTION("IFERROR(
  TEXT(
    DATE(
      INDEX(SPLIT(O6,"" ""),3),
      VLOOKUP(INDEX(SPLIT(O6,"" ""),1),{""jan."",1;""Feb"",2;""mar."",3;""Apr"",4;""May"",5;""jun."",6;""jul."",7;""Aug"",8;""Sep"",9;""Oct"",10;""nov."",11;""Dec"",12},2,FALSE),
      INDEX(SPLIT"&amp;"(O6,"" ""),2)
    ),
    ""dd/mm/yyyy""
  ),
"""")"),"29/04/2026")</f>
        <v>29/04/2026</v>
      </c>
    </row>
    <row r="7">
      <c r="A7" s="1649" t="s">
        <v>1370</v>
      </c>
      <c r="B7" s="1649" t="s">
        <v>1371</v>
      </c>
      <c r="C7" s="1653"/>
      <c r="D7" s="1653"/>
      <c r="E7" s="1651"/>
      <c r="F7" s="1650" t="s">
        <v>500</v>
      </c>
      <c r="G7" s="1650" t="s">
        <v>882</v>
      </c>
      <c r="H7" s="1651"/>
      <c r="I7" s="1651"/>
      <c r="J7" s="1650" t="s">
        <v>882</v>
      </c>
      <c r="K7" s="1650" t="s">
        <v>883</v>
      </c>
      <c r="L7" s="1650" t="s">
        <v>884</v>
      </c>
      <c r="M7" s="1650" t="s">
        <v>885</v>
      </c>
      <c r="N7" s="1650" t="s">
        <v>957</v>
      </c>
      <c r="O7" s="1650" t="s">
        <v>1372</v>
      </c>
      <c r="P7" s="1652" t="str">
        <f>IFERROR(__xludf.DUMMYFUNCTION("IFERROR(
  TEXT(
    DATE(
      INDEX(SPLIT(O7,"" ""),3),
      VLOOKUP(INDEX(SPLIT(O7,"" ""),1),{""jan."",1;""Feb"",2;""mar."",3;""Apr"",4;""May"",5;""jun."",6;""jul."",7;""Aug"",8;""Sep"",9;""Oct"",10;""nov."",11;""Dec"",12},2,FALSE),
      INDEX(SPLIT"&amp;"(O7,"" ""),2)
    ),
    ""dd/mm/yyyy""
  ),
"""")"),"06/04/2026")</f>
        <v>06/04/2026</v>
      </c>
    </row>
    <row r="8">
      <c r="A8" s="1649" t="s">
        <v>1373</v>
      </c>
      <c r="B8" s="1649" t="s">
        <v>1374</v>
      </c>
      <c r="C8" s="1651"/>
      <c r="D8" s="1651"/>
      <c r="E8" s="1651"/>
      <c r="F8" s="1650" t="s">
        <v>501</v>
      </c>
      <c r="G8" s="1650" t="s">
        <v>882</v>
      </c>
      <c r="H8" s="1651"/>
      <c r="I8" s="1651"/>
      <c r="J8" s="1650" t="s">
        <v>882</v>
      </c>
      <c r="K8" s="1650" t="s">
        <v>883</v>
      </c>
      <c r="L8" s="1650" t="s">
        <v>884</v>
      </c>
      <c r="M8" s="1650" t="s">
        <v>885</v>
      </c>
      <c r="N8" s="1650" t="s">
        <v>1375</v>
      </c>
      <c r="O8" s="1650" t="s">
        <v>1376</v>
      </c>
      <c r="P8" s="1652" t="str">
        <f>IFERROR(__xludf.DUMMYFUNCTION("IFERROR(
  TEXT(
    DATE(
      INDEX(SPLIT(O8,"" ""),3),
      VLOOKUP(INDEX(SPLIT(O8,"" ""),1),{""jan."",1;""Feb"",2;""mar."",3;""Apr"",4;""May"",5;""jun."",6;""jul."",7;""Aug"",8;""Sep"",9;""Oct"",10;""nov."",11;""Dec"",12},2,FALSE),
      INDEX(SPLIT"&amp;"(O8,"" ""),2)
    ),
    ""dd/mm/yyyy""
  ),
"""")"),"10/04/2026")</f>
        <v>10/04/2026</v>
      </c>
    </row>
    <row r="9">
      <c r="A9" s="1649" t="s">
        <v>1377</v>
      </c>
      <c r="B9" s="1649" t="s">
        <v>1378</v>
      </c>
      <c r="C9" s="1653"/>
      <c r="D9" s="1653"/>
      <c r="E9" s="1651"/>
      <c r="F9" s="1650" t="s">
        <v>490</v>
      </c>
      <c r="G9" s="1650" t="s">
        <v>882</v>
      </c>
      <c r="H9" s="1651"/>
      <c r="I9" s="1651"/>
      <c r="J9" s="1650" t="s">
        <v>882</v>
      </c>
      <c r="K9" s="1650" t="s">
        <v>883</v>
      </c>
      <c r="L9" s="1650" t="s">
        <v>884</v>
      </c>
      <c r="M9" s="1650" t="s">
        <v>885</v>
      </c>
      <c r="N9" s="1650" t="s">
        <v>1379</v>
      </c>
      <c r="O9" s="1652">
        <v>46108.48819444444</v>
      </c>
      <c r="P9" s="1652" t="str">
        <f>IFERROR(__xludf.DUMMYFUNCTION("IFERROR(
  TEXT(
    DATE(
      INDEX(SPLIT(O9,"" ""),3),
      VLOOKUP(INDEX(SPLIT(O9,"" ""),1),{""jan."",1;""Feb"",2;""mar."",3;""Apr"",4;""May"",5;""jun."",6;""jul."",7;""Aug"",8;""Sep"",9;""Oct"",10;""nov."",11;""Dec"",12},2,FALSE),
      INDEX(SPLIT"&amp;"(O9,"" ""),2)
    ),
    ""dd/mm/yyyy""
  ),
"""")"),"27/03/2026")</f>
        <v>27/03/2026</v>
      </c>
    </row>
    <row r="10">
      <c r="A10" s="1649" t="s">
        <v>1380</v>
      </c>
      <c r="B10" s="1649" t="s">
        <v>1381</v>
      </c>
      <c r="C10" s="1651"/>
      <c r="D10" s="1651"/>
      <c r="E10" s="1651"/>
      <c r="F10" s="1650" t="s">
        <v>500</v>
      </c>
      <c r="G10" s="1650" t="s">
        <v>882</v>
      </c>
      <c r="H10" s="1651"/>
      <c r="I10" s="1651"/>
      <c r="J10" s="1650" t="s">
        <v>882</v>
      </c>
      <c r="K10" s="1650" t="s">
        <v>883</v>
      </c>
      <c r="L10" s="1650" t="s">
        <v>884</v>
      </c>
      <c r="M10" s="1650" t="s">
        <v>885</v>
      </c>
      <c r="N10" s="1650" t="s">
        <v>967</v>
      </c>
      <c r="O10" s="1650" t="s">
        <v>1382</v>
      </c>
      <c r="P10" s="1652" t="str">
        <f>IFERROR(__xludf.DUMMYFUNCTION("IFERROR(
  TEXT(
    DATE(
      INDEX(SPLIT(O10,"" ""),3),
      VLOOKUP(INDEX(SPLIT(O10,"" ""),1),{""jan."",1;""Feb"",2;""mar."",3;""Apr"",4;""May"",5;""jun."",6;""jul."",7;""Aug"",8;""Sep"",9;""Oct"",10;""nov."",11;""Dec"",12},2,FALSE),
      INDEX(SPL"&amp;"IT(O10,"" ""),2)
    ),
    ""dd/mm/yyyy""
  ),
"""")"),"08/04/2026")</f>
        <v>08/04/2026</v>
      </c>
    </row>
    <row r="11">
      <c r="A11" s="1649" t="s">
        <v>1383</v>
      </c>
      <c r="B11" s="1649" t="s">
        <v>1384</v>
      </c>
      <c r="C11" s="1653"/>
      <c r="D11" s="1653"/>
      <c r="E11" s="1651"/>
      <c r="F11" s="1650" t="s">
        <v>508</v>
      </c>
      <c r="G11" s="1650" t="s">
        <v>882</v>
      </c>
      <c r="H11" s="1651"/>
      <c r="I11" s="1651"/>
      <c r="J11" s="1650" t="s">
        <v>882</v>
      </c>
      <c r="K11" s="1650" t="s">
        <v>883</v>
      </c>
      <c r="L11" s="1650" t="s">
        <v>884</v>
      </c>
      <c r="M11" s="1650" t="s">
        <v>885</v>
      </c>
      <c r="N11" s="1650" t="s">
        <v>970</v>
      </c>
      <c r="O11" s="1650" t="s">
        <v>1385</v>
      </c>
      <c r="P11" s="1652" t="str">
        <f>IFERROR(__xludf.DUMMYFUNCTION("IFERROR(
  TEXT(
    DATE(
      INDEX(SPLIT(O11,"" ""),3),
      VLOOKUP(INDEX(SPLIT(O11,"" ""),1),{""jan."",1;""Feb"",2;""mar."",3;""Apr"",4;""May"",5;""jun."",6;""jul."",7;""Aug"",8;""Sep"",9;""Oct"",10;""nov."",11;""Dec"",12},2,FALSE),
      INDEX(SPL"&amp;"IT(O11,"" ""),2)
    ),
    ""dd/mm/yyyy""
  ),
"""")"),"10/04/2026")</f>
        <v>10/04/2026</v>
      </c>
    </row>
    <row r="12">
      <c r="A12" s="1649" t="s">
        <v>1386</v>
      </c>
      <c r="B12" s="1649" t="s">
        <v>1387</v>
      </c>
      <c r="C12" s="1651"/>
      <c r="D12" s="1651"/>
      <c r="E12" s="1651"/>
      <c r="F12" s="1650" t="s">
        <v>500</v>
      </c>
      <c r="G12" s="1650" t="s">
        <v>882</v>
      </c>
      <c r="H12" s="1651"/>
      <c r="I12" s="1651"/>
      <c r="J12" s="1650" t="s">
        <v>882</v>
      </c>
      <c r="K12" s="1650" t="s">
        <v>883</v>
      </c>
      <c r="L12" s="1650" t="s">
        <v>884</v>
      </c>
      <c r="M12" s="1650" t="s">
        <v>885</v>
      </c>
      <c r="N12" s="1650" t="s">
        <v>1388</v>
      </c>
      <c r="O12" s="1650" t="s">
        <v>1389</v>
      </c>
      <c r="P12" s="1652" t="str">
        <f>IFERROR(__xludf.DUMMYFUNCTION("IFERROR(
  TEXT(
    DATE(
      INDEX(SPLIT(O12,"" ""),3),
      VLOOKUP(INDEX(SPLIT(O12,"" ""),1),{""jan."",1;""Feb"",2;""mar."",3;""Apr"",4;""May"",5;""jun."",6;""jul."",7;""Aug"",8;""Sep"",9;""Oct"",10;""nov."",11;""Dec"",12},2,FALSE),
      INDEX(SPL"&amp;"IT(O12,"" ""),2)
    ),
    ""dd/mm/yyyy""
  ),
"""")"),"05/05/2026")</f>
        <v>05/05/2026</v>
      </c>
    </row>
    <row r="13">
      <c r="A13" s="1649" t="s">
        <v>1390</v>
      </c>
      <c r="B13" s="1649" t="s">
        <v>1391</v>
      </c>
      <c r="C13" s="1653"/>
      <c r="D13" s="1653"/>
      <c r="E13" s="1651"/>
      <c r="F13" s="1650" t="s">
        <v>479</v>
      </c>
      <c r="G13" s="1650" t="s">
        <v>882</v>
      </c>
      <c r="H13" s="1651"/>
      <c r="I13" s="1651"/>
      <c r="J13" s="1650" t="s">
        <v>882</v>
      </c>
      <c r="K13" s="1650" t="s">
        <v>883</v>
      </c>
      <c r="L13" s="1650" t="s">
        <v>884</v>
      </c>
      <c r="M13" s="1650" t="s">
        <v>885</v>
      </c>
      <c r="N13" s="1650" t="s">
        <v>1392</v>
      </c>
      <c r="O13" s="1650" t="s">
        <v>1393</v>
      </c>
      <c r="P13" s="1652" t="str">
        <f>IFERROR(__xludf.DUMMYFUNCTION("IFERROR(
  TEXT(
    DATE(
      INDEX(SPLIT(O13,"" ""),3),
      VLOOKUP(INDEX(SPLIT(O13,"" ""),1),{""jan."",1;""Feb"",2;""mar."",3;""Apr"",4;""May"",5;""jun."",6;""jul."",7;""Aug"",8;""Sep"",9;""Oct"",10;""nov."",11;""Dec"",12},2,FALSE),
      INDEX(SPL"&amp;"IT(O13,"" ""),2)
    ),
    ""dd/mm/yyyy""
  ),
"""")"),"10/04/2026")</f>
        <v>10/04/2026</v>
      </c>
    </row>
    <row r="14">
      <c r="A14" s="1649" t="s">
        <v>1394</v>
      </c>
      <c r="B14" s="1649" t="s">
        <v>1395</v>
      </c>
      <c r="C14" s="1651"/>
      <c r="D14" s="1651"/>
      <c r="E14" s="1651"/>
      <c r="F14" s="1650" t="s">
        <v>481</v>
      </c>
      <c r="G14" s="1650" t="s">
        <v>882</v>
      </c>
      <c r="H14" s="1651"/>
      <c r="I14" s="1651"/>
      <c r="J14" s="1650" t="s">
        <v>882</v>
      </c>
      <c r="K14" s="1650" t="s">
        <v>883</v>
      </c>
      <c r="L14" s="1650" t="s">
        <v>884</v>
      </c>
      <c r="M14" s="1650" t="s">
        <v>885</v>
      </c>
      <c r="N14" s="1650" t="s">
        <v>1396</v>
      </c>
      <c r="O14" s="1650" t="s">
        <v>1397</v>
      </c>
      <c r="P14" s="1652" t="str">
        <f>IFERROR(__xludf.DUMMYFUNCTION("IFERROR(
  TEXT(
    DATE(
      INDEX(SPLIT(O14,"" ""),3),
      VLOOKUP(INDEX(SPLIT(O14,"" ""),1),{""jan."",1;""Feb"",2;""mar."",3;""Apr"",4;""May"",5;""jun."",6;""jul."",7;""Aug"",8;""Sep"",9;""Oct"",10;""nov."",11;""Dec"",12},2,FALSE),
      INDEX(SPL"&amp;"IT(O14,"" ""),2)
    ),
    ""dd/mm/yyyy""
  ),
"""")"),"07/04/2026")</f>
        <v>07/04/2026</v>
      </c>
    </row>
    <row r="15">
      <c r="A15" s="1649" t="s">
        <v>1398</v>
      </c>
      <c r="B15" s="1649" t="s">
        <v>1399</v>
      </c>
      <c r="C15" s="1653"/>
      <c r="D15" s="1653"/>
      <c r="E15" s="1651"/>
      <c r="F15" s="1650" t="s">
        <v>718</v>
      </c>
      <c r="G15" s="1650" t="s">
        <v>882</v>
      </c>
      <c r="H15" s="1651"/>
      <c r="I15" s="1651"/>
      <c r="J15" s="1650" t="s">
        <v>882</v>
      </c>
      <c r="K15" s="1650" t="s">
        <v>883</v>
      </c>
      <c r="L15" s="1650" t="s">
        <v>884</v>
      </c>
      <c r="M15" s="1650" t="s">
        <v>885</v>
      </c>
      <c r="N15" s="1650" t="s">
        <v>1400</v>
      </c>
      <c r="O15" s="1652">
        <v>46052.49097222222</v>
      </c>
      <c r="P15" s="1652" t="str">
        <f>IFERROR(__xludf.DUMMYFUNCTION("IFERROR(
  TEXT(
    DATE(
      INDEX(SPLIT(O15,"" ""),3),
      VLOOKUP(INDEX(SPLIT(O15,"" ""),1),{""jan."",1;""Feb"",2;""mar."",3;""Apr"",4;""May"",5;""jun."",6;""jul."",7;""Aug"",8;""Sep"",9;""Oct"",10;""nov."",11;""Dec"",12},2,FALSE),
      INDEX(SPL"&amp;"IT(O15,"" ""),2)
    ),
    ""dd/mm/yyyy""
  ),
"""")"),"30/01/2026")</f>
        <v>30/01/2026</v>
      </c>
    </row>
    <row r="16">
      <c r="A16" s="1649" t="s">
        <v>1401</v>
      </c>
      <c r="B16" s="1649" t="s">
        <v>1402</v>
      </c>
      <c r="C16" s="1651"/>
      <c r="D16" s="1651"/>
      <c r="E16" s="1651"/>
      <c r="F16" s="1650" t="s">
        <v>719</v>
      </c>
      <c r="G16" s="1650" t="s">
        <v>882</v>
      </c>
      <c r="H16" s="1651"/>
      <c r="I16" s="1651"/>
      <c r="J16" s="1650" t="s">
        <v>882</v>
      </c>
      <c r="K16" s="1650" t="s">
        <v>883</v>
      </c>
      <c r="L16" s="1650" t="s">
        <v>884</v>
      </c>
      <c r="M16" s="1650" t="s">
        <v>885</v>
      </c>
      <c r="N16" s="1650" t="s">
        <v>1403</v>
      </c>
      <c r="O16" s="1652">
        <v>46099.427777777775</v>
      </c>
      <c r="P16" s="1652" t="str">
        <f>IFERROR(__xludf.DUMMYFUNCTION("IFERROR(
  TEXT(
    DATE(
      INDEX(SPLIT(O16,"" ""),3),
      VLOOKUP(INDEX(SPLIT(O16,"" ""),1),{""jan."",1;""Feb"",2;""mar."",3;""Apr"",4;""May"",5;""jun."",6;""jul."",7;""Aug"",8;""Sep"",9;""Oct"",10;""nov."",11;""Dec"",12},2,FALSE),
      INDEX(SPL"&amp;"IT(O16,"" ""),2)
    ),
    ""dd/mm/yyyy""
  ),
"""")"),"18/03/2026")</f>
        <v>18/03/2026</v>
      </c>
    </row>
    <row r="17">
      <c r="A17" s="1649" t="s">
        <v>1404</v>
      </c>
      <c r="B17" s="1649" t="s">
        <v>1405</v>
      </c>
      <c r="C17" s="1653"/>
      <c r="D17" s="1653"/>
      <c r="E17" s="1651"/>
      <c r="F17" s="1650" t="s">
        <v>496</v>
      </c>
      <c r="G17" s="1650" t="s">
        <v>882</v>
      </c>
      <c r="H17" s="1651"/>
      <c r="I17" s="1651"/>
      <c r="J17" s="1650" t="s">
        <v>882</v>
      </c>
      <c r="K17" s="1650" t="s">
        <v>883</v>
      </c>
      <c r="L17" s="1650" t="s">
        <v>884</v>
      </c>
      <c r="M17" s="1650" t="s">
        <v>885</v>
      </c>
      <c r="N17" s="1650" t="s">
        <v>1406</v>
      </c>
      <c r="O17" s="1652">
        <v>46107.736805555556</v>
      </c>
      <c r="P17" s="1652" t="str">
        <f>IFERROR(__xludf.DUMMYFUNCTION("IFERROR(
  TEXT(
    DATE(
      INDEX(SPLIT(O17,"" ""),3),
      VLOOKUP(INDEX(SPLIT(O17,"" ""),1),{""jan."",1;""Feb"",2;""mar."",3;""Apr"",4;""May"",5;""jun."",6;""jul."",7;""Aug"",8;""Sep"",9;""Oct"",10;""nov."",11;""Dec"",12},2,FALSE),
      INDEX(SPL"&amp;"IT(O17,"" ""),2)
    ),
    ""dd/mm/yyyy""
  ),
"""")"),"26/03/2026")</f>
        <v>26/03/2026</v>
      </c>
    </row>
    <row r="18">
      <c r="A18" s="1649" t="s">
        <v>1407</v>
      </c>
      <c r="B18" s="1649" t="s">
        <v>1408</v>
      </c>
      <c r="C18" s="1653"/>
      <c r="D18" s="1653"/>
      <c r="E18" s="1651"/>
      <c r="F18" s="1650" t="s">
        <v>507</v>
      </c>
      <c r="G18" s="1650" t="s">
        <v>882</v>
      </c>
      <c r="H18" s="1651"/>
      <c r="I18" s="1651"/>
      <c r="J18" s="1650" t="s">
        <v>882</v>
      </c>
      <c r="K18" s="1650" t="s">
        <v>883</v>
      </c>
      <c r="L18" s="1650" t="s">
        <v>884</v>
      </c>
      <c r="M18" s="1650" t="s">
        <v>885</v>
      </c>
      <c r="N18" s="1650" t="s">
        <v>1409</v>
      </c>
      <c r="O18" s="1652">
        <v>45970.830555555556</v>
      </c>
      <c r="P18" s="1652" t="str">
        <f>IFERROR(__xludf.DUMMYFUNCTION("IFERROR(
  TEXT(
    DATE(
      INDEX(SPLIT(O18,"" ""),3),
      VLOOKUP(INDEX(SPLIT(O18,"" ""),1),{""jan."",1;""Feb"",2;""mar."",3;""Apr"",4;""May"",5;""jun."",6;""jul."",7;""Aug"",8;""Sep"",9;""Oct"",10;""nov."",11;""Dec"",12},2,FALSE),
      INDEX(SPL"&amp;"IT(O18,"" ""),2)
    ),
    ""dd/mm/yyyy""
  ),
"""")"),"09/11/2025")</f>
        <v>09/11/2025</v>
      </c>
    </row>
    <row r="19">
      <c r="A19" s="1649" t="s">
        <v>1410</v>
      </c>
      <c r="B19" s="1649" t="s">
        <v>1411</v>
      </c>
      <c r="C19" s="1653"/>
      <c r="D19" s="1653"/>
      <c r="E19" s="1651"/>
      <c r="F19" s="1650" t="s">
        <v>596</v>
      </c>
      <c r="G19" s="1650" t="s">
        <v>882</v>
      </c>
      <c r="H19" s="1651"/>
      <c r="I19" s="1651"/>
      <c r="J19" s="1650" t="s">
        <v>882</v>
      </c>
      <c r="K19" s="1650" t="s">
        <v>883</v>
      </c>
      <c r="L19" s="1650" t="s">
        <v>884</v>
      </c>
      <c r="M19" s="1650" t="s">
        <v>885</v>
      </c>
      <c r="N19" s="1650" t="s">
        <v>1412</v>
      </c>
      <c r="O19" s="1652">
        <v>46052.62222222222</v>
      </c>
      <c r="P19" s="1652" t="str">
        <f>IFERROR(__xludf.DUMMYFUNCTION("IFERROR(
  TEXT(
    DATE(
      INDEX(SPLIT(O19,"" ""),3),
      VLOOKUP(INDEX(SPLIT(O19,"" ""),1),{""jan."",1;""Feb"",2;""mar."",3;""Apr"",4;""May"",5;""jun."",6;""jul."",7;""Aug"",8;""Sep"",9;""Oct"",10;""nov."",11;""Dec"",12},2,FALSE),
      INDEX(SPL"&amp;"IT(O19,"" ""),2)
    ),
    ""dd/mm/yyyy""
  ),
"""")"),"30/01/2026")</f>
        <v>30/01/2026</v>
      </c>
    </row>
    <row r="20">
      <c r="A20" s="1649" t="s">
        <v>1413</v>
      </c>
      <c r="B20" s="1649" t="s">
        <v>1414</v>
      </c>
      <c r="C20" s="1653"/>
      <c r="D20" s="1653"/>
      <c r="E20" s="1651"/>
      <c r="F20" s="1650" t="s">
        <v>486</v>
      </c>
      <c r="G20" s="1650" t="s">
        <v>882</v>
      </c>
      <c r="H20" s="1651"/>
      <c r="I20" s="1651"/>
      <c r="J20" s="1650" t="s">
        <v>882</v>
      </c>
      <c r="K20" s="1650" t="s">
        <v>883</v>
      </c>
      <c r="L20" s="1650" t="s">
        <v>884</v>
      </c>
      <c r="M20" s="1650" t="s">
        <v>885</v>
      </c>
      <c r="N20" s="1650" t="s">
        <v>1415</v>
      </c>
      <c r="O20" s="1650" t="s">
        <v>1416</v>
      </c>
      <c r="P20" s="1652" t="str">
        <f>IFERROR(__xludf.DUMMYFUNCTION("IFERROR(
  TEXT(
    DATE(
      INDEX(SPLIT(O20,"" ""),3),
      VLOOKUP(INDEX(SPLIT(O20,"" ""),1),{""jan."",1;""Feb"",2;""mar."",3;""Apr"",4;""May"",5;""jun."",6;""jul."",7;""Aug"",8;""Sep"",9;""Oct"",10;""nov."",11;""Dec"",12},2,FALSE),
      INDEX(SPL"&amp;"IT(O20,"" ""),2)
    ),
    ""dd/mm/yyyy""
  ),
"""")"),"11/05/2026")</f>
        <v>11/05/2026</v>
      </c>
    </row>
    <row r="21">
      <c r="A21" s="1649" t="s">
        <v>1417</v>
      </c>
      <c r="B21" s="1649" t="s">
        <v>1418</v>
      </c>
      <c r="C21" s="1653"/>
      <c r="D21" s="1653"/>
      <c r="E21" s="1651"/>
      <c r="F21" s="1650" t="s">
        <v>718</v>
      </c>
      <c r="G21" s="1650" t="s">
        <v>882</v>
      </c>
      <c r="H21" s="1651"/>
      <c r="I21" s="1651"/>
      <c r="J21" s="1650" t="s">
        <v>882</v>
      </c>
      <c r="K21" s="1650" t="s">
        <v>883</v>
      </c>
      <c r="L21" s="1650" t="s">
        <v>884</v>
      </c>
      <c r="M21" s="1650" t="s">
        <v>885</v>
      </c>
      <c r="N21" s="1650" t="s">
        <v>1419</v>
      </c>
      <c r="O21" s="1652">
        <v>46045.49513888889</v>
      </c>
      <c r="P21" s="1652" t="str">
        <f>IFERROR(__xludf.DUMMYFUNCTION("IFERROR(
  TEXT(
    DATE(
      INDEX(SPLIT(O21,"" ""),3),
      VLOOKUP(INDEX(SPLIT(O21,"" ""),1),{""jan."",1;""Feb"",2;""mar."",3;""Apr"",4;""May"",5;""jun."",6;""jul."",7;""Aug"",8;""Sep"",9;""Oct"",10;""nov."",11;""Dec"",12},2,FALSE),
      INDEX(SPL"&amp;"IT(O21,"" ""),2)
    ),
    ""dd/mm/yyyy""
  ),
"""")"),"23/01/2026")</f>
        <v>23/01/2026</v>
      </c>
    </row>
    <row r="22">
      <c r="A22" s="1649" t="s">
        <v>1420</v>
      </c>
      <c r="B22" s="1649" t="s">
        <v>1421</v>
      </c>
      <c r="C22" s="1653"/>
      <c r="D22" s="1653"/>
      <c r="E22" s="1651"/>
      <c r="F22" s="1650" t="s">
        <v>470</v>
      </c>
      <c r="G22" s="1650" t="s">
        <v>882</v>
      </c>
      <c r="H22" s="1651"/>
      <c r="I22" s="1651"/>
      <c r="J22" s="1650" t="s">
        <v>882</v>
      </c>
      <c r="K22" s="1650" t="s">
        <v>883</v>
      </c>
      <c r="L22" s="1650" t="s">
        <v>884</v>
      </c>
      <c r="M22" s="1650" t="s">
        <v>885</v>
      </c>
      <c r="N22" s="1650" t="s">
        <v>945</v>
      </c>
      <c r="O22" s="1650" t="s">
        <v>1422</v>
      </c>
      <c r="P22" s="1652" t="str">
        <f>IFERROR(__xludf.DUMMYFUNCTION("IFERROR(
  TEXT(
    DATE(
      INDEX(SPLIT(O22,"" ""),3),
      VLOOKUP(INDEX(SPLIT(O22,"" ""),1),{""jan."",1;""Feb"",2;""mar."",3;""Apr"",4;""May"",5;""jun."",6;""jul."",7;""Aug"",8;""Sep"",9;""Oct"",10;""nov."",11;""Dec"",12},2,FALSE),
      INDEX(SPL"&amp;"IT(O22,"" ""),2)
    ),
    ""dd/mm/yyyy""
  ),
"""")"),"04/02/2025")</f>
        <v>04/02/2025</v>
      </c>
    </row>
    <row r="23">
      <c r="A23" s="1649" t="s">
        <v>1423</v>
      </c>
      <c r="B23" s="1649" t="s">
        <v>1424</v>
      </c>
      <c r="C23" s="1653"/>
      <c r="D23" s="1653"/>
      <c r="E23" s="1651"/>
      <c r="F23" s="1650" t="s">
        <v>470</v>
      </c>
      <c r="G23" s="1650" t="s">
        <v>882</v>
      </c>
      <c r="H23" s="1651"/>
      <c r="I23" s="1651"/>
      <c r="J23" s="1650" t="s">
        <v>882</v>
      </c>
      <c r="K23" s="1650" t="s">
        <v>883</v>
      </c>
      <c r="L23" s="1650" t="s">
        <v>884</v>
      </c>
      <c r="M23" s="1650" t="s">
        <v>885</v>
      </c>
      <c r="N23" s="1650" t="s">
        <v>1425</v>
      </c>
      <c r="O23" s="1650" t="s">
        <v>1422</v>
      </c>
      <c r="P23" s="1652" t="str">
        <f>IFERROR(__xludf.DUMMYFUNCTION("IFERROR(
  TEXT(
    DATE(
      INDEX(SPLIT(O23,"" ""),3),
      VLOOKUP(INDEX(SPLIT(O23,"" ""),1),{""jan."",1;""Feb"",2;""mar."",3;""Apr"",4;""May"",5;""jun."",6;""jul."",7;""Aug"",8;""Sep"",9;""Oct"",10;""nov."",11;""Dec"",12},2,FALSE),
      INDEX(SPL"&amp;"IT(O23,"" ""),2)
    ),
    ""dd/mm/yyyy""
  ),
"""")"),"04/02/2025")</f>
        <v>04/02/2025</v>
      </c>
    </row>
    <row r="24">
      <c r="A24" s="1649" t="s">
        <v>1426</v>
      </c>
      <c r="B24" s="1649" t="s">
        <v>1427</v>
      </c>
      <c r="C24" s="1650" t="s">
        <v>1428</v>
      </c>
      <c r="D24" s="1650" t="s">
        <v>881</v>
      </c>
      <c r="E24" s="1651"/>
      <c r="F24" s="1650" t="s">
        <v>508</v>
      </c>
      <c r="G24" s="1650" t="s">
        <v>882</v>
      </c>
      <c r="H24" s="1651"/>
      <c r="I24" s="1651"/>
      <c r="J24" s="1650" t="s">
        <v>882</v>
      </c>
      <c r="K24" s="1650" t="s">
        <v>883</v>
      </c>
      <c r="L24" s="1650" t="s">
        <v>884</v>
      </c>
      <c r="M24" s="1650" t="s">
        <v>885</v>
      </c>
      <c r="N24" s="1650" t="s">
        <v>1429</v>
      </c>
      <c r="O24" s="1650" t="s">
        <v>1430</v>
      </c>
      <c r="P24" s="1652" t="str">
        <f>IFERROR(__xludf.DUMMYFUNCTION("IFERROR(
  TEXT(
    DATE(
      INDEX(SPLIT(O24,"" ""),3),
      VLOOKUP(INDEX(SPLIT(O24,"" ""),1),{""jan."",1;""Feb"",2;""mar."",3;""Apr"",4;""May"",5;""jun."",6;""jul."",7;""Aug"",8;""Sep"",9;""Oct"",10;""nov."",11;""Dec"",12},2,FALSE),
      INDEX(SPL"&amp;"IT(O24,"" ""),2)
    ),
    ""dd/mm/yyyy""
  ),
"""")"),"04/02/2025")</f>
        <v>04/02/2025</v>
      </c>
    </row>
    <row r="25">
      <c r="A25" s="1649" t="s">
        <v>1431</v>
      </c>
      <c r="B25" s="1649" t="s">
        <v>1432</v>
      </c>
      <c r="C25" s="1650" t="s">
        <v>1428</v>
      </c>
      <c r="D25" s="1650" t="s">
        <v>881</v>
      </c>
      <c r="E25" s="1651"/>
      <c r="F25" s="1650" t="s">
        <v>498</v>
      </c>
      <c r="G25" s="1650" t="s">
        <v>882</v>
      </c>
      <c r="H25" s="1651"/>
      <c r="I25" s="1651"/>
      <c r="J25" s="1650" t="s">
        <v>882</v>
      </c>
      <c r="K25" s="1650" t="s">
        <v>883</v>
      </c>
      <c r="L25" s="1650" t="s">
        <v>884</v>
      </c>
      <c r="M25" s="1650" t="s">
        <v>885</v>
      </c>
      <c r="N25" s="1650" t="s">
        <v>1433</v>
      </c>
      <c r="O25" s="1650" t="s">
        <v>1430</v>
      </c>
      <c r="P25" s="1652" t="str">
        <f>IFERROR(__xludf.DUMMYFUNCTION("IFERROR(
  TEXT(
    DATE(
      INDEX(SPLIT(O25,"" ""),3),
      VLOOKUP(INDEX(SPLIT(O25,"" ""),1),{""jan."",1;""Feb"",2;""mar."",3;""Apr"",4;""May"",5;""jun."",6;""jul."",7;""Aug"",8;""Sep"",9;""Oct"",10;""nov."",11;""Dec"",12},2,FALSE),
      INDEX(SPL"&amp;"IT(O25,"" ""),2)
    ),
    ""dd/mm/yyyy""
  ),
"""")"),"04/02/2025")</f>
        <v>04/02/2025</v>
      </c>
    </row>
    <row r="26">
      <c r="A26" s="1649" t="s">
        <v>1434</v>
      </c>
      <c r="B26" s="1649" t="s">
        <v>1435</v>
      </c>
      <c r="C26" s="1650" t="s">
        <v>1428</v>
      </c>
      <c r="D26" s="1650" t="s">
        <v>881</v>
      </c>
      <c r="E26" s="1651"/>
      <c r="F26" s="1650" t="s">
        <v>486</v>
      </c>
      <c r="G26" s="1650" t="s">
        <v>882</v>
      </c>
      <c r="H26" s="1651"/>
      <c r="I26" s="1651"/>
      <c r="J26" s="1650" t="s">
        <v>882</v>
      </c>
      <c r="K26" s="1650" t="s">
        <v>883</v>
      </c>
      <c r="L26" s="1650" t="s">
        <v>884</v>
      </c>
      <c r="M26" s="1650" t="s">
        <v>885</v>
      </c>
      <c r="N26" s="1650" t="s">
        <v>1436</v>
      </c>
      <c r="O26" s="1650" t="s">
        <v>1437</v>
      </c>
      <c r="P26" s="1652" t="str">
        <f>IFERROR(__xludf.DUMMYFUNCTION("IFERROR(
  TEXT(
    DATE(
      INDEX(SPLIT(O26,"" ""),3),
      VLOOKUP(INDEX(SPLIT(O26,"" ""),1),{""jan."",1;""Feb"",2;""mar."",3;""Apr"",4;""May"",5;""jun."",6;""jul."",7;""Aug"",8;""Sep"",9;""Oct"",10;""nov."",11;""Dec"",12},2,FALSE),
      INDEX(SPL"&amp;"IT(O26,"" ""),2)
    ),
    ""dd/mm/yyyy""
  ),
"""")"),"04/02/2025")</f>
        <v>04/02/2025</v>
      </c>
    </row>
    <row r="27">
      <c r="A27" s="1649" t="s">
        <v>1438</v>
      </c>
      <c r="B27" s="1649" t="s">
        <v>1439</v>
      </c>
      <c r="C27" s="1653"/>
      <c r="D27" s="1653"/>
      <c r="E27" s="1651"/>
      <c r="F27" s="1650" t="s">
        <v>596</v>
      </c>
      <c r="G27" s="1650" t="s">
        <v>882</v>
      </c>
      <c r="H27" s="1651"/>
      <c r="I27" s="1651"/>
      <c r="J27" s="1650" t="s">
        <v>882</v>
      </c>
      <c r="K27" s="1650" t="s">
        <v>883</v>
      </c>
      <c r="L27" s="1650" t="s">
        <v>884</v>
      </c>
      <c r="M27" s="1650" t="s">
        <v>885</v>
      </c>
      <c r="N27" s="1650" t="s">
        <v>1440</v>
      </c>
      <c r="O27" s="1650" t="s">
        <v>1441</v>
      </c>
      <c r="P27" s="1652" t="str">
        <f>IFERROR(__xludf.DUMMYFUNCTION("IFERROR(
  TEXT(
    DATE(
      INDEX(SPLIT(O27,"" ""),3),
      VLOOKUP(INDEX(SPLIT(O27,"" ""),1),{""jan."",1;""Feb"",2;""mar."",3;""Apr"",4;""May"",5;""jun."",6;""jul."",7;""Aug"",8;""Sep"",9;""Oct"",10;""nov."",11;""Dec"",12},2,FALSE),
      INDEX(SPL"&amp;"IT(O27,"" ""),2)
    ),
    ""dd/mm/yyyy""
  ),
"""")"),"04/02/2025")</f>
        <v>04/02/2025</v>
      </c>
    </row>
    <row r="28">
      <c r="A28" s="1649" t="s">
        <v>1442</v>
      </c>
      <c r="B28" s="1649" t="s">
        <v>1443</v>
      </c>
      <c r="C28" s="1653"/>
      <c r="D28" s="1650" t="s">
        <v>881</v>
      </c>
      <c r="E28" s="1651"/>
      <c r="F28" s="1650" t="s">
        <v>500</v>
      </c>
      <c r="G28" s="1650" t="s">
        <v>882</v>
      </c>
      <c r="H28" s="1651"/>
      <c r="I28" s="1651"/>
      <c r="J28" s="1650" t="s">
        <v>882</v>
      </c>
      <c r="K28" s="1650" t="s">
        <v>883</v>
      </c>
      <c r="L28" s="1650" t="s">
        <v>882</v>
      </c>
      <c r="M28" s="1650" t="s">
        <v>882</v>
      </c>
      <c r="N28" s="1650" t="s">
        <v>1444</v>
      </c>
      <c r="O28" s="1650" t="s">
        <v>1441</v>
      </c>
      <c r="P28" s="1652" t="str">
        <f>IFERROR(__xludf.DUMMYFUNCTION("IFERROR(
  TEXT(
    DATE(
      INDEX(SPLIT(O28,"" ""),3),
      VLOOKUP(INDEX(SPLIT(O28,"" ""),1),{""jan."",1;""Feb"",2;""mar."",3;""Apr"",4;""May"",5;""jun."",6;""jul."",7;""Aug"",8;""Sep"",9;""Oct"",10;""nov."",11;""Dec"",12},2,FALSE),
      INDEX(SPL"&amp;"IT(O28,"" ""),2)
    ),
    ""dd/mm/yyyy""
  ),
"""")"),"04/02/2025")</f>
        <v>04/02/2025</v>
      </c>
    </row>
    <row r="29">
      <c r="A29" s="1649" t="s">
        <v>1445</v>
      </c>
      <c r="B29" s="1649" t="s">
        <v>1446</v>
      </c>
      <c r="C29" s="1650" t="s">
        <v>1428</v>
      </c>
      <c r="D29" s="1650" t="s">
        <v>881</v>
      </c>
      <c r="E29" s="1651"/>
      <c r="F29" s="1650" t="s">
        <v>596</v>
      </c>
      <c r="G29" s="1650" t="s">
        <v>882</v>
      </c>
      <c r="H29" s="1651"/>
      <c r="I29" s="1651"/>
      <c r="J29" s="1650" t="s">
        <v>882</v>
      </c>
      <c r="K29" s="1650" t="s">
        <v>883</v>
      </c>
      <c r="L29" s="1650" t="s">
        <v>884</v>
      </c>
      <c r="M29" s="1650" t="s">
        <v>885</v>
      </c>
      <c r="N29" s="1650" t="s">
        <v>1447</v>
      </c>
      <c r="O29" s="1650" t="s">
        <v>1437</v>
      </c>
      <c r="P29" s="1652" t="str">
        <f>IFERROR(__xludf.DUMMYFUNCTION("IFERROR(
  TEXT(
    DATE(
      INDEX(SPLIT(O29,"" ""),3),
      VLOOKUP(INDEX(SPLIT(O29,"" ""),1),{""jan."",1;""Feb"",2;""mar."",3;""Apr"",4;""May"",5;""jun."",6;""jul."",7;""Aug"",8;""Sep"",9;""Oct"",10;""nov."",11;""Dec"",12},2,FALSE),
      INDEX(SPL"&amp;"IT(O29,"" ""),2)
    ),
    ""dd/mm/yyyy""
  ),
"""")"),"04/02/2025")</f>
        <v>04/02/2025</v>
      </c>
    </row>
    <row r="30">
      <c r="A30" s="1649" t="s">
        <v>1448</v>
      </c>
      <c r="B30" s="1649" t="s">
        <v>1449</v>
      </c>
      <c r="C30" s="1650" t="s">
        <v>1428</v>
      </c>
      <c r="D30" s="1650" t="s">
        <v>881</v>
      </c>
      <c r="E30" s="1651"/>
      <c r="F30" s="1650" t="s">
        <v>479</v>
      </c>
      <c r="G30" s="1650" t="s">
        <v>882</v>
      </c>
      <c r="H30" s="1651"/>
      <c r="I30" s="1651"/>
      <c r="J30" s="1650" t="s">
        <v>882</v>
      </c>
      <c r="K30" s="1650" t="s">
        <v>883</v>
      </c>
      <c r="L30" s="1650" t="s">
        <v>884</v>
      </c>
      <c r="M30" s="1650" t="s">
        <v>885</v>
      </c>
      <c r="N30" s="1650" t="s">
        <v>1450</v>
      </c>
      <c r="O30" s="1650" t="s">
        <v>1430</v>
      </c>
      <c r="P30" s="1652" t="str">
        <f>IFERROR(__xludf.DUMMYFUNCTION("IFERROR(
  TEXT(
    DATE(
      INDEX(SPLIT(O30,"" ""),3),
      VLOOKUP(INDEX(SPLIT(O30,"" ""),1),{""jan."",1;""Feb"",2;""mar."",3;""Apr"",4;""May"",5;""jun."",6;""jul."",7;""Aug"",8;""Sep"",9;""Oct"",10;""nov."",11;""Dec"",12},2,FALSE),
      INDEX(SPL"&amp;"IT(O30,"" ""),2)
    ),
    ""dd/mm/yyyy""
  ),
"""")"),"04/02/2025")</f>
        <v>04/02/2025</v>
      </c>
    </row>
    <row r="31">
      <c r="A31" s="1649" t="s">
        <v>1451</v>
      </c>
      <c r="B31" s="1649" t="s">
        <v>1452</v>
      </c>
      <c r="C31" s="1650" t="s">
        <v>1428</v>
      </c>
      <c r="D31" s="1650" t="s">
        <v>881</v>
      </c>
      <c r="E31" s="1651"/>
      <c r="F31" s="1650" t="s">
        <v>505</v>
      </c>
      <c r="G31" s="1650" t="s">
        <v>882</v>
      </c>
      <c r="H31" s="1651"/>
      <c r="I31" s="1651"/>
      <c r="J31" s="1650" t="s">
        <v>882</v>
      </c>
      <c r="K31" s="1650" t="s">
        <v>883</v>
      </c>
      <c r="L31" s="1650" t="s">
        <v>884</v>
      </c>
      <c r="M31" s="1650" t="s">
        <v>885</v>
      </c>
      <c r="N31" s="1650" t="s">
        <v>1453</v>
      </c>
      <c r="O31" s="1650" t="s">
        <v>1454</v>
      </c>
      <c r="P31" s="1652" t="str">
        <f>IFERROR(__xludf.DUMMYFUNCTION("IFERROR(
  TEXT(
    DATE(
      INDEX(SPLIT(O31,"" ""),3),
      VLOOKUP(INDEX(SPLIT(O31,"" ""),1),{""jan."",1;""Feb"",2;""mar."",3;""Apr"",4;""May"",5;""jun."",6;""jul."",7;""Aug"",8;""Sep"",9;""Oct"",10;""nov."",11;""Dec"",12},2,FALSE),
      INDEX(SPL"&amp;"IT(O31,"" ""),2)
    ),
    ""dd/mm/yyyy""
  ),
"""")"),"13/04/2026")</f>
        <v>13/04/2026</v>
      </c>
    </row>
    <row r="32">
      <c r="A32" s="1649" t="s">
        <v>1455</v>
      </c>
      <c r="B32" s="1649" t="s">
        <v>1456</v>
      </c>
      <c r="C32" s="1650" t="s">
        <v>1428</v>
      </c>
      <c r="D32" s="1650" t="s">
        <v>881</v>
      </c>
      <c r="E32" s="1651"/>
      <c r="F32" s="1650" t="s">
        <v>502</v>
      </c>
      <c r="G32" s="1650" t="s">
        <v>882</v>
      </c>
      <c r="H32" s="1651"/>
      <c r="I32" s="1651"/>
      <c r="J32" s="1650" t="s">
        <v>882</v>
      </c>
      <c r="K32" s="1650" t="s">
        <v>883</v>
      </c>
      <c r="L32" s="1650" t="s">
        <v>884</v>
      </c>
      <c r="M32" s="1650" t="s">
        <v>885</v>
      </c>
      <c r="N32" s="1650" t="s">
        <v>1457</v>
      </c>
      <c r="O32" s="1650" t="s">
        <v>1458</v>
      </c>
      <c r="P32" s="1652" t="str">
        <f>IFERROR(__xludf.DUMMYFUNCTION("IFERROR(
  TEXT(
    DATE(
      INDEX(SPLIT(O32,"" ""),3),
      VLOOKUP(INDEX(SPLIT(O32,"" ""),1),{""jan."",1;""Feb"",2;""mar."",3;""Apr"",4;""May"",5;""jun."",6;""jul."",7;""Aug"",8;""Sep"",9;""Oct"",10;""nov."",11;""Dec"",12},2,FALSE),
      INDEX(SPL"&amp;"IT(O32,"" ""),2)
    ),
    ""dd/mm/yyyy""
  ),
"""")"),"17/04/2026")</f>
        <v>17/04/2026</v>
      </c>
    </row>
    <row r="33">
      <c r="A33" s="1649" t="s">
        <v>1459</v>
      </c>
      <c r="B33" s="1649" t="s">
        <v>1460</v>
      </c>
      <c r="C33" s="1650" t="s">
        <v>1428</v>
      </c>
      <c r="D33" s="1650" t="s">
        <v>881</v>
      </c>
      <c r="E33" s="1651"/>
      <c r="F33" s="1650" t="s">
        <v>508</v>
      </c>
      <c r="G33" s="1650" t="s">
        <v>882</v>
      </c>
      <c r="H33" s="1651"/>
      <c r="I33" s="1651"/>
      <c r="J33" s="1650" t="s">
        <v>882</v>
      </c>
      <c r="K33" s="1650" t="s">
        <v>883</v>
      </c>
      <c r="L33" s="1650" t="s">
        <v>884</v>
      </c>
      <c r="M33" s="1650" t="s">
        <v>885</v>
      </c>
      <c r="N33" s="1650" t="s">
        <v>1461</v>
      </c>
      <c r="O33" s="1650" t="s">
        <v>1361</v>
      </c>
      <c r="P33" s="1652" t="str">
        <f>IFERROR(__xludf.DUMMYFUNCTION("IFERROR(
  TEXT(
    DATE(
      INDEX(SPLIT(O33,"" ""),3),
      VLOOKUP(INDEX(SPLIT(O33,"" ""),1),{""jan."",1;""Feb"",2;""mar."",3;""Apr"",4;""May"",5;""jun."",6;""jul."",7;""Aug"",8;""Sep"",9;""Oct"",10;""nov."",11;""Dec"",12},2,FALSE),
      INDEX(SPL"&amp;"IT(O33,"" ""),2)
    ),
    ""dd/mm/yyyy""
  ),
"""")"),"04/12/2025")</f>
        <v>04/12/2025</v>
      </c>
    </row>
    <row r="34">
      <c r="A34" s="1649" t="s">
        <v>1462</v>
      </c>
      <c r="B34" s="1649" t="s">
        <v>1463</v>
      </c>
      <c r="C34" s="1650" t="s">
        <v>1428</v>
      </c>
      <c r="D34" s="1650" t="s">
        <v>881</v>
      </c>
      <c r="E34" s="1651"/>
      <c r="F34" s="1650" t="s">
        <v>479</v>
      </c>
      <c r="G34" s="1650" t="s">
        <v>882</v>
      </c>
      <c r="H34" s="1651"/>
      <c r="I34" s="1651"/>
      <c r="J34" s="1650" t="s">
        <v>882</v>
      </c>
      <c r="K34" s="1650" t="s">
        <v>883</v>
      </c>
      <c r="L34" s="1650" t="s">
        <v>884</v>
      </c>
      <c r="M34" s="1650" t="s">
        <v>885</v>
      </c>
      <c r="N34" s="1650" t="s">
        <v>1464</v>
      </c>
      <c r="O34" s="1650" t="s">
        <v>1465</v>
      </c>
      <c r="P34" s="1652" t="str">
        <f>IFERROR(__xludf.DUMMYFUNCTION("IFERROR(
  TEXT(
    DATE(
      INDEX(SPLIT(O34,"" ""),3),
      VLOOKUP(INDEX(SPLIT(O34,"" ""),1),{""jan."",1;""Feb"",2;""mar."",3;""Apr"",4;""May"",5;""jun."",6;""jul."",7;""Aug"",8;""Sep"",9;""Oct"",10;""nov."",11;""Dec"",12},2,FALSE),
      INDEX(SPL"&amp;"IT(O34,"" ""),2)
    ),
    ""dd/mm/yyyy""
  ),
"""")"),"29/04/2026")</f>
        <v>29/04/2026</v>
      </c>
    </row>
    <row r="35">
      <c r="A35" s="1649" t="s">
        <v>1466</v>
      </c>
      <c r="B35" s="1649" t="s">
        <v>1467</v>
      </c>
      <c r="C35" s="1650" t="s">
        <v>1428</v>
      </c>
      <c r="D35" s="1650" t="s">
        <v>881</v>
      </c>
      <c r="E35" s="1651"/>
      <c r="F35" s="1650" t="s">
        <v>596</v>
      </c>
      <c r="G35" s="1650" t="s">
        <v>882</v>
      </c>
      <c r="H35" s="1651"/>
      <c r="I35" s="1651"/>
      <c r="J35" s="1650" t="s">
        <v>882</v>
      </c>
      <c r="K35" s="1650" t="s">
        <v>883</v>
      </c>
      <c r="L35" s="1650" t="s">
        <v>884</v>
      </c>
      <c r="M35" s="1650" t="s">
        <v>885</v>
      </c>
      <c r="N35" s="1650" t="s">
        <v>1010</v>
      </c>
      <c r="O35" s="1650" t="s">
        <v>1468</v>
      </c>
      <c r="P35" s="1652" t="str">
        <f>IFERROR(__xludf.DUMMYFUNCTION("IFERROR(
  TEXT(
    DATE(
      INDEX(SPLIT(O35,"" ""),3),
      VLOOKUP(INDEX(SPLIT(O35,"" ""),1),{""jan."",1;""Feb"",2;""mar."",3;""Apr"",4;""May"",5;""jun."",6;""jul."",7;""Aug"",8;""Sep"",9;""Oct"",10;""nov."",11;""Dec"",12},2,FALSE),
      INDEX(SPL"&amp;"IT(O35,"" ""),2)
    ),
    ""dd/mm/yyyy""
  ),
"""")"),"29/04/2026")</f>
        <v>29/04/2026</v>
      </c>
    </row>
    <row r="36">
      <c r="A36" s="1649" t="s">
        <v>1469</v>
      </c>
      <c r="B36" s="1649" t="s">
        <v>1470</v>
      </c>
      <c r="C36" s="1650" t="s">
        <v>1428</v>
      </c>
      <c r="D36" s="1650" t="s">
        <v>881</v>
      </c>
      <c r="E36" s="1651"/>
      <c r="F36" s="1650" t="s">
        <v>718</v>
      </c>
      <c r="G36" s="1650" t="s">
        <v>882</v>
      </c>
      <c r="H36" s="1651"/>
      <c r="I36" s="1651"/>
      <c r="J36" s="1650" t="s">
        <v>882</v>
      </c>
      <c r="K36" s="1650" t="s">
        <v>883</v>
      </c>
      <c r="L36" s="1650" t="s">
        <v>884</v>
      </c>
      <c r="M36" s="1650" t="s">
        <v>885</v>
      </c>
      <c r="N36" s="1650" t="s">
        <v>1471</v>
      </c>
      <c r="O36" s="1650" t="s">
        <v>1472</v>
      </c>
      <c r="P36" s="1652" t="str">
        <f>IFERROR(__xludf.DUMMYFUNCTION("IFERROR(
  TEXT(
    DATE(
      INDEX(SPLIT(O36,"" ""),3),
      VLOOKUP(INDEX(SPLIT(O36,"" ""),1),{""jan."",1;""Feb"",2;""mar."",3;""Apr"",4;""May"",5;""jun."",6;""jul."",7;""Aug"",8;""Sep"",9;""Oct"",10;""nov."",11;""Dec"",12},2,FALSE),
      INDEX(SPL"&amp;"IT(O36,"" ""),2)
    ),
    ""dd/mm/yyyy""
  ),
"""")"),"06/04/2026")</f>
        <v>06/04/2026</v>
      </c>
    </row>
    <row r="37">
      <c r="A37" s="1649" t="s">
        <v>1473</v>
      </c>
      <c r="B37" s="1649" t="s">
        <v>1474</v>
      </c>
      <c r="C37" s="1650" t="s">
        <v>1428</v>
      </c>
      <c r="D37" s="1650" t="s">
        <v>881</v>
      </c>
      <c r="E37" s="1651"/>
      <c r="F37" s="1650" t="s">
        <v>1475</v>
      </c>
      <c r="G37" s="1650" t="s">
        <v>882</v>
      </c>
      <c r="H37" s="1651"/>
      <c r="I37" s="1651"/>
      <c r="J37" s="1650" t="s">
        <v>882</v>
      </c>
      <c r="K37" s="1650" t="s">
        <v>883</v>
      </c>
      <c r="L37" s="1650" t="s">
        <v>884</v>
      </c>
      <c r="M37" s="1650" t="s">
        <v>885</v>
      </c>
      <c r="N37" s="1650" t="s">
        <v>1476</v>
      </c>
      <c r="O37" s="1650" t="s">
        <v>1477</v>
      </c>
      <c r="P37" s="1652" t="str">
        <f>IFERROR(__xludf.DUMMYFUNCTION("IFERROR(
  TEXT(
    DATE(
      INDEX(SPLIT(O37,"" ""),3),
      VLOOKUP(INDEX(SPLIT(O37,"" ""),1),{""jan."",1;""Feb"",2;""mar."",3;""Apr"",4;""May"",5;""jun."",6;""jul."",7;""Aug"",8;""Sep"",9;""Oct"",10;""nov."",11;""Dec"",12},2,FALSE),
      INDEX(SPL"&amp;"IT(O37,"" ""),2)
    ),
    ""dd/mm/yyyy""
  ),
"""")"),"06/05/2026")</f>
        <v>06/05/2026</v>
      </c>
    </row>
    <row r="38">
      <c r="A38" s="1649" t="s">
        <v>1478</v>
      </c>
      <c r="B38" s="1649" t="s">
        <v>1479</v>
      </c>
      <c r="C38" s="1650" t="s">
        <v>1428</v>
      </c>
      <c r="D38" s="1650" t="s">
        <v>881</v>
      </c>
      <c r="E38" s="1651"/>
      <c r="F38" s="1650" t="s">
        <v>508</v>
      </c>
      <c r="G38" s="1650" t="s">
        <v>882</v>
      </c>
      <c r="H38" s="1651"/>
      <c r="I38" s="1651"/>
      <c r="J38" s="1650" t="s">
        <v>882</v>
      </c>
      <c r="K38" s="1650" t="s">
        <v>883</v>
      </c>
      <c r="L38" s="1650" t="s">
        <v>884</v>
      </c>
      <c r="M38" s="1650" t="s">
        <v>885</v>
      </c>
      <c r="N38" s="1650" t="s">
        <v>1480</v>
      </c>
      <c r="O38" s="1652">
        <v>46108.48402777778</v>
      </c>
      <c r="P38" s="1652" t="str">
        <f>IFERROR(__xludf.DUMMYFUNCTION("IFERROR(
  TEXT(
    DATE(
      INDEX(SPLIT(O38,"" ""),3),
      VLOOKUP(INDEX(SPLIT(O38,"" ""),1),{""jan."",1;""Feb"",2;""mar."",3;""Apr"",4;""May"",5;""jun."",6;""jul."",7;""Aug"",8;""Sep"",9;""Oct"",10;""nov."",11;""Dec"",12},2,FALSE),
      INDEX(SPL"&amp;"IT(O38,"" ""),2)
    ),
    ""dd/mm/yyyy""
  ),
"""")"),"27/03/2026")</f>
        <v>27/03/2026</v>
      </c>
    </row>
    <row r="39">
      <c r="A39" s="1649" t="s">
        <v>1481</v>
      </c>
      <c r="B39" s="1649" t="s">
        <v>1482</v>
      </c>
      <c r="C39" s="1650" t="s">
        <v>1428</v>
      </c>
      <c r="D39" s="1650" t="s">
        <v>881</v>
      </c>
      <c r="E39" s="1651"/>
      <c r="F39" s="1650" t="s">
        <v>718</v>
      </c>
      <c r="G39" s="1650" t="s">
        <v>882</v>
      </c>
      <c r="H39" s="1651"/>
      <c r="I39" s="1651"/>
      <c r="J39" s="1650" t="s">
        <v>882</v>
      </c>
      <c r="K39" s="1650" t="s">
        <v>883</v>
      </c>
      <c r="L39" s="1650" t="s">
        <v>884</v>
      </c>
      <c r="M39" s="1650" t="s">
        <v>1483</v>
      </c>
      <c r="N39" s="1650" t="s">
        <v>1484</v>
      </c>
      <c r="O39" s="1650" t="s">
        <v>1485</v>
      </c>
      <c r="P39" s="1652" t="str">
        <f>IFERROR(__xludf.DUMMYFUNCTION("IFERROR(
  TEXT(
    DATE(
      INDEX(SPLIT(O39,"" ""),3),
      VLOOKUP(INDEX(SPLIT(O39,"" ""),1),{""jan."",1;""Feb"",2;""mar."",3;""Apr"",4;""May"",5;""jun."",6;""jul."",7;""Aug"",8;""Sep"",9;""Oct"",10;""nov."",11;""Dec"",12},2,FALSE),
      INDEX(SPL"&amp;"IT(O39,"" ""),2)
    ),
    ""dd/mm/yyyy""
  ),
"""")"),"08/04/2026")</f>
        <v>08/04/2026</v>
      </c>
    </row>
    <row r="40">
      <c r="A40" s="1649" t="s">
        <v>1486</v>
      </c>
      <c r="B40" s="1649" t="s">
        <v>1487</v>
      </c>
      <c r="C40" s="1650" t="s">
        <v>1428</v>
      </c>
      <c r="D40" s="1650" t="s">
        <v>881</v>
      </c>
      <c r="E40" s="1651"/>
      <c r="F40" s="1650" t="s">
        <v>508</v>
      </c>
      <c r="G40" s="1650" t="s">
        <v>882</v>
      </c>
      <c r="H40" s="1651"/>
      <c r="I40" s="1651"/>
      <c r="J40" s="1650" t="s">
        <v>882</v>
      </c>
      <c r="K40" s="1650" t="s">
        <v>883</v>
      </c>
      <c r="L40" s="1650" t="s">
        <v>884</v>
      </c>
      <c r="M40" s="1650" t="s">
        <v>885</v>
      </c>
      <c r="N40" s="1650" t="s">
        <v>1488</v>
      </c>
      <c r="O40" s="1650" t="s">
        <v>1489</v>
      </c>
      <c r="P40" s="1652" t="str">
        <f>IFERROR(__xludf.DUMMYFUNCTION("IFERROR(
  TEXT(
    DATE(
      INDEX(SPLIT(O40,"" ""),3),
      VLOOKUP(INDEX(SPLIT(O40,"" ""),1),{""jan."",1;""Feb"",2;""mar."",3;""Apr"",4;""May"",5;""jun."",6;""jul."",7;""Aug"",8;""Sep"",9;""Oct"",10;""nov."",11;""Dec"",12},2,FALSE),
      INDEX(SPL"&amp;"IT(O40,"" ""),2)
    ),
    ""dd/mm/yyyy""
  ),
"""")"),"10/04/2026")</f>
        <v>10/04/2026</v>
      </c>
    </row>
    <row r="41">
      <c r="A41" s="1649" t="s">
        <v>1490</v>
      </c>
      <c r="B41" s="1649" t="s">
        <v>1491</v>
      </c>
      <c r="C41" s="1650" t="s">
        <v>1428</v>
      </c>
      <c r="D41" s="1650" t="s">
        <v>881</v>
      </c>
      <c r="E41" s="1651"/>
      <c r="F41" s="1650" t="s">
        <v>718</v>
      </c>
      <c r="G41" s="1650" t="s">
        <v>882</v>
      </c>
      <c r="H41" s="1651"/>
      <c r="I41" s="1651"/>
      <c r="J41" s="1650" t="s">
        <v>882</v>
      </c>
      <c r="K41" s="1650" t="s">
        <v>883</v>
      </c>
      <c r="L41" s="1650" t="s">
        <v>884</v>
      </c>
      <c r="M41" s="1650" t="s">
        <v>885</v>
      </c>
      <c r="N41" s="1650" t="s">
        <v>1492</v>
      </c>
      <c r="O41" s="1650" t="s">
        <v>1493</v>
      </c>
      <c r="P41" s="1652" t="str">
        <f>IFERROR(__xludf.DUMMYFUNCTION("IFERROR(
  TEXT(
    DATE(
      INDEX(SPLIT(O41,"" ""),3),
      VLOOKUP(INDEX(SPLIT(O41,"" ""),1),{""jan."",1;""Feb"",2;""mar."",3;""Apr"",4;""May"",5;""jun."",6;""jul."",7;""Aug"",8;""Sep"",9;""Oct"",10;""nov."",11;""Dec"",12},2,FALSE),
      INDEX(SPL"&amp;"IT(O41,"" ""),2)
    ),
    ""dd/mm/yyyy""
  ),
"""")"),"05/05/2026")</f>
        <v>05/05/2026</v>
      </c>
    </row>
    <row r="42">
      <c r="A42" s="1649" t="s">
        <v>1494</v>
      </c>
      <c r="B42" s="1649" t="s">
        <v>1495</v>
      </c>
      <c r="C42" s="1650" t="s">
        <v>1428</v>
      </c>
      <c r="D42" s="1650" t="s">
        <v>881</v>
      </c>
      <c r="E42" s="1651"/>
      <c r="F42" s="1650" t="s">
        <v>479</v>
      </c>
      <c r="G42" s="1650" t="s">
        <v>882</v>
      </c>
      <c r="H42" s="1651"/>
      <c r="I42" s="1651"/>
      <c r="J42" s="1650" t="s">
        <v>882</v>
      </c>
      <c r="K42" s="1650" t="s">
        <v>883</v>
      </c>
      <c r="L42" s="1650" t="s">
        <v>884</v>
      </c>
      <c r="M42" s="1650" t="s">
        <v>885</v>
      </c>
      <c r="N42" s="1650" t="s">
        <v>1496</v>
      </c>
      <c r="O42" s="1650" t="s">
        <v>1497</v>
      </c>
      <c r="P42" s="1652" t="str">
        <f>IFERROR(__xludf.DUMMYFUNCTION("IFERROR(
  TEXT(
    DATE(
      INDEX(SPLIT(O42,"" ""),3),
      VLOOKUP(INDEX(SPLIT(O42,"" ""),1),{""jan."",1;""Feb"",2;""mar."",3;""Apr"",4;""May"",5;""jun."",6;""jul."",7;""Aug"",8;""Sep"",9;""Oct"",10;""nov."",11;""Dec"",12},2,FALSE),
      INDEX(SPL"&amp;"IT(O42,"" ""),2)
    ),
    ""dd/mm/yyyy""
  ),
"""")"),"10/04/2026")</f>
        <v>10/04/2026</v>
      </c>
    </row>
    <row r="43">
      <c r="A43" s="1649" t="s">
        <v>1498</v>
      </c>
      <c r="B43" s="1649" t="s">
        <v>1499</v>
      </c>
      <c r="C43" s="1650" t="s">
        <v>1428</v>
      </c>
      <c r="D43" s="1650" t="s">
        <v>881</v>
      </c>
      <c r="E43" s="1651"/>
      <c r="F43" s="1650" t="s">
        <v>717</v>
      </c>
      <c r="G43" s="1650" t="s">
        <v>882</v>
      </c>
      <c r="H43" s="1651"/>
      <c r="I43" s="1651"/>
      <c r="J43" s="1650" t="s">
        <v>882</v>
      </c>
      <c r="K43" s="1650" t="s">
        <v>883</v>
      </c>
      <c r="L43" s="1650" t="s">
        <v>884</v>
      </c>
      <c r="M43" s="1650" t="s">
        <v>885</v>
      </c>
      <c r="N43" s="1650" t="s">
        <v>1500</v>
      </c>
      <c r="O43" s="1650" t="s">
        <v>1501</v>
      </c>
      <c r="P43" s="1652" t="str">
        <f>IFERROR(__xludf.DUMMYFUNCTION("IFERROR(
  TEXT(
    DATE(
      INDEX(SPLIT(O43,"" ""),3),
      VLOOKUP(INDEX(SPLIT(O43,"" ""),1),{""jan."",1;""Feb"",2;""mar."",3;""Apr"",4;""May"",5;""jun."",6;""jul."",7;""Aug"",8;""Sep"",9;""Oct"",10;""nov."",11;""Dec"",12},2,FALSE),
      INDEX(SPL"&amp;"IT(O43,"" ""),2)
    ),
    ""dd/mm/yyyy""
  ),
"""")"),"07/04/2026")</f>
        <v>07/04/2026</v>
      </c>
    </row>
    <row r="44">
      <c r="A44" s="1649" t="s">
        <v>1502</v>
      </c>
      <c r="B44" s="1649" t="s">
        <v>1503</v>
      </c>
      <c r="C44" s="1650" t="s">
        <v>1428</v>
      </c>
      <c r="D44" s="1650" t="s">
        <v>881</v>
      </c>
      <c r="E44" s="1651"/>
      <c r="F44" s="1650" t="s">
        <v>719</v>
      </c>
      <c r="G44" s="1650" t="s">
        <v>882</v>
      </c>
      <c r="H44" s="1651"/>
      <c r="I44" s="1651"/>
      <c r="J44" s="1650" t="s">
        <v>882</v>
      </c>
      <c r="K44" s="1650" t="s">
        <v>883</v>
      </c>
      <c r="L44" s="1650" t="s">
        <v>884</v>
      </c>
      <c r="M44" s="1650" t="s">
        <v>885</v>
      </c>
      <c r="N44" s="1650" t="s">
        <v>1504</v>
      </c>
      <c r="O44" s="1652">
        <v>46052.49375</v>
      </c>
      <c r="P44" s="1652" t="str">
        <f>IFERROR(__xludf.DUMMYFUNCTION("IFERROR(
  TEXT(
    DATE(
      INDEX(SPLIT(O44,"" ""),3),
      VLOOKUP(INDEX(SPLIT(O44,"" ""),1),{""jan."",1;""Feb"",2;""mar."",3;""Apr"",4;""May"",5;""jun."",6;""jul."",7;""Aug"",8;""Sep"",9;""Oct"",10;""nov."",11;""Dec"",12},2,FALSE),
      INDEX(SPL"&amp;"IT(O44,"" ""),2)
    ),
    ""dd/mm/yyyy""
  ),
"""")"),"30/01/2026")</f>
        <v>30/01/2026</v>
      </c>
    </row>
    <row r="45">
      <c r="A45" s="1649" t="s">
        <v>1505</v>
      </c>
      <c r="B45" s="1649" t="s">
        <v>1506</v>
      </c>
      <c r="C45" s="1650" t="s">
        <v>1428</v>
      </c>
      <c r="D45" s="1650" t="s">
        <v>881</v>
      </c>
      <c r="E45" s="1651"/>
      <c r="F45" s="1650" t="s">
        <v>719</v>
      </c>
      <c r="G45" s="1650" t="s">
        <v>882</v>
      </c>
      <c r="H45" s="1651"/>
      <c r="I45" s="1651"/>
      <c r="J45" s="1650" t="s">
        <v>882</v>
      </c>
      <c r="K45" s="1650" t="s">
        <v>883</v>
      </c>
      <c r="L45" s="1650" t="s">
        <v>884</v>
      </c>
      <c r="M45" s="1650" t="s">
        <v>885</v>
      </c>
      <c r="N45" s="1650" t="s">
        <v>1507</v>
      </c>
      <c r="O45" s="1652">
        <v>46099.42847222222</v>
      </c>
      <c r="P45" s="1652" t="str">
        <f>IFERROR(__xludf.DUMMYFUNCTION("IFERROR(
  TEXT(
    DATE(
      INDEX(SPLIT(O45,"" ""),3),
      VLOOKUP(INDEX(SPLIT(O45,"" ""),1),{""jan."",1;""Feb"",2;""mar."",3;""Apr"",4;""May"",5;""jun."",6;""jul."",7;""Aug"",8;""Sep"",9;""Oct"",10;""nov."",11;""Dec"",12},2,FALSE),
      INDEX(SPL"&amp;"IT(O45,"" ""),2)
    ),
    ""dd/mm/yyyy""
  ),
"""")"),"18/03/2026")</f>
        <v>18/03/2026</v>
      </c>
    </row>
    <row r="46">
      <c r="A46" s="1649" t="s">
        <v>1508</v>
      </c>
      <c r="B46" s="1649" t="s">
        <v>1509</v>
      </c>
      <c r="C46" s="1650" t="s">
        <v>1428</v>
      </c>
      <c r="D46" s="1650" t="s">
        <v>881</v>
      </c>
      <c r="E46" s="1651"/>
      <c r="F46" s="1650" t="s">
        <v>731</v>
      </c>
      <c r="G46" s="1650" t="s">
        <v>882</v>
      </c>
      <c r="H46" s="1651"/>
      <c r="I46" s="1651"/>
      <c r="J46" s="1650" t="s">
        <v>882</v>
      </c>
      <c r="K46" s="1650" t="s">
        <v>883</v>
      </c>
      <c r="L46" s="1650" t="s">
        <v>884</v>
      </c>
      <c r="M46" s="1650" t="s">
        <v>885</v>
      </c>
      <c r="N46" s="1650" t="s">
        <v>1510</v>
      </c>
      <c r="O46" s="1652">
        <v>46107.748611111114</v>
      </c>
      <c r="P46" s="1652" t="str">
        <f>IFERROR(__xludf.DUMMYFUNCTION("IFERROR(
  TEXT(
    DATE(
      INDEX(SPLIT(O46,"" ""),3),
      VLOOKUP(INDEX(SPLIT(O46,"" ""),1),{""jan."",1;""Feb"",2;""mar."",3;""Apr"",4;""May"",5;""jun."",6;""jul."",7;""Aug"",8;""Sep"",9;""Oct"",10;""nov."",11;""Dec"",12},2,FALSE),
      INDEX(SPL"&amp;"IT(O46,"" ""),2)
    ),
    ""dd/mm/yyyy""
  ),
"""")"),"26/03/2026")</f>
        <v>26/03/2026</v>
      </c>
    </row>
    <row r="47">
      <c r="A47" s="1649" t="s">
        <v>1511</v>
      </c>
      <c r="B47" s="1649" t="s">
        <v>1512</v>
      </c>
      <c r="C47" s="1650" t="s">
        <v>1428</v>
      </c>
      <c r="D47" s="1650" t="s">
        <v>881</v>
      </c>
      <c r="E47" s="1651"/>
      <c r="F47" s="1650" t="s">
        <v>508</v>
      </c>
      <c r="G47" s="1650" t="s">
        <v>882</v>
      </c>
      <c r="H47" s="1651"/>
      <c r="I47" s="1651"/>
      <c r="J47" s="1650" t="s">
        <v>882</v>
      </c>
      <c r="K47" s="1650" t="s">
        <v>883</v>
      </c>
      <c r="L47" s="1650" t="s">
        <v>884</v>
      </c>
      <c r="M47" s="1650" t="s">
        <v>885</v>
      </c>
      <c r="N47" s="1650" t="s">
        <v>937</v>
      </c>
      <c r="O47" s="1650" t="s">
        <v>1513</v>
      </c>
      <c r="P47" s="1652" t="str">
        <f>IFERROR(__xludf.DUMMYFUNCTION("IFERROR(
  TEXT(
    DATE(
      INDEX(SPLIT(O47,"" ""),3),
      VLOOKUP(INDEX(SPLIT(O47,"" ""),1),{""jan."",1;""Feb"",2;""mar."",3;""Apr"",4;""May"",5;""jun."",6;""jul."",7;""Aug"",8;""Sep"",9;""Oct"",10;""nov."",11;""Dec"",12},2,FALSE),
      INDEX(SPL"&amp;"IT(O47,"" ""),2)
    ),
    ""dd/mm/yyyy""
  ),
"""")"),"28/02/2026")</f>
        <v>28/02/2026</v>
      </c>
    </row>
    <row r="48">
      <c r="A48" s="1649" t="s">
        <v>1514</v>
      </c>
      <c r="B48" s="1649" t="s">
        <v>1515</v>
      </c>
      <c r="C48" s="1653"/>
      <c r="D48" s="1653"/>
      <c r="E48" s="1651"/>
      <c r="F48" s="1650" t="s">
        <v>489</v>
      </c>
      <c r="G48" s="1650" t="s">
        <v>882</v>
      </c>
      <c r="H48" s="1651"/>
      <c r="I48" s="1651"/>
      <c r="J48" s="1650" t="s">
        <v>882</v>
      </c>
      <c r="K48" s="1650" t="s">
        <v>883</v>
      </c>
      <c r="L48" s="1650" t="s">
        <v>884</v>
      </c>
      <c r="M48" s="1650" t="s">
        <v>885</v>
      </c>
      <c r="N48" s="1650" t="s">
        <v>1516</v>
      </c>
      <c r="O48" s="1650" t="s">
        <v>1517</v>
      </c>
      <c r="P48" s="1652" t="str">
        <f>IFERROR(__xludf.DUMMYFUNCTION("IFERROR(
  TEXT(
    DATE(
      INDEX(SPLIT(O48,"" ""),3),
      VLOOKUP(INDEX(SPLIT(O48,"" ""),1),{""jan."",1;""Feb"",2;""mar."",3;""Apr"",4;""May"",5;""jun."",6;""jul."",7;""Aug"",8;""Sep"",9;""Oct"",10;""nov."",11;""Dec"",12},2,FALSE),
      INDEX(SPL"&amp;"IT(O48,"" ""),2)
    ),
    ""dd/mm/yyyy""
  ),
"""")"),"11/05/2026")</f>
        <v>11/05/2026</v>
      </c>
    </row>
    <row r="49">
      <c r="A49" s="1649" t="s">
        <v>1518</v>
      </c>
      <c r="B49" s="1649" t="s">
        <v>1519</v>
      </c>
      <c r="C49" s="1650" t="s">
        <v>1520</v>
      </c>
      <c r="D49" s="1650" t="s">
        <v>881</v>
      </c>
      <c r="E49" s="1651"/>
      <c r="F49" s="1650" t="s">
        <v>489</v>
      </c>
      <c r="G49" s="1650" t="s">
        <v>882</v>
      </c>
      <c r="H49" s="1651"/>
      <c r="I49" s="1651"/>
      <c r="J49" s="1650" t="s">
        <v>882</v>
      </c>
      <c r="K49" s="1650" t="s">
        <v>883</v>
      </c>
      <c r="L49" s="1650" t="s">
        <v>884</v>
      </c>
      <c r="M49" s="1650" t="s">
        <v>885</v>
      </c>
      <c r="N49" s="1650" t="s">
        <v>1521</v>
      </c>
      <c r="O49" s="1650" t="s">
        <v>1517</v>
      </c>
      <c r="P49" s="1652" t="str">
        <f>IFERROR(__xludf.DUMMYFUNCTION("IFERROR(
  TEXT(
    DATE(
      INDEX(SPLIT(O49,"" ""),3),
      VLOOKUP(INDEX(SPLIT(O49,"" ""),1),{""jan."",1;""Feb"",2;""mar."",3;""Apr"",4;""May"",5;""jun."",6;""jul."",7;""Aug"",8;""Sep"",9;""Oct"",10;""nov."",11;""Dec"",12},2,FALSE),
      INDEX(SPL"&amp;"IT(O49,"" ""),2)
    ),
    ""dd/mm/yyyy""
  ),
"""")"),"11/05/2026")</f>
        <v>11/05/2026</v>
      </c>
    </row>
    <row r="50">
      <c r="A50" s="1649" t="s">
        <v>1522</v>
      </c>
      <c r="B50" s="1649" t="s">
        <v>1523</v>
      </c>
      <c r="C50" s="1650" t="s">
        <v>1428</v>
      </c>
      <c r="D50" s="1650" t="s">
        <v>881</v>
      </c>
      <c r="E50" s="1651"/>
      <c r="F50" s="1650" t="s">
        <v>492</v>
      </c>
      <c r="G50" s="1650" t="s">
        <v>882</v>
      </c>
      <c r="H50" s="1651"/>
      <c r="I50" s="1651"/>
      <c r="J50" s="1650" t="s">
        <v>882</v>
      </c>
      <c r="K50" s="1650" t="s">
        <v>883</v>
      </c>
      <c r="L50" s="1650" t="s">
        <v>884</v>
      </c>
      <c r="M50" s="1650" t="s">
        <v>885</v>
      </c>
      <c r="N50" s="1650" t="s">
        <v>1524</v>
      </c>
      <c r="O50" s="1652">
        <v>46083.677777777775</v>
      </c>
      <c r="P50" s="1652" t="str">
        <f>IFERROR(__xludf.DUMMYFUNCTION("IFERROR(
  TEXT(
    DATE(
      INDEX(SPLIT(O50,"" ""),3),
      VLOOKUP(INDEX(SPLIT(O50,"" ""),1),{""jan."",1;""Feb"",2;""mar."",3;""Apr"",4;""May"",5;""jun."",6;""jul."",7;""Aug"",8;""Sep"",9;""Oct"",10;""nov."",11;""Dec"",12},2,FALSE),
      INDEX(SPL"&amp;"IT(O50,"" ""),2)
    ),
    ""dd/mm/yyyy""
  ),
"""")"),"02/03/2026")</f>
        <v>02/03/2026</v>
      </c>
    </row>
    <row r="51">
      <c r="A51" s="1649" t="s">
        <v>1525</v>
      </c>
      <c r="B51" s="1649" t="s">
        <v>1526</v>
      </c>
      <c r="C51" s="1653"/>
      <c r="D51" s="1653"/>
      <c r="E51" s="1651"/>
      <c r="F51" s="1650" t="s">
        <v>597</v>
      </c>
      <c r="G51" s="1650" t="s">
        <v>882</v>
      </c>
      <c r="H51" s="1651"/>
      <c r="I51" s="1651"/>
      <c r="J51" s="1650" t="s">
        <v>882</v>
      </c>
      <c r="K51" s="1650" t="s">
        <v>883</v>
      </c>
      <c r="L51" s="1650" t="s">
        <v>884</v>
      </c>
      <c r="M51" s="1650" t="s">
        <v>885</v>
      </c>
      <c r="N51" s="1650" t="s">
        <v>1527</v>
      </c>
      <c r="O51" s="1650" t="s">
        <v>1528</v>
      </c>
      <c r="P51" s="1652" t="str">
        <f>IFERROR(__xludf.DUMMYFUNCTION("IFERROR(
  TEXT(
    DATE(
      INDEX(SPLIT(O51,"" ""),3),
      VLOOKUP(INDEX(SPLIT(O51,"" ""),1),{""jan."",1;""Feb"",2;""mar."",3;""Apr"",4;""May"",5;""jun."",6;""jul."",7;""Aug"",8;""Sep"",9;""Oct"",10;""nov."",11;""Dec"",12},2,FALSE),
      INDEX(SPL"&amp;"IT(O51,"" ""),2)
    ),
    ""dd/mm/yyyy""
  ),
"""")"),"06/05/2026")</f>
        <v>06/05/2026</v>
      </c>
    </row>
    <row r="52">
      <c r="A52" s="1649" t="s">
        <v>1529</v>
      </c>
      <c r="B52" s="1649" t="s">
        <v>1530</v>
      </c>
      <c r="C52" s="1653"/>
      <c r="D52" s="1653"/>
      <c r="E52" s="1651"/>
      <c r="F52" s="1650" t="s">
        <v>597</v>
      </c>
      <c r="G52" s="1650" t="s">
        <v>882</v>
      </c>
      <c r="H52" s="1651"/>
      <c r="I52" s="1651"/>
      <c r="J52" s="1650" t="s">
        <v>882</v>
      </c>
      <c r="K52" s="1650" t="s">
        <v>883</v>
      </c>
      <c r="L52" s="1650" t="s">
        <v>884</v>
      </c>
      <c r="M52" s="1650" t="s">
        <v>885</v>
      </c>
      <c r="N52" s="1650" t="s">
        <v>1531</v>
      </c>
      <c r="O52" s="1650" t="s">
        <v>1532</v>
      </c>
      <c r="P52" s="1652" t="str">
        <f>IFERROR(__xludf.DUMMYFUNCTION("IFERROR(
  TEXT(
    DATE(
      INDEX(SPLIT(O52,"" ""),3),
      VLOOKUP(INDEX(SPLIT(O52,"" ""),1),{""jan."",1;""Feb"",2;""mar."",3;""Apr"",4;""May"",5;""jun."",6;""jul."",7;""Aug"",8;""Sep"",9;""Oct"",10;""nov."",11;""Dec"",12},2,FALSE),
      INDEX(SPL"&amp;"IT(O52,"" ""),2)
    ),
    ""dd/mm/yyyy""
  ),
"""")"),"08/04/2026")</f>
        <v>08/04/2026</v>
      </c>
    </row>
    <row r="53">
      <c r="A53" s="1649" t="s">
        <v>1533</v>
      </c>
      <c r="B53" s="1649" t="s">
        <v>1534</v>
      </c>
      <c r="C53" s="1653"/>
      <c r="D53" s="1653"/>
      <c r="E53" s="1651"/>
      <c r="F53" s="1650" t="s">
        <v>718</v>
      </c>
      <c r="G53" s="1650" t="s">
        <v>882</v>
      </c>
      <c r="H53" s="1651"/>
      <c r="I53" s="1651"/>
      <c r="J53" s="1650" t="s">
        <v>882</v>
      </c>
      <c r="K53" s="1650" t="s">
        <v>883</v>
      </c>
      <c r="L53" s="1650" t="s">
        <v>884</v>
      </c>
      <c r="M53" s="1650" t="s">
        <v>885</v>
      </c>
      <c r="N53" s="1650" t="s">
        <v>1535</v>
      </c>
      <c r="O53" s="1652">
        <v>46102.44583333333</v>
      </c>
      <c r="P53" s="1652" t="str">
        <f>IFERROR(__xludf.DUMMYFUNCTION("IFERROR(
  TEXT(
    DATE(
      INDEX(SPLIT(O53,"" ""),3),
      VLOOKUP(INDEX(SPLIT(O53,"" ""),1),{""jan."",1;""Feb"",2;""mar."",3;""Apr"",4;""May"",5;""jun."",6;""jul."",7;""Aug"",8;""Sep"",9;""Oct"",10;""nov."",11;""Dec"",12},2,FALSE),
      INDEX(SPL"&amp;"IT(O53,"" ""),2)
    ),
    ""dd/mm/yyyy""
  ),
"""")"),"21/03/2026")</f>
        <v>21/03/2026</v>
      </c>
    </row>
    <row r="54">
      <c r="A54" s="1649" t="s">
        <v>1536</v>
      </c>
      <c r="B54" s="1649" t="s">
        <v>1537</v>
      </c>
      <c r="C54" s="1653"/>
      <c r="D54" s="1653"/>
      <c r="E54" s="1651"/>
      <c r="F54" s="1650" t="s">
        <v>715</v>
      </c>
      <c r="G54" s="1650" t="s">
        <v>882</v>
      </c>
      <c r="H54" s="1651"/>
      <c r="I54" s="1651"/>
      <c r="J54" s="1650" t="s">
        <v>882</v>
      </c>
      <c r="K54" s="1650" t="s">
        <v>883</v>
      </c>
      <c r="L54" s="1650" t="s">
        <v>884</v>
      </c>
      <c r="M54" s="1650" t="s">
        <v>885</v>
      </c>
      <c r="N54" s="1650" t="s">
        <v>1538</v>
      </c>
      <c r="O54" s="1650" t="s">
        <v>1539</v>
      </c>
      <c r="P54" s="1652" t="str">
        <f>IFERROR(__xludf.DUMMYFUNCTION("IFERROR(
  TEXT(
    DATE(
      INDEX(SPLIT(O54,"" ""),3),
      VLOOKUP(INDEX(SPLIT(O54,"" ""),1),{""jan."",1;""Feb"",2;""mar."",3;""Apr"",4;""May"",5;""jun."",6;""jul."",7;""Aug"",8;""Sep"",9;""Oct"",10;""nov."",11;""Dec"",12},2,FALSE),
      INDEX(SPL"&amp;"IT(O54,"" ""),2)
    ),
    ""dd/mm/yyyy""
  ),
"""")"),"30/04/2026")</f>
        <v>30/04/2026</v>
      </c>
    </row>
    <row r="55">
      <c r="A55" s="1649" t="s">
        <v>1540</v>
      </c>
      <c r="B55" s="1649" t="s">
        <v>1541</v>
      </c>
      <c r="C55" s="1650" t="s">
        <v>1428</v>
      </c>
      <c r="D55" s="1650" t="s">
        <v>881</v>
      </c>
      <c r="E55" s="1651"/>
      <c r="F55" s="1650" t="s">
        <v>481</v>
      </c>
      <c r="G55" s="1650" t="s">
        <v>882</v>
      </c>
      <c r="H55" s="1651"/>
      <c r="I55" s="1651"/>
      <c r="J55" s="1650" t="s">
        <v>882</v>
      </c>
      <c r="K55" s="1650" t="s">
        <v>883</v>
      </c>
      <c r="L55" s="1650" t="s">
        <v>884</v>
      </c>
      <c r="M55" s="1650" t="s">
        <v>885</v>
      </c>
      <c r="N55" s="1650" t="s">
        <v>1542</v>
      </c>
      <c r="O55" s="1650" t="s">
        <v>1543</v>
      </c>
      <c r="P55" s="1652" t="str">
        <f>IFERROR(__xludf.DUMMYFUNCTION("IFERROR(
  TEXT(
    DATE(
      INDEX(SPLIT(O55,"" ""),3),
      VLOOKUP(INDEX(SPLIT(O55,"" ""),1),{""jan."",1;""Feb"",2;""mar."",3;""Apr"",4;""May"",5;""jun."",6;""jul."",7;""Aug"",8;""Sep"",9;""Oct"",10;""nov."",11;""Dec"",12},2,FALSE),
      INDEX(SPL"&amp;"IT(O55,"" ""),2)
    ),
    ""dd/mm/yyyy""
  ),
"""")"),"06/05/2026")</f>
        <v>06/05/2026</v>
      </c>
    </row>
    <row r="56">
      <c r="A56" s="1649" t="s">
        <v>1544</v>
      </c>
      <c r="B56" s="1649" t="s">
        <v>1545</v>
      </c>
      <c r="C56" s="1650" t="s">
        <v>1428</v>
      </c>
      <c r="D56" s="1650" t="s">
        <v>881</v>
      </c>
      <c r="E56" s="1651"/>
      <c r="F56" s="1650" t="s">
        <v>722</v>
      </c>
      <c r="G56" s="1650" t="s">
        <v>882</v>
      </c>
      <c r="H56" s="1651"/>
      <c r="I56" s="1651"/>
      <c r="J56" s="1650" t="s">
        <v>882</v>
      </c>
      <c r="K56" s="1650" t="s">
        <v>883</v>
      </c>
      <c r="L56" s="1650" t="s">
        <v>884</v>
      </c>
      <c r="M56" s="1650" t="s">
        <v>885</v>
      </c>
      <c r="N56" s="1650" t="s">
        <v>1546</v>
      </c>
      <c r="O56" s="1650" t="s">
        <v>1547</v>
      </c>
      <c r="P56" s="1652" t="str">
        <f>IFERROR(__xludf.DUMMYFUNCTION("IFERROR(
  TEXT(
    DATE(
      INDEX(SPLIT(O56,"" ""),3),
      VLOOKUP(INDEX(SPLIT(O56,"" ""),1),{""jan."",1;""Feb"",2;""mar."",3;""Apr"",4;""May"",5;""jun."",6;""jul."",7;""Aug"",8;""Sep"",9;""Oct"",10;""nov."",11;""Dec"",12},2,FALSE),
      INDEX(SPL"&amp;"IT(O56,"" ""),2)
    ),
    ""dd/mm/yyyy""
  ),
"""")"),"08/04/2026")</f>
        <v>08/04/2026</v>
      </c>
    </row>
    <row r="57">
      <c r="A57" s="1649" t="s">
        <v>1548</v>
      </c>
      <c r="B57" s="1649" t="s">
        <v>1549</v>
      </c>
      <c r="C57" s="1650" t="s">
        <v>1428</v>
      </c>
      <c r="D57" s="1650" t="s">
        <v>881</v>
      </c>
      <c r="E57" s="1651"/>
      <c r="F57" s="1650" t="s">
        <v>500</v>
      </c>
      <c r="G57" s="1650" t="s">
        <v>882</v>
      </c>
      <c r="H57" s="1651"/>
      <c r="I57" s="1651"/>
      <c r="J57" s="1650" t="s">
        <v>882</v>
      </c>
      <c r="K57" s="1650" t="s">
        <v>883</v>
      </c>
      <c r="L57" s="1650" t="s">
        <v>884</v>
      </c>
      <c r="M57" s="1650" t="s">
        <v>885</v>
      </c>
      <c r="N57" s="1650" t="s">
        <v>1550</v>
      </c>
      <c r="O57" s="1652">
        <v>46102.45694444444</v>
      </c>
      <c r="P57" s="1652" t="str">
        <f>IFERROR(__xludf.DUMMYFUNCTION("IFERROR(
  TEXT(
    DATE(
      INDEX(SPLIT(O57,"" ""),3),
      VLOOKUP(INDEX(SPLIT(O57,"" ""),1),{""jan."",1;""Feb"",2;""mar."",3;""Apr"",4;""May"",5;""jun."",6;""jul."",7;""Aug"",8;""Sep"",9;""Oct"",10;""nov."",11;""Dec"",12},2,FALSE),
      INDEX(SPL"&amp;"IT(O57,"" ""),2)
    ),
    ""dd/mm/yyyy""
  ),
"""")"),"21/03/2026")</f>
        <v>21/03/2026</v>
      </c>
    </row>
    <row r="58">
      <c r="A58" s="1649" t="s">
        <v>1551</v>
      </c>
      <c r="B58" s="1649" t="s">
        <v>1552</v>
      </c>
      <c r="C58" s="1650" t="s">
        <v>1428</v>
      </c>
      <c r="D58" s="1650" t="s">
        <v>881</v>
      </c>
      <c r="E58" s="1651"/>
      <c r="F58" s="1650" t="s">
        <v>722</v>
      </c>
      <c r="G58" s="1650" t="s">
        <v>882</v>
      </c>
      <c r="H58" s="1651"/>
      <c r="I58" s="1651"/>
      <c r="J58" s="1650" t="s">
        <v>882</v>
      </c>
      <c r="K58" s="1650" t="s">
        <v>883</v>
      </c>
      <c r="L58" s="1650" t="s">
        <v>884</v>
      </c>
      <c r="M58" s="1650" t="s">
        <v>885</v>
      </c>
      <c r="N58" s="1650" t="s">
        <v>1553</v>
      </c>
      <c r="O58" s="1650" t="s">
        <v>1539</v>
      </c>
      <c r="P58" s="1652" t="str">
        <f>IFERROR(__xludf.DUMMYFUNCTION("IFERROR(
  TEXT(
    DATE(
      INDEX(SPLIT(O58,"" ""),3),
      VLOOKUP(INDEX(SPLIT(O58,"" ""),1),{""jan."",1;""Feb"",2;""mar."",3;""Apr"",4;""May"",5;""jun."",6;""jul."",7;""Aug"",8;""Sep"",9;""Oct"",10;""nov."",11;""Dec"",12},2,FALSE),
      INDEX(SPL"&amp;"IT(O58,"" ""),2)
    ),
    ""dd/mm/yyyy""
  ),
"""")"),"30/04/2026")</f>
        <v>30/04/2026</v>
      </c>
    </row>
    <row r="59">
      <c r="A59" s="1649" t="s">
        <v>1554</v>
      </c>
      <c r="B59" s="1649" t="s">
        <v>1555</v>
      </c>
      <c r="C59" s="1653"/>
      <c r="D59" s="1653"/>
      <c r="E59" s="1651"/>
      <c r="F59" s="1650" t="s">
        <v>1556</v>
      </c>
      <c r="G59" s="1650" t="s">
        <v>882</v>
      </c>
      <c r="H59" s="1651"/>
      <c r="I59" s="1651"/>
      <c r="J59" s="1650" t="s">
        <v>882</v>
      </c>
      <c r="K59" s="1650" t="s">
        <v>883</v>
      </c>
      <c r="L59" s="1650" t="s">
        <v>884</v>
      </c>
      <c r="M59" s="1650" t="s">
        <v>885</v>
      </c>
      <c r="N59" s="1650" t="s">
        <v>1557</v>
      </c>
      <c r="O59" s="1650" t="s">
        <v>1558</v>
      </c>
      <c r="P59" s="1652" t="str">
        <f>IFERROR(__xludf.DUMMYFUNCTION("IFERROR(
  TEXT(
    DATE(
      INDEX(SPLIT(O59,"" ""),3),
      VLOOKUP(INDEX(SPLIT(O59,"" ""),1),{""jan."",1;""Feb"",2;""mar."",3;""Apr"",4;""May"",5;""jun."",6;""jul."",7;""Aug"",8;""Sep"",9;""Oct"",10;""nov."",11;""Dec"",12},2,FALSE),
      INDEX(SPL"&amp;"IT(O59,"" ""),2)
    ),
    ""dd/mm/yyyy""
  ),
"""")"),"17/04/2026")</f>
        <v>17/04/2026</v>
      </c>
    </row>
    <row r="60">
      <c r="A60" s="1649" t="s">
        <v>1559</v>
      </c>
      <c r="B60" s="1649" t="s">
        <v>1560</v>
      </c>
      <c r="C60" s="1653"/>
      <c r="D60" s="1653"/>
      <c r="E60" s="1651"/>
      <c r="F60" s="1650" t="s">
        <v>855</v>
      </c>
      <c r="G60" s="1650" t="s">
        <v>882</v>
      </c>
      <c r="H60" s="1651"/>
      <c r="I60" s="1651"/>
      <c r="J60" s="1650" t="s">
        <v>882</v>
      </c>
      <c r="K60" s="1650" t="s">
        <v>883</v>
      </c>
      <c r="L60" s="1650" t="s">
        <v>884</v>
      </c>
      <c r="M60" s="1650" t="s">
        <v>885</v>
      </c>
      <c r="N60" s="1650" t="s">
        <v>1561</v>
      </c>
      <c r="O60" s="1650" t="s">
        <v>1562</v>
      </c>
      <c r="P60" s="1652" t="str">
        <f>IFERROR(__xludf.DUMMYFUNCTION("IFERROR(
  TEXT(
    DATE(
      INDEX(SPLIT(O60,"" ""),3),
      VLOOKUP(INDEX(SPLIT(O60,"" ""),1),{""jan."",1;""Feb"",2;""mar."",3;""Apr"",4;""May"",5;""jun."",6;""jul."",7;""Aug"",8;""Sep"",9;""Oct"",10;""nov."",11;""Dec"",12},2,FALSE),
      INDEX(SPL"&amp;"IT(O60,"" ""),2)
    ),
    ""dd/mm/yyyy""
  ),
"""")"),"16/04/2026")</f>
        <v>16/04/2026</v>
      </c>
    </row>
    <row r="61">
      <c r="A61" s="1649" t="s">
        <v>1563</v>
      </c>
      <c r="B61" s="1649" t="s">
        <v>1564</v>
      </c>
      <c r="C61" s="1653"/>
      <c r="D61" s="1653"/>
      <c r="E61" s="1651"/>
      <c r="F61" s="1650" t="s">
        <v>855</v>
      </c>
      <c r="G61" s="1650" t="s">
        <v>882</v>
      </c>
      <c r="H61" s="1651"/>
      <c r="I61" s="1651"/>
      <c r="J61" s="1650" t="s">
        <v>882</v>
      </c>
      <c r="K61" s="1650" t="s">
        <v>883</v>
      </c>
      <c r="L61" s="1650" t="s">
        <v>884</v>
      </c>
      <c r="M61" s="1650" t="s">
        <v>885</v>
      </c>
      <c r="N61" s="1650" t="s">
        <v>1050</v>
      </c>
      <c r="O61" s="1650" t="s">
        <v>1565</v>
      </c>
      <c r="P61" s="1652" t="str">
        <f>IFERROR(__xludf.DUMMYFUNCTION("IFERROR(
  TEXT(
    DATE(
      INDEX(SPLIT(O61,"" ""),3),
      VLOOKUP(INDEX(SPLIT(O61,"" ""),1),{""jan."",1;""Feb"",2;""mar."",3;""Apr"",4;""May"",5;""jun."",6;""jul."",7;""Aug"",8;""Sep"",9;""Oct"",10;""nov."",11;""Dec"",12},2,FALSE),
      INDEX(SPL"&amp;"IT(O61,"" ""),2)
    ),
    ""dd/mm/yyyy""
  ),
"""")"),"26/02/2026")</f>
        <v>26/02/2026</v>
      </c>
    </row>
    <row r="62">
      <c r="A62" s="1649" t="s">
        <v>1566</v>
      </c>
      <c r="B62" s="1649" t="s">
        <v>1567</v>
      </c>
      <c r="C62" s="1653"/>
      <c r="D62" s="1653"/>
      <c r="E62" s="1651"/>
      <c r="F62" s="1650" t="s">
        <v>725</v>
      </c>
      <c r="G62" s="1650" t="s">
        <v>882</v>
      </c>
      <c r="H62" s="1651"/>
      <c r="I62" s="1651"/>
      <c r="J62" s="1650" t="s">
        <v>882</v>
      </c>
      <c r="K62" s="1650" t="s">
        <v>883</v>
      </c>
      <c r="L62" s="1650" t="s">
        <v>884</v>
      </c>
      <c r="M62" s="1650" t="s">
        <v>885</v>
      </c>
      <c r="N62" s="1650" t="s">
        <v>1568</v>
      </c>
      <c r="O62" s="1650" t="s">
        <v>1569</v>
      </c>
      <c r="P62" s="1652" t="str">
        <f>IFERROR(__xludf.DUMMYFUNCTION("IFERROR(
  TEXT(
    DATE(
      INDEX(SPLIT(O62,"" ""),3),
      VLOOKUP(INDEX(SPLIT(O62,"" ""),1),{""jan."",1;""Feb"",2;""mar."",3;""Apr"",4;""May"",5;""jun."",6;""jul."",7;""Aug"",8;""Sep"",9;""Oct"",10;""nov."",11;""Dec"",12},2,FALSE),
      INDEX(SPL"&amp;"IT(O62,"" ""),2)
    ),
    ""dd/mm/yyyy""
  ),
"""")"),"30/04/2026")</f>
        <v>30/04/2026</v>
      </c>
    </row>
    <row r="63">
      <c r="A63" s="1649" t="s">
        <v>1570</v>
      </c>
      <c r="B63" s="1649" t="s">
        <v>1571</v>
      </c>
      <c r="C63" s="1653"/>
      <c r="D63" s="1653"/>
      <c r="E63" s="1651"/>
      <c r="F63" s="1650" t="s">
        <v>1572</v>
      </c>
      <c r="G63" s="1650" t="s">
        <v>882</v>
      </c>
      <c r="H63" s="1651"/>
      <c r="I63" s="1651"/>
      <c r="J63" s="1650" t="s">
        <v>882</v>
      </c>
      <c r="K63" s="1650" t="s">
        <v>883</v>
      </c>
      <c r="L63" s="1650" t="s">
        <v>884</v>
      </c>
      <c r="M63" s="1650" t="s">
        <v>885</v>
      </c>
      <c r="N63" s="1650" t="s">
        <v>1056</v>
      </c>
      <c r="O63" s="1650" t="s">
        <v>1573</v>
      </c>
      <c r="P63" s="1652" t="str">
        <f>IFERROR(__xludf.DUMMYFUNCTION("IFERROR(
  TEXT(
    DATE(
      INDEX(SPLIT(O63,"" ""),3),
      VLOOKUP(INDEX(SPLIT(O63,"" ""),1),{""jan."",1;""Feb"",2;""mar."",3;""Apr"",4;""May"",5;""jun."",6;""jul."",7;""Aug"",8;""Sep"",9;""Oct"",10;""nov."",11;""Dec"",12},2,FALSE),
      INDEX(SPL"&amp;"IT(O63,"" ""),2)
    ),
    ""dd/mm/yyyy""
  ),
"""")"),"24/04/2026")</f>
        <v>24/04/2026</v>
      </c>
    </row>
    <row r="64">
      <c r="A64" s="1649" t="s">
        <v>1574</v>
      </c>
      <c r="B64" s="1649" t="s">
        <v>1575</v>
      </c>
      <c r="C64" s="1653"/>
      <c r="D64" s="1653"/>
      <c r="E64" s="1651"/>
      <c r="F64" s="1650" t="s">
        <v>470</v>
      </c>
      <c r="G64" s="1650" t="s">
        <v>882</v>
      </c>
      <c r="H64" s="1651"/>
      <c r="I64" s="1651"/>
      <c r="J64" s="1650" t="s">
        <v>882</v>
      </c>
      <c r="K64" s="1650" t="s">
        <v>883</v>
      </c>
      <c r="L64" s="1650" t="s">
        <v>884</v>
      </c>
      <c r="M64" s="1650" t="s">
        <v>885</v>
      </c>
      <c r="N64" s="1650" t="s">
        <v>1507</v>
      </c>
      <c r="O64" s="1650" t="s">
        <v>1576</v>
      </c>
      <c r="P64" s="1652" t="str">
        <f>IFERROR(__xludf.DUMMYFUNCTION("IFERROR(
  TEXT(
    DATE(
      INDEX(SPLIT(O64,"" ""),3),
      VLOOKUP(INDEX(SPLIT(O64,"" ""),1),{""jan."",1;""Feb"",2;""mar."",3;""Apr"",4;""May"",5;""jun."",6;""jul."",7;""Aug"",8;""Sep"",9;""Oct"",10;""nov."",11;""Dec"",12},2,FALSE),
      INDEX(SPL"&amp;"IT(O64,"" ""),2)
    ),
    ""dd/mm/yyyy""
  ),
"""")"),"17/12/2024")</f>
        <v>17/12/2024</v>
      </c>
    </row>
    <row r="65">
      <c r="A65" s="1649" t="s">
        <v>1577</v>
      </c>
      <c r="B65" s="1649" t="s">
        <v>1578</v>
      </c>
      <c r="C65" s="1650" t="s">
        <v>1428</v>
      </c>
      <c r="D65" s="1650" t="s">
        <v>881</v>
      </c>
      <c r="E65" s="1651"/>
      <c r="F65" s="1650" t="s">
        <v>718</v>
      </c>
      <c r="G65" s="1650" t="s">
        <v>882</v>
      </c>
      <c r="H65" s="1651"/>
      <c r="I65" s="1651"/>
      <c r="J65" s="1650" t="s">
        <v>882</v>
      </c>
      <c r="K65" s="1650" t="s">
        <v>883</v>
      </c>
      <c r="L65" s="1650" t="s">
        <v>884</v>
      </c>
      <c r="M65" s="1650" t="s">
        <v>885</v>
      </c>
      <c r="N65" s="1650" t="s">
        <v>1579</v>
      </c>
      <c r="O65" s="1650" t="s">
        <v>1576</v>
      </c>
      <c r="P65" s="1652" t="str">
        <f>IFERROR(__xludf.DUMMYFUNCTION("IFERROR(
  TEXT(
    DATE(
      INDEX(SPLIT(O65,"" ""),3),
      VLOOKUP(INDEX(SPLIT(O65,"" ""),1),{""jan."",1;""Feb"",2;""mar."",3;""Apr"",4;""May"",5;""jun."",6;""jul."",7;""Aug"",8;""Sep"",9;""Oct"",10;""nov."",11;""Dec"",12},2,FALSE),
      INDEX(SPL"&amp;"IT(O65,"" ""),2)
    ),
    ""dd/mm/yyyy""
  ),
"""")"),"17/12/2024")</f>
        <v>17/12/2024</v>
      </c>
    </row>
    <row r="66">
      <c r="A66" s="1649" t="s">
        <v>1580</v>
      </c>
      <c r="B66" s="1649" t="s">
        <v>1581</v>
      </c>
      <c r="C66" s="1653"/>
      <c r="D66" s="1653"/>
      <c r="E66" s="1651"/>
      <c r="F66" s="1650" t="s">
        <v>470</v>
      </c>
      <c r="G66" s="1650" t="s">
        <v>882</v>
      </c>
      <c r="H66" s="1651"/>
      <c r="I66" s="1651"/>
      <c r="J66" s="1650" t="s">
        <v>882</v>
      </c>
      <c r="K66" s="1650" t="s">
        <v>883</v>
      </c>
      <c r="L66" s="1650" t="s">
        <v>884</v>
      </c>
      <c r="M66" s="1650" t="s">
        <v>885</v>
      </c>
      <c r="N66" s="1650" t="s">
        <v>1582</v>
      </c>
      <c r="O66" s="1650" t="s">
        <v>1583</v>
      </c>
      <c r="P66" s="1652" t="str">
        <f>IFERROR(__xludf.DUMMYFUNCTION("IFERROR(
  TEXT(
    DATE(
      INDEX(SPLIT(O66,"" ""),3),
      VLOOKUP(INDEX(SPLIT(O66,"" ""),1),{""jan."",1;""Feb"",2;""mar."",3;""Apr"",4;""May"",5;""jun."",6;""jul."",7;""Aug"",8;""Sep"",9;""Oct"",10;""nov."",11;""Dec"",12},2,FALSE),
      INDEX(SPL"&amp;"IT(O66,"" ""),2)
    ),
    ""dd/mm/yyyy""
  ),
"""")"),"16/04/2025")</f>
        <v>16/04/2025</v>
      </c>
    </row>
    <row r="67">
      <c r="A67" s="1649" t="s">
        <v>1584</v>
      </c>
      <c r="B67" s="1649" t="s">
        <v>1585</v>
      </c>
      <c r="C67" s="1653"/>
      <c r="D67" s="1653"/>
      <c r="E67" s="1651"/>
      <c r="F67" s="1650" t="s">
        <v>470</v>
      </c>
      <c r="G67" s="1650" t="s">
        <v>882</v>
      </c>
      <c r="H67" s="1651"/>
      <c r="I67" s="1651"/>
      <c r="J67" s="1650" t="s">
        <v>882</v>
      </c>
      <c r="K67" s="1650" t="s">
        <v>883</v>
      </c>
      <c r="L67" s="1650" t="s">
        <v>884</v>
      </c>
      <c r="M67" s="1650" t="s">
        <v>885</v>
      </c>
      <c r="N67" s="1650" t="s">
        <v>1168</v>
      </c>
      <c r="O67" s="1650" t="s">
        <v>1586</v>
      </c>
      <c r="P67" s="1652" t="str">
        <f>IFERROR(__xludf.DUMMYFUNCTION("IFERROR(
  TEXT(
    DATE(
      INDEX(SPLIT(O67,"" ""),3),
      VLOOKUP(INDEX(SPLIT(O67,"" ""),1),{""jan."",1;""Feb"",2;""mar."",3;""Apr"",4;""May"",5;""jun."",6;""jul."",7;""Aug"",8;""Sep"",9;""Oct"",10;""nov."",11;""Dec"",12},2,FALSE),
      INDEX(SPL"&amp;"IT(O67,"" ""),2)
    ),
    ""dd/mm/yyyy""
  ),
"""")"),"16/04/2025")</f>
        <v>16/04/2025</v>
      </c>
    </row>
    <row r="68">
      <c r="A68" s="1649" t="s">
        <v>1587</v>
      </c>
      <c r="B68" s="1649" t="s">
        <v>1588</v>
      </c>
      <c r="C68" s="1653"/>
      <c r="D68" s="1653"/>
      <c r="E68" s="1651"/>
      <c r="F68" s="1650" t="s">
        <v>470</v>
      </c>
      <c r="G68" s="1650" t="s">
        <v>882</v>
      </c>
      <c r="H68" s="1651"/>
      <c r="I68" s="1651"/>
      <c r="J68" s="1650" t="s">
        <v>882</v>
      </c>
      <c r="K68" s="1650" t="s">
        <v>883</v>
      </c>
      <c r="L68" s="1650" t="s">
        <v>884</v>
      </c>
      <c r="M68" s="1650" t="s">
        <v>885</v>
      </c>
      <c r="N68" s="1650" t="s">
        <v>1589</v>
      </c>
      <c r="O68" s="1650" t="s">
        <v>1590</v>
      </c>
      <c r="P68" s="1652" t="str">
        <f>IFERROR(__xludf.DUMMYFUNCTION("IFERROR(
  TEXT(
    DATE(
      INDEX(SPLIT(O68,"" ""),3),
      VLOOKUP(INDEX(SPLIT(O68,"" ""),1),{""jan."",1;""Feb"",2;""mar."",3;""Apr"",4;""May"",5;""jun."",6;""jul."",7;""Aug"",8;""Sep"",9;""Oct"",10;""nov."",11;""Dec"",12},2,FALSE),
      INDEX(SPL"&amp;"IT(O68,"" ""),2)
    ),
    ""dd/mm/yyyy""
  ),
"""")"),"19/12/2024")</f>
        <v>19/12/2024</v>
      </c>
    </row>
    <row r="69">
      <c r="A69" s="1649" t="s">
        <v>1591</v>
      </c>
      <c r="B69" s="1649" t="s">
        <v>1592</v>
      </c>
      <c r="C69" s="1650" t="s">
        <v>1428</v>
      </c>
      <c r="D69" s="1650" t="s">
        <v>881</v>
      </c>
      <c r="E69" s="1651"/>
      <c r="F69" s="1650" t="s">
        <v>486</v>
      </c>
      <c r="G69" s="1650" t="s">
        <v>882</v>
      </c>
      <c r="H69" s="1651"/>
      <c r="I69" s="1651"/>
      <c r="J69" s="1650" t="s">
        <v>882</v>
      </c>
      <c r="K69" s="1650" t="s">
        <v>883</v>
      </c>
      <c r="L69" s="1650" t="s">
        <v>884</v>
      </c>
      <c r="M69" s="1650" t="s">
        <v>885</v>
      </c>
      <c r="N69" s="1650" t="s">
        <v>1593</v>
      </c>
      <c r="O69" s="1650" t="s">
        <v>1594</v>
      </c>
      <c r="P69" s="1652" t="str">
        <f>IFERROR(__xludf.DUMMYFUNCTION("IFERROR(
  TEXT(
    DATE(
      INDEX(SPLIT(O69,"" ""),3),
      VLOOKUP(INDEX(SPLIT(O69,"" ""),1),{""jan."",1;""Feb"",2;""mar."",3;""Apr"",4;""May"",5;""jun."",6;""jul."",7;""Aug"",8;""Sep"",9;""Oct"",10;""nov."",11;""Dec"",12},2,FALSE),
      INDEX(SPL"&amp;"IT(O69,"" ""),2)
    ),
    ""dd/mm/yyyy""
  ),
"""")"),"19/12/2024")</f>
        <v>19/12/2024</v>
      </c>
    </row>
    <row r="70">
      <c r="A70" s="1649" t="s">
        <v>1595</v>
      </c>
      <c r="B70" s="1649" t="s">
        <v>1596</v>
      </c>
      <c r="C70" s="1653"/>
      <c r="D70" s="1653"/>
      <c r="E70" s="1651"/>
      <c r="F70" s="1650" t="s">
        <v>470</v>
      </c>
      <c r="G70" s="1650" t="s">
        <v>882</v>
      </c>
      <c r="H70" s="1651"/>
      <c r="I70" s="1651"/>
      <c r="J70" s="1650" t="s">
        <v>882</v>
      </c>
      <c r="K70" s="1650" t="s">
        <v>883</v>
      </c>
      <c r="L70" s="1650" t="s">
        <v>884</v>
      </c>
      <c r="M70" s="1650" t="s">
        <v>885</v>
      </c>
      <c r="N70" s="1650" t="s">
        <v>1050</v>
      </c>
      <c r="O70" s="1650" t="s">
        <v>1586</v>
      </c>
      <c r="P70" s="1652" t="str">
        <f>IFERROR(__xludf.DUMMYFUNCTION("IFERROR(
  TEXT(
    DATE(
      INDEX(SPLIT(O70,"" ""),3),
      VLOOKUP(INDEX(SPLIT(O70,"" ""),1),{""jan."",1;""Feb"",2;""mar."",3;""Apr"",4;""May"",5;""jun."",6;""jul."",7;""Aug"",8;""Sep"",9;""Oct"",10;""nov."",11;""Dec"",12},2,FALSE),
      INDEX(SPL"&amp;"IT(O70,"" ""),2)
    ),
    ""dd/mm/yyyy""
  ),
"""")"),"16/04/2025")</f>
        <v>16/04/2025</v>
      </c>
    </row>
    <row r="71">
      <c r="A71" s="1649" t="s">
        <v>1597</v>
      </c>
      <c r="B71" s="1649" t="s">
        <v>1598</v>
      </c>
      <c r="C71" s="1653"/>
      <c r="D71" s="1653"/>
      <c r="E71" s="1651"/>
      <c r="F71" s="1650" t="s">
        <v>470</v>
      </c>
      <c r="G71" s="1650" t="s">
        <v>882</v>
      </c>
      <c r="H71" s="1651"/>
      <c r="I71" s="1651"/>
      <c r="J71" s="1650" t="s">
        <v>882</v>
      </c>
      <c r="K71" s="1650" t="s">
        <v>883</v>
      </c>
      <c r="L71" s="1650" t="s">
        <v>884</v>
      </c>
      <c r="M71" s="1650" t="s">
        <v>885</v>
      </c>
      <c r="N71" s="1650" t="s">
        <v>1599</v>
      </c>
      <c r="O71" s="1650" t="s">
        <v>1586</v>
      </c>
      <c r="P71" s="1652" t="str">
        <f>IFERROR(__xludf.DUMMYFUNCTION("IFERROR(
  TEXT(
    DATE(
      INDEX(SPLIT(O71,"" ""),3),
      VLOOKUP(INDEX(SPLIT(O71,"" ""),1),{""jan."",1;""Feb"",2;""mar."",3;""Apr"",4;""May"",5;""jun."",6;""jul."",7;""Aug"",8;""Sep"",9;""Oct"",10;""nov."",11;""Dec"",12},2,FALSE),
      INDEX(SPL"&amp;"IT(O71,"" ""),2)
    ),
    ""dd/mm/yyyy""
  ),
"""")"),"16/04/2025")</f>
        <v>16/04/2025</v>
      </c>
    </row>
    <row r="72">
      <c r="A72" s="1649" t="s">
        <v>1600</v>
      </c>
      <c r="B72" s="1649" t="s">
        <v>1601</v>
      </c>
      <c r="C72" s="1653"/>
      <c r="D72" s="1653"/>
      <c r="E72" s="1651"/>
      <c r="F72" s="1650" t="s">
        <v>470</v>
      </c>
      <c r="G72" s="1650" t="s">
        <v>882</v>
      </c>
      <c r="H72" s="1651"/>
      <c r="I72" s="1651"/>
      <c r="J72" s="1650" t="s">
        <v>882</v>
      </c>
      <c r="K72" s="1650" t="s">
        <v>883</v>
      </c>
      <c r="L72" s="1650" t="s">
        <v>884</v>
      </c>
      <c r="M72" s="1650" t="s">
        <v>885</v>
      </c>
      <c r="N72" s="1650" t="s">
        <v>1056</v>
      </c>
      <c r="O72" s="1650" t="s">
        <v>1586</v>
      </c>
      <c r="P72" s="1652" t="str">
        <f>IFERROR(__xludf.DUMMYFUNCTION("IFERROR(
  TEXT(
    DATE(
      INDEX(SPLIT(O72,"" ""),3),
      VLOOKUP(INDEX(SPLIT(O72,"" ""),1),{""jan."",1;""Feb"",2;""mar."",3;""Apr"",4;""May"",5;""jun."",6;""jul."",7;""Aug"",8;""Sep"",9;""Oct"",10;""nov."",11;""Dec"",12},2,FALSE),
      INDEX(SPL"&amp;"IT(O72,"" ""),2)
    ),
    ""dd/mm/yyyy""
  ),
"""")"),"16/04/2025")</f>
        <v>16/04/2025</v>
      </c>
    </row>
    <row r="73">
      <c r="A73" s="1649" t="s">
        <v>1602</v>
      </c>
      <c r="B73" s="1649" t="s">
        <v>1603</v>
      </c>
      <c r="C73" s="1653"/>
      <c r="D73" s="1653"/>
      <c r="E73" s="1651"/>
      <c r="F73" s="1650" t="s">
        <v>470</v>
      </c>
      <c r="G73" s="1650" t="s">
        <v>882</v>
      </c>
      <c r="H73" s="1651"/>
      <c r="I73" s="1651"/>
      <c r="J73" s="1650" t="s">
        <v>882</v>
      </c>
      <c r="K73" s="1650" t="s">
        <v>883</v>
      </c>
      <c r="L73" s="1650" t="s">
        <v>884</v>
      </c>
      <c r="M73" s="1650" t="s">
        <v>885</v>
      </c>
      <c r="N73" s="1650" t="s">
        <v>1203</v>
      </c>
      <c r="O73" s="1650" t="s">
        <v>1604</v>
      </c>
      <c r="P73" s="1652" t="str">
        <f>IFERROR(__xludf.DUMMYFUNCTION("IFERROR(
  TEXT(
    DATE(
      INDEX(SPLIT(O73,"" ""),3),
      VLOOKUP(INDEX(SPLIT(O73,"" ""),1),{""jan."",1;""Feb"",2;""mar."",3;""Apr"",4;""May"",5;""jun."",6;""jul."",7;""Aug"",8;""Sep"",9;""Oct"",10;""nov."",11;""Dec"",12},2,FALSE),
      INDEX(SPL"&amp;"IT(O73,"" ""),2)
    ),
    ""dd/mm/yyyy""
  ),
"""")"),"18/12/2024")</f>
        <v>18/12/2024</v>
      </c>
    </row>
    <row r="74">
      <c r="A74" s="1649" t="s">
        <v>1605</v>
      </c>
      <c r="B74" s="1649" t="s">
        <v>1606</v>
      </c>
      <c r="C74" s="1650" t="s">
        <v>1428</v>
      </c>
      <c r="D74" s="1650" t="s">
        <v>881</v>
      </c>
      <c r="E74" s="1651"/>
      <c r="F74" s="1650" t="s">
        <v>486</v>
      </c>
      <c r="G74" s="1650" t="s">
        <v>882</v>
      </c>
      <c r="H74" s="1651"/>
      <c r="I74" s="1651"/>
      <c r="J74" s="1650" t="s">
        <v>882</v>
      </c>
      <c r="K74" s="1650" t="s">
        <v>883</v>
      </c>
      <c r="L74" s="1650" t="s">
        <v>884</v>
      </c>
      <c r="M74" s="1650" t="s">
        <v>885</v>
      </c>
      <c r="N74" s="1650" t="s">
        <v>1607</v>
      </c>
      <c r="O74" s="1650" t="s">
        <v>1604</v>
      </c>
      <c r="P74" s="1652" t="str">
        <f>IFERROR(__xludf.DUMMYFUNCTION("IFERROR(
  TEXT(
    DATE(
      INDEX(SPLIT(O74,"" ""),3),
      VLOOKUP(INDEX(SPLIT(O74,"" ""),1),{""jan."",1;""Feb"",2;""mar."",3;""Apr"",4;""May"",5;""jun."",6;""jul."",7;""Aug"",8;""Sep"",9;""Oct"",10;""nov."",11;""Dec"",12},2,FALSE),
      INDEX(SPL"&amp;"IT(O74,"" ""),2)
    ),
    ""dd/mm/yyyy""
  ),
"""")"),"18/12/2024")</f>
        <v>18/12/2024</v>
      </c>
    </row>
    <row r="75">
      <c r="A75" s="1649" t="s">
        <v>1608</v>
      </c>
      <c r="B75" s="1649" t="s">
        <v>1609</v>
      </c>
      <c r="C75" s="1650" t="s">
        <v>1428</v>
      </c>
      <c r="D75" s="1650" t="s">
        <v>881</v>
      </c>
      <c r="E75" s="1651"/>
      <c r="F75" s="1650" t="s">
        <v>730</v>
      </c>
      <c r="G75" s="1650" t="s">
        <v>882</v>
      </c>
      <c r="H75" s="1651"/>
      <c r="I75" s="1651"/>
      <c r="J75" s="1650" t="s">
        <v>882</v>
      </c>
      <c r="K75" s="1650" t="s">
        <v>883</v>
      </c>
      <c r="L75" s="1650" t="s">
        <v>884</v>
      </c>
      <c r="M75" s="1650" t="s">
        <v>885</v>
      </c>
      <c r="N75" s="1650" t="s">
        <v>1610</v>
      </c>
      <c r="O75" s="1650" t="s">
        <v>1611</v>
      </c>
      <c r="P75" s="1652" t="str">
        <f>IFERROR(__xludf.DUMMYFUNCTION("IFERROR(
  TEXT(
    DATE(
      INDEX(SPLIT(O75,"" ""),3),
      VLOOKUP(INDEX(SPLIT(O75,"" ""),1),{""jan."",1;""Feb"",2;""mar."",3;""Apr"",4;""May"",5;""jun."",6;""jul."",7;""Aug"",8;""Sep"",9;""Oct"",10;""nov."",11;""Dec"",12},2,FALSE),
      INDEX(SPL"&amp;"IT(O75,"" ""),2)
    ),
    ""dd/mm/yyyy""
  ),
"""")"),"17/04/2026")</f>
        <v>17/04/2026</v>
      </c>
    </row>
    <row r="76">
      <c r="A76" s="1649" t="s">
        <v>1612</v>
      </c>
      <c r="B76" s="1649" t="s">
        <v>1613</v>
      </c>
      <c r="C76" s="1650" t="s">
        <v>1428</v>
      </c>
      <c r="D76" s="1650" t="s">
        <v>881</v>
      </c>
      <c r="E76" s="1651"/>
      <c r="F76" s="1650" t="s">
        <v>855</v>
      </c>
      <c r="G76" s="1650" t="s">
        <v>882</v>
      </c>
      <c r="H76" s="1651"/>
      <c r="I76" s="1651"/>
      <c r="J76" s="1650" t="s">
        <v>882</v>
      </c>
      <c r="K76" s="1650" t="s">
        <v>883</v>
      </c>
      <c r="L76" s="1650" t="s">
        <v>884</v>
      </c>
      <c r="M76" s="1650" t="s">
        <v>885</v>
      </c>
      <c r="N76" s="1650" t="s">
        <v>1614</v>
      </c>
      <c r="O76" s="1650" t="s">
        <v>1615</v>
      </c>
      <c r="P76" s="1652" t="str">
        <f>IFERROR(__xludf.DUMMYFUNCTION("IFERROR(
  TEXT(
    DATE(
      INDEX(SPLIT(O76,"" ""),3),
      VLOOKUP(INDEX(SPLIT(O76,"" ""),1),{""jan."",1;""Feb"",2;""mar."",3;""Apr"",4;""May"",5;""jun."",6;""jul."",7;""Aug"",8;""Sep"",9;""Oct"",10;""nov."",11;""Dec"",12},2,FALSE),
      INDEX(SPL"&amp;"IT(O76,"" ""),2)
    ),
    ""dd/mm/yyyy""
  ),
"""")"),"16/04/2026")</f>
        <v>16/04/2026</v>
      </c>
    </row>
    <row r="77">
      <c r="A77" s="1649" t="s">
        <v>1616</v>
      </c>
      <c r="B77" s="1649" t="s">
        <v>1617</v>
      </c>
      <c r="C77" s="1650" t="s">
        <v>1428</v>
      </c>
      <c r="D77" s="1650" t="s">
        <v>881</v>
      </c>
      <c r="E77" s="1651"/>
      <c r="F77" s="1650" t="s">
        <v>502</v>
      </c>
      <c r="G77" s="1650" t="s">
        <v>882</v>
      </c>
      <c r="H77" s="1651"/>
      <c r="I77" s="1651"/>
      <c r="J77" s="1650" t="s">
        <v>882</v>
      </c>
      <c r="K77" s="1650" t="s">
        <v>883</v>
      </c>
      <c r="L77" s="1650" t="s">
        <v>884</v>
      </c>
      <c r="M77" s="1650" t="s">
        <v>885</v>
      </c>
      <c r="N77" s="1650" t="s">
        <v>1618</v>
      </c>
      <c r="O77" s="1650" t="s">
        <v>1619</v>
      </c>
      <c r="P77" s="1652" t="str">
        <f>IFERROR(__xludf.DUMMYFUNCTION("IFERROR(
  TEXT(
    DATE(
      INDEX(SPLIT(O77,"" ""),3),
      VLOOKUP(INDEX(SPLIT(O77,"" ""),1),{""jan."",1;""Feb"",2;""mar."",3;""Apr"",4;""May"",5;""jun."",6;""jul."",7;""Aug"",8;""Sep"",9;""Oct"",10;""nov."",11;""Dec"",12},2,FALSE),
      INDEX(SPL"&amp;"IT(O77,"" ""),2)
    ),
    ""dd/mm/yyyy""
  ),
"""")"),"26/02/2026")</f>
        <v>26/02/2026</v>
      </c>
    </row>
    <row r="78">
      <c r="A78" s="1649" t="s">
        <v>1620</v>
      </c>
      <c r="B78" s="1649" t="s">
        <v>1621</v>
      </c>
      <c r="C78" s="1650" t="s">
        <v>1428</v>
      </c>
      <c r="D78" s="1650" t="s">
        <v>881</v>
      </c>
      <c r="E78" s="1651"/>
      <c r="F78" s="1650" t="s">
        <v>716</v>
      </c>
      <c r="G78" s="1650" t="s">
        <v>882</v>
      </c>
      <c r="H78" s="1651"/>
      <c r="I78" s="1651"/>
      <c r="J78" s="1650" t="s">
        <v>882</v>
      </c>
      <c r="K78" s="1650" t="s">
        <v>883</v>
      </c>
      <c r="L78" s="1650" t="s">
        <v>884</v>
      </c>
      <c r="M78" s="1650" t="s">
        <v>885</v>
      </c>
      <c r="N78" s="1650" t="s">
        <v>1622</v>
      </c>
      <c r="O78" s="1650" t="s">
        <v>1623</v>
      </c>
      <c r="P78" s="1652" t="str">
        <f>IFERROR(__xludf.DUMMYFUNCTION("IFERROR(
  TEXT(
    DATE(
      INDEX(SPLIT(O78,"" ""),3),
      VLOOKUP(INDEX(SPLIT(O78,"" ""),1),{""jan."",1;""Feb"",2;""mar."",3;""Apr"",4;""May"",5;""jun."",6;""jul."",7;""Aug"",8;""Sep"",9;""Oct"",10;""nov."",11;""Dec"",12},2,FALSE),
      INDEX(SPL"&amp;"IT(O78,"" ""),2)
    ),
    ""dd/mm/yyyy""
  ),
"""")"),"30/04/2026")</f>
        <v>30/04/2026</v>
      </c>
    </row>
    <row r="79">
      <c r="A79" s="1649" t="s">
        <v>1624</v>
      </c>
      <c r="B79" s="1649" t="s">
        <v>1625</v>
      </c>
      <c r="C79" s="1650" t="s">
        <v>1428</v>
      </c>
      <c r="D79" s="1650" t="s">
        <v>881</v>
      </c>
      <c r="E79" s="1651"/>
      <c r="F79" s="1650" t="s">
        <v>1626</v>
      </c>
      <c r="G79" s="1650" t="s">
        <v>882</v>
      </c>
      <c r="H79" s="1651"/>
      <c r="I79" s="1651"/>
      <c r="J79" s="1650" t="s">
        <v>882</v>
      </c>
      <c r="K79" s="1650" t="s">
        <v>883</v>
      </c>
      <c r="L79" s="1650" t="s">
        <v>884</v>
      </c>
      <c r="M79" s="1650" t="s">
        <v>885</v>
      </c>
      <c r="N79" s="1650" t="s">
        <v>1627</v>
      </c>
      <c r="O79" s="1650" t="s">
        <v>1628</v>
      </c>
      <c r="P79" s="1652" t="str">
        <f>IFERROR(__xludf.DUMMYFUNCTION("IFERROR(
  TEXT(
    DATE(
      INDEX(SPLIT(O79,"" ""),3),
      VLOOKUP(INDEX(SPLIT(O79,"" ""),1),{""jan."",1;""Feb"",2;""mar."",3;""Apr"",4;""May"",5;""jun."",6;""jul."",7;""Aug"",8;""Sep"",9;""Oct"",10;""nov."",11;""Dec"",12},2,FALSE),
      INDEX(SPL"&amp;"IT(O79,"" ""),2)
    ),
    ""dd/mm/yyyy""
  ),
"""")"),"24/04/2026")</f>
        <v>24/04/2026</v>
      </c>
    </row>
    <row r="80">
      <c r="A80" s="1649" t="s">
        <v>1629</v>
      </c>
      <c r="B80" s="1649" t="s">
        <v>1630</v>
      </c>
      <c r="C80" s="1653"/>
      <c r="D80" s="1653"/>
      <c r="E80" s="1651"/>
      <c r="F80" s="1650" t="s">
        <v>722</v>
      </c>
      <c r="G80" s="1650" t="s">
        <v>882</v>
      </c>
      <c r="H80" s="1651"/>
      <c r="I80" s="1651"/>
      <c r="J80" s="1650" t="s">
        <v>882</v>
      </c>
      <c r="K80" s="1650" t="s">
        <v>883</v>
      </c>
      <c r="L80" s="1650" t="s">
        <v>884</v>
      </c>
      <c r="M80" s="1650" t="s">
        <v>885</v>
      </c>
      <c r="N80" s="1650" t="s">
        <v>1159</v>
      </c>
      <c r="O80" s="1650" t="s">
        <v>1631</v>
      </c>
      <c r="P80" s="1652" t="str">
        <f>IFERROR(__xludf.DUMMYFUNCTION("IFERROR(
  TEXT(
    DATE(
      INDEX(SPLIT(O80,"" ""),3),
      VLOOKUP(INDEX(SPLIT(O80,"" ""),1),{""jan."",1;""Feb"",2;""mar."",3;""Apr"",4;""May"",5;""jun."",6;""jul."",7;""Aug"",8;""Sep"",9;""Oct"",10;""nov."",11;""Dec"",12},2,FALSE),
      INDEX(SPL"&amp;"IT(O80,"" ""),2)
    ),
    ""dd/mm/yyyy""
  ),
"""")"),"05/05/2026")</f>
        <v>05/05/2026</v>
      </c>
    </row>
    <row r="81">
      <c r="A81" s="1649" t="s">
        <v>1632</v>
      </c>
      <c r="B81" s="1649" t="s">
        <v>1633</v>
      </c>
      <c r="C81" s="1653"/>
      <c r="D81" s="1653"/>
      <c r="E81" s="1651"/>
      <c r="F81" s="1650" t="s">
        <v>492</v>
      </c>
      <c r="G81" s="1650" t="s">
        <v>882</v>
      </c>
      <c r="H81" s="1651"/>
      <c r="I81" s="1651"/>
      <c r="J81" s="1650" t="s">
        <v>882</v>
      </c>
      <c r="K81" s="1650" t="s">
        <v>883</v>
      </c>
      <c r="L81" s="1650" t="s">
        <v>884</v>
      </c>
      <c r="M81" s="1650" t="s">
        <v>885</v>
      </c>
      <c r="N81" s="1650" t="s">
        <v>1634</v>
      </c>
      <c r="O81" s="1650" t="s">
        <v>1635</v>
      </c>
      <c r="P81" s="1652" t="str">
        <f>IFERROR(__xludf.DUMMYFUNCTION("IFERROR(
  TEXT(
    DATE(
      INDEX(SPLIT(O81,"" ""),3),
      VLOOKUP(INDEX(SPLIT(O81,"" ""),1),{""jan."",1;""Feb"",2;""mar."",3;""Apr"",4;""May"",5;""jun."",6;""jul."",7;""Aug"",8;""Sep"",9;""Oct"",10;""nov."",11;""Dec"",12},2,FALSE),
      INDEX(SPL"&amp;"IT(O81,"" ""),2)
    ),
    ""dd/mm/yyyy""
  ),
"""")"),"03/02/2026")</f>
        <v>03/02/2026</v>
      </c>
    </row>
    <row r="82">
      <c r="A82" s="1649" t="s">
        <v>1636</v>
      </c>
      <c r="B82" s="1649" t="s">
        <v>1637</v>
      </c>
      <c r="C82" s="1653"/>
      <c r="D82" s="1653"/>
      <c r="E82" s="1651"/>
      <c r="F82" s="1650" t="s">
        <v>731</v>
      </c>
      <c r="G82" s="1650" t="s">
        <v>882</v>
      </c>
      <c r="H82" s="1651"/>
      <c r="I82" s="1651"/>
      <c r="J82" s="1650" t="s">
        <v>882</v>
      </c>
      <c r="K82" s="1650" t="s">
        <v>883</v>
      </c>
      <c r="L82" s="1650" t="s">
        <v>884</v>
      </c>
      <c r="M82" s="1650" t="s">
        <v>885</v>
      </c>
      <c r="N82" s="1650" t="s">
        <v>1638</v>
      </c>
      <c r="O82" s="1652">
        <v>46085.61875</v>
      </c>
      <c r="P82" s="1652" t="str">
        <f>IFERROR(__xludf.DUMMYFUNCTION("IFERROR(
  TEXT(
    DATE(
      INDEX(SPLIT(O82,"" ""),3),
      VLOOKUP(INDEX(SPLIT(O82,"" ""),1),{""jan."",1;""Feb"",2;""mar."",3;""Apr"",4;""May"",5;""jun."",6;""jul."",7;""Aug"",8;""Sep"",9;""Oct"",10;""nov."",11;""Dec"",12},2,FALSE),
      INDEX(SPL"&amp;"IT(O82,"" ""),2)
    ),
    ""dd/mm/yyyy""
  ),
"""")"),"04/03/2026")</f>
        <v>04/03/2026</v>
      </c>
    </row>
    <row r="83">
      <c r="A83" s="1649" t="s">
        <v>1639</v>
      </c>
      <c r="B83" s="1649" t="s">
        <v>1640</v>
      </c>
      <c r="C83" s="1653"/>
      <c r="D83" s="1653"/>
      <c r="E83" s="1651"/>
      <c r="F83" s="1650" t="s">
        <v>505</v>
      </c>
      <c r="G83" s="1650" t="s">
        <v>882</v>
      </c>
      <c r="H83" s="1651"/>
      <c r="I83" s="1651"/>
      <c r="J83" s="1650" t="s">
        <v>882</v>
      </c>
      <c r="K83" s="1650" t="s">
        <v>883</v>
      </c>
      <c r="L83" s="1650" t="s">
        <v>884</v>
      </c>
      <c r="M83" s="1650" t="s">
        <v>885</v>
      </c>
      <c r="N83" s="1650" t="s">
        <v>1561</v>
      </c>
      <c r="O83" s="1650" t="s">
        <v>1641</v>
      </c>
      <c r="P83" s="1652" t="str">
        <f>IFERROR(__xludf.DUMMYFUNCTION("IFERROR(
  TEXT(
    DATE(
      INDEX(SPLIT(O83,"" ""),3),
      VLOOKUP(INDEX(SPLIT(O83,"" ""),1),{""jan."",1;""Feb"",2;""mar."",3;""Apr"",4;""May"",5;""jun."",6;""jul."",7;""Aug"",8;""Sep"",9;""Oct"",10;""nov."",11;""Dec"",12},2,FALSE),
      INDEX(SPL"&amp;"IT(O83,"" ""),2)
    ),
    ""dd/mm/yyyy""
  ),
"""")"),"24/04/2026")</f>
        <v>24/04/2026</v>
      </c>
    </row>
    <row r="84">
      <c r="A84" s="1649" t="s">
        <v>1642</v>
      </c>
      <c r="B84" s="1649" t="s">
        <v>1643</v>
      </c>
      <c r="C84" s="1651"/>
      <c r="D84" s="1651"/>
      <c r="E84" s="1651"/>
      <c r="F84" s="1650" t="s">
        <v>718</v>
      </c>
      <c r="G84" s="1650" t="s">
        <v>882</v>
      </c>
      <c r="H84" s="1651"/>
      <c r="I84" s="1651"/>
      <c r="J84" s="1650" t="s">
        <v>882</v>
      </c>
      <c r="K84" s="1650" t="s">
        <v>883</v>
      </c>
      <c r="L84" s="1650" t="s">
        <v>884</v>
      </c>
      <c r="M84" s="1650" t="s">
        <v>885</v>
      </c>
      <c r="N84" s="1650" t="s">
        <v>1171</v>
      </c>
      <c r="O84" s="1650" t="s">
        <v>1644</v>
      </c>
      <c r="P84" s="1652" t="str">
        <f>IFERROR(__xludf.DUMMYFUNCTION("IFERROR(
  TEXT(
    DATE(
      INDEX(SPLIT(O84,"" ""),3),
      VLOOKUP(INDEX(SPLIT(O84,"" ""),1),{""jan."",1;""Feb"",2;""mar."",3;""Apr"",4;""May"",5;""jun."",6;""jul."",7;""Aug"",8;""Sep"",9;""Oct"",10;""nov."",11;""Dec"",12},2,FALSE),
      INDEX(SPL"&amp;"IT(O84,"" ""),2)
    ),
    ""dd/mm/yyyy""
  ),
"""")"),"15/04/2026")</f>
        <v>15/04/2026</v>
      </c>
    </row>
    <row r="85">
      <c r="A85" s="1649" t="s">
        <v>1645</v>
      </c>
      <c r="B85" s="1649" t="s">
        <v>1646</v>
      </c>
      <c r="C85" s="1653"/>
      <c r="D85" s="1653"/>
      <c r="E85" s="1651"/>
      <c r="F85" s="1650" t="s">
        <v>597</v>
      </c>
      <c r="G85" s="1650" t="s">
        <v>882</v>
      </c>
      <c r="H85" s="1651"/>
      <c r="I85" s="1651"/>
      <c r="J85" s="1650" t="s">
        <v>882</v>
      </c>
      <c r="K85" s="1650" t="s">
        <v>883</v>
      </c>
      <c r="L85" s="1650" t="s">
        <v>884</v>
      </c>
      <c r="M85" s="1650" t="s">
        <v>885</v>
      </c>
      <c r="N85" s="1650" t="s">
        <v>1144</v>
      </c>
      <c r="O85" s="1650" t="s">
        <v>1647</v>
      </c>
      <c r="P85" s="1652" t="str">
        <f>IFERROR(__xludf.DUMMYFUNCTION("IFERROR(
  TEXT(
    DATE(
      INDEX(SPLIT(O85,"" ""),3),
      VLOOKUP(INDEX(SPLIT(O85,"" ""),1),{""jan."",1;""Feb"",2;""mar."",3;""Apr"",4;""May"",5;""jun."",6;""jul."",7;""Aug"",8;""Sep"",9;""Oct"",10;""nov."",11;""Dec"",12},2,FALSE),
      INDEX(SPL"&amp;"IT(O85,"" ""),2)
    ),
    ""dd/mm/yyyy""
  ),
"""")"),"27/04/2026")</f>
        <v>27/04/2026</v>
      </c>
    </row>
    <row r="86">
      <c r="A86" s="1649" t="s">
        <v>1648</v>
      </c>
      <c r="B86" s="1649" t="s">
        <v>1649</v>
      </c>
      <c r="C86" s="1653"/>
      <c r="D86" s="1653"/>
      <c r="E86" s="1651"/>
      <c r="F86" s="1650" t="s">
        <v>1572</v>
      </c>
      <c r="G86" s="1650" t="s">
        <v>882</v>
      </c>
      <c r="H86" s="1651"/>
      <c r="I86" s="1651"/>
      <c r="J86" s="1650" t="s">
        <v>882</v>
      </c>
      <c r="K86" s="1650" t="s">
        <v>883</v>
      </c>
      <c r="L86" s="1650" t="s">
        <v>884</v>
      </c>
      <c r="M86" s="1650" t="s">
        <v>885</v>
      </c>
      <c r="N86" s="1650" t="s">
        <v>1650</v>
      </c>
      <c r="O86" s="1650" t="s">
        <v>1651</v>
      </c>
      <c r="P86" s="1652" t="str">
        <f>IFERROR(__xludf.DUMMYFUNCTION("IFERROR(
  TEXT(
    DATE(
      INDEX(SPLIT(O86,"" ""),3),
      VLOOKUP(INDEX(SPLIT(O86,"" ""),1),{""jan."",1;""Feb"",2;""mar."",3;""Apr"",4;""May"",5;""jun."",6;""jul."",7;""Aug"",8;""Sep"",9;""Oct"",10;""nov."",11;""Dec"",12},2,FALSE),
      INDEX(SPL"&amp;"IT(O86,"" ""),2)
    ),
    ""dd/mm/yyyy""
  ),
"""")"),"13/04/2026")</f>
        <v>13/04/2026</v>
      </c>
    </row>
    <row r="87">
      <c r="A87" s="1649" t="s">
        <v>1652</v>
      </c>
      <c r="B87" s="1649" t="s">
        <v>1653</v>
      </c>
      <c r="C87" s="1653"/>
      <c r="D87" s="1653"/>
      <c r="E87" s="1651"/>
      <c r="F87" s="1650" t="s">
        <v>496</v>
      </c>
      <c r="G87" s="1650" t="s">
        <v>882</v>
      </c>
      <c r="H87" s="1651"/>
      <c r="I87" s="1651"/>
      <c r="J87" s="1650" t="s">
        <v>882</v>
      </c>
      <c r="K87" s="1650" t="s">
        <v>883</v>
      </c>
      <c r="L87" s="1650" t="s">
        <v>884</v>
      </c>
      <c r="M87" s="1650" t="s">
        <v>885</v>
      </c>
      <c r="N87" s="1650" t="s">
        <v>1654</v>
      </c>
      <c r="O87" s="1650" t="s">
        <v>1655</v>
      </c>
      <c r="P87" s="1652" t="str">
        <f>IFERROR(__xludf.DUMMYFUNCTION("IFERROR(
  TEXT(
    DATE(
      INDEX(SPLIT(O87,"" ""),3),
      VLOOKUP(INDEX(SPLIT(O87,"" ""),1),{""jan."",1;""Feb"",2;""mar."",3;""Apr"",4;""May"",5;""jun."",6;""jul."",7;""Aug"",8;""Sep"",9;""Oct"",10;""nov."",11;""Dec"",12},2,FALSE),
      INDEX(SPL"&amp;"IT(O87,"" ""),2)
    ),
    ""dd/mm/yyyy""
  ),
"""")"),"23/12/2025")</f>
        <v>23/12/2025</v>
      </c>
    </row>
    <row r="88">
      <c r="A88" s="1649" t="s">
        <v>1656</v>
      </c>
      <c r="B88" s="1649" t="s">
        <v>1657</v>
      </c>
      <c r="C88" s="1653"/>
      <c r="D88" s="1653"/>
      <c r="E88" s="1651"/>
      <c r="F88" s="1650" t="s">
        <v>492</v>
      </c>
      <c r="G88" s="1650" t="s">
        <v>882</v>
      </c>
      <c r="H88" s="1651"/>
      <c r="I88" s="1651"/>
      <c r="J88" s="1650" t="s">
        <v>882</v>
      </c>
      <c r="K88" s="1650" t="s">
        <v>883</v>
      </c>
      <c r="L88" s="1650" t="s">
        <v>884</v>
      </c>
      <c r="M88" s="1650" t="s">
        <v>885</v>
      </c>
      <c r="N88" s="1650" t="s">
        <v>1010</v>
      </c>
      <c r="O88" s="1650" t="s">
        <v>1658</v>
      </c>
      <c r="P88" s="1652" t="str">
        <f>IFERROR(__xludf.DUMMYFUNCTION("IFERROR(
  TEXT(
    DATE(
      INDEX(SPLIT(O88,"" ""),3),
      VLOOKUP(INDEX(SPLIT(O88,"" ""),1),{""jan."",1;""Feb"",2;""mar."",3;""Apr"",4;""May"",5;""jun."",6;""jul."",7;""Aug"",8;""Sep"",9;""Oct"",10;""nov."",11;""Dec"",12},2,FALSE),
      INDEX(SPL"&amp;"IT(O88,"" ""),2)
    ),
    ""dd/mm/yyyy""
  ),
"""")"),"12/05/2026")</f>
        <v>12/05/2026</v>
      </c>
    </row>
    <row r="89">
      <c r="A89" s="1649" t="s">
        <v>1659</v>
      </c>
      <c r="B89" s="1649" t="s">
        <v>1660</v>
      </c>
      <c r="C89" s="1653"/>
      <c r="D89" s="1653"/>
      <c r="E89" s="1651"/>
      <c r="F89" s="1650" t="s">
        <v>486</v>
      </c>
      <c r="G89" s="1650" t="s">
        <v>882</v>
      </c>
      <c r="H89" s="1651"/>
      <c r="I89" s="1651"/>
      <c r="J89" s="1650" t="s">
        <v>882</v>
      </c>
      <c r="K89" s="1650" t="s">
        <v>883</v>
      </c>
      <c r="L89" s="1650" t="s">
        <v>884</v>
      </c>
      <c r="M89" s="1650" t="s">
        <v>885</v>
      </c>
      <c r="N89" s="1650" t="s">
        <v>1561</v>
      </c>
      <c r="O89" s="1650" t="s">
        <v>1661</v>
      </c>
      <c r="P89" s="1652" t="str">
        <f>IFERROR(__xludf.DUMMYFUNCTION("IFERROR(
  TEXT(
    DATE(
      INDEX(SPLIT(O89,"" ""),3),
      VLOOKUP(INDEX(SPLIT(O89,"" ""),1),{""jan."",1;""Feb"",2;""mar."",3;""Apr"",4;""May"",5;""jun."",6;""jul."",7;""Aug"",8;""Sep"",9;""Oct"",10;""nov."",11;""Dec"",12},2,FALSE),
      INDEX(SPL"&amp;"IT(O89,"" ""),2)
    ),
    ""dd/mm/yyyy""
  ),
"""")"),"08/12/2025")</f>
        <v>08/12/2025</v>
      </c>
    </row>
    <row r="90">
      <c r="A90" s="1649" t="s">
        <v>1662</v>
      </c>
      <c r="B90" s="1649" t="s">
        <v>1663</v>
      </c>
      <c r="C90" s="1653"/>
      <c r="D90" s="1653"/>
      <c r="E90" s="1651"/>
      <c r="F90" s="1650" t="s">
        <v>719</v>
      </c>
      <c r="G90" s="1650" t="s">
        <v>882</v>
      </c>
      <c r="H90" s="1651"/>
      <c r="I90" s="1651"/>
      <c r="J90" s="1650" t="s">
        <v>882</v>
      </c>
      <c r="K90" s="1650" t="s">
        <v>883</v>
      </c>
      <c r="L90" s="1650" t="s">
        <v>884</v>
      </c>
      <c r="M90" s="1650" t="s">
        <v>885</v>
      </c>
      <c r="N90" s="1650" t="s">
        <v>1664</v>
      </c>
      <c r="O90" s="1650" t="s">
        <v>1665</v>
      </c>
      <c r="P90" s="1652" t="str">
        <f>IFERROR(__xludf.DUMMYFUNCTION("IFERROR(
  TEXT(
    DATE(
      INDEX(SPLIT(O90,"" ""),3),
      VLOOKUP(INDEX(SPLIT(O90,"" ""),1),{""jan."",1;""Feb"",2;""mar."",3;""Apr"",4;""May"",5;""jun."",6;""jul."",7;""Aug"",8;""Sep"",9;""Oct"",10;""nov."",11;""Dec"",12},2,FALSE),
      INDEX(SPL"&amp;"IT(O90,"" ""),2)
    ),
    ""dd/mm/yyyy""
  ),
"""")"),"27/04/2026")</f>
        <v>27/04/2026</v>
      </c>
    </row>
    <row r="91">
      <c r="A91" s="1649" t="s">
        <v>1666</v>
      </c>
      <c r="B91" s="1649" t="s">
        <v>1667</v>
      </c>
      <c r="C91" s="1653"/>
      <c r="D91" s="1653"/>
      <c r="E91" s="1651"/>
      <c r="F91" s="1650" t="s">
        <v>489</v>
      </c>
      <c r="G91" s="1650" t="s">
        <v>882</v>
      </c>
      <c r="H91" s="1651"/>
      <c r="I91" s="1651"/>
      <c r="J91" s="1650" t="s">
        <v>882</v>
      </c>
      <c r="K91" s="1650" t="s">
        <v>883</v>
      </c>
      <c r="L91" s="1650" t="s">
        <v>884</v>
      </c>
      <c r="M91" s="1650" t="s">
        <v>885</v>
      </c>
      <c r="N91" s="1650" t="s">
        <v>1668</v>
      </c>
      <c r="O91" s="1650" t="s">
        <v>1669</v>
      </c>
      <c r="P91" s="1652" t="str">
        <f>IFERROR(__xludf.DUMMYFUNCTION("IFERROR(
  TEXT(
    DATE(
      INDEX(SPLIT(O91,"" ""),3),
      VLOOKUP(INDEX(SPLIT(O91,"" ""),1),{""jan."",1;""Feb"",2;""mar."",3;""Apr"",4;""May"",5;""jun."",6;""jul."",7;""Aug"",8;""Sep"",9;""Oct"",10;""nov."",11;""Dec"",12},2,FALSE),
      INDEX(SPL"&amp;"IT(O91,"" ""),2)
    ),
    ""dd/mm/yyyy""
  ),
"""")"),"03/02/2026")</f>
        <v>03/02/2026</v>
      </c>
    </row>
    <row r="92">
      <c r="A92" s="1649" t="s">
        <v>1670</v>
      </c>
      <c r="B92" s="1649" t="s">
        <v>1671</v>
      </c>
      <c r="C92" s="1653"/>
      <c r="D92" s="1653"/>
      <c r="E92" s="1651"/>
      <c r="F92" s="1650" t="s">
        <v>722</v>
      </c>
      <c r="G92" s="1650" t="s">
        <v>882</v>
      </c>
      <c r="H92" s="1651"/>
      <c r="I92" s="1651"/>
      <c r="J92" s="1650" t="s">
        <v>882</v>
      </c>
      <c r="K92" s="1650" t="s">
        <v>883</v>
      </c>
      <c r="L92" s="1650" t="s">
        <v>884</v>
      </c>
      <c r="M92" s="1650" t="s">
        <v>885</v>
      </c>
      <c r="N92" s="1650" t="s">
        <v>1672</v>
      </c>
      <c r="O92" s="1650" t="s">
        <v>913</v>
      </c>
      <c r="P92" s="1652" t="str">
        <f>IFERROR(__xludf.DUMMYFUNCTION("IFERROR(
  TEXT(
    DATE(
      INDEX(SPLIT(O92,"" ""),3),
      VLOOKUP(INDEX(SPLIT(O92,"" ""),1),{""jan."",1;""Feb"",2;""mar."",3;""Apr"",4;""May"",5;""jun."",6;""jul."",7;""Aug"",8;""Sep"",9;""Oct"",10;""nov."",11;""Dec"",12},2,FALSE),
      INDEX(SPL"&amp;"IT(O92,"" ""),2)
    ),
    ""dd/mm/yyyy""
  ),
"""")"),"15/05/2026")</f>
        <v>15/05/2026</v>
      </c>
    </row>
    <row r="93">
      <c r="A93" s="1649" t="s">
        <v>1673</v>
      </c>
      <c r="B93" s="1649" t="s">
        <v>1674</v>
      </c>
      <c r="C93" s="1653"/>
      <c r="D93" s="1653"/>
      <c r="E93" s="1651"/>
      <c r="F93" s="1650" t="s">
        <v>718</v>
      </c>
      <c r="G93" s="1650" t="s">
        <v>882</v>
      </c>
      <c r="H93" s="1651"/>
      <c r="I93" s="1651"/>
      <c r="J93" s="1650" t="s">
        <v>882</v>
      </c>
      <c r="K93" s="1650" t="s">
        <v>883</v>
      </c>
      <c r="L93" s="1650" t="s">
        <v>884</v>
      </c>
      <c r="M93" s="1650" t="s">
        <v>885</v>
      </c>
      <c r="N93" s="1650" t="s">
        <v>1675</v>
      </c>
      <c r="O93" s="1650" t="s">
        <v>1676</v>
      </c>
      <c r="P93" s="1652" t="str">
        <f>IFERROR(__xludf.DUMMYFUNCTION("IFERROR(
  TEXT(
    DATE(
      INDEX(SPLIT(O93,"" ""),3),
      VLOOKUP(INDEX(SPLIT(O93,"" ""),1),{""jan."",1;""Feb"",2;""mar."",3;""Apr"",4;""May"",5;""jun."",6;""jul."",7;""Aug"",8;""Sep"",9;""Oct"",10;""nov."",11;""Dec"",12},2,FALSE),
      INDEX(SPL"&amp;"IT(O93,"" ""),2)
    ),
    ""dd/mm/yyyy""
  ),
"""")"),"08/05/2026")</f>
        <v>08/05/2026</v>
      </c>
    </row>
    <row r="94">
      <c r="A94" s="1649" t="s">
        <v>1677</v>
      </c>
      <c r="B94" s="1649" t="s">
        <v>1678</v>
      </c>
      <c r="C94" s="1653"/>
      <c r="D94" s="1653"/>
      <c r="E94" s="1651"/>
      <c r="F94" s="1650" t="s">
        <v>715</v>
      </c>
      <c r="G94" s="1650" t="s">
        <v>882</v>
      </c>
      <c r="H94" s="1651"/>
      <c r="I94" s="1651"/>
      <c r="J94" s="1650" t="s">
        <v>882</v>
      </c>
      <c r="K94" s="1650" t="s">
        <v>883</v>
      </c>
      <c r="L94" s="1650" t="s">
        <v>884</v>
      </c>
      <c r="M94" s="1650" t="s">
        <v>885</v>
      </c>
      <c r="N94" s="1650" t="s">
        <v>1679</v>
      </c>
      <c r="O94" s="1650" t="s">
        <v>1680</v>
      </c>
      <c r="P94" s="1652" t="str">
        <f>IFERROR(__xludf.DUMMYFUNCTION("IFERROR(
  TEXT(
    DATE(
      INDEX(SPLIT(O94,"" ""),3),
      VLOOKUP(INDEX(SPLIT(O94,"" ""),1),{""jan."",1;""Feb"",2;""mar."",3;""Apr"",4;""May"",5;""jun."",6;""jul."",7;""Aug"",8;""Sep"",9;""Oct"",10;""nov."",11;""Dec"",12},2,FALSE),
      INDEX(SPL"&amp;"IT(O94,"" ""),2)
    ),
    ""dd/mm/yyyy""
  ),
"""")"),"14/05/2026")</f>
        <v>14/05/2026</v>
      </c>
    </row>
    <row r="95">
      <c r="A95" s="1649" t="s">
        <v>1681</v>
      </c>
      <c r="B95" s="1649" t="s">
        <v>1682</v>
      </c>
      <c r="C95" s="1653"/>
      <c r="D95" s="1653"/>
      <c r="E95" s="1651"/>
      <c r="F95" s="1650" t="s">
        <v>719</v>
      </c>
      <c r="G95" s="1650" t="s">
        <v>882</v>
      </c>
      <c r="H95" s="1651"/>
      <c r="I95" s="1651"/>
      <c r="J95" s="1650" t="s">
        <v>882</v>
      </c>
      <c r="K95" s="1650" t="s">
        <v>883</v>
      </c>
      <c r="L95" s="1650" t="s">
        <v>884</v>
      </c>
      <c r="M95" s="1650" t="s">
        <v>885</v>
      </c>
      <c r="N95" s="1650" t="s">
        <v>1683</v>
      </c>
      <c r="O95" s="1650" t="s">
        <v>1680</v>
      </c>
      <c r="P95" s="1652" t="str">
        <f>IFERROR(__xludf.DUMMYFUNCTION("IFERROR(
  TEXT(
    DATE(
      INDEX(SPLIT(O95,"" ""),3),
      VLOOKUP(INDEX(SPLIT(O95,"" ""),1),{""jan."",1;""Feb"",2;""mar."",3;""Apr"",4;""May"",5;""jun."",6;""jul."",7;""Aug"",8;""Sep"",9;""Oct"",10;""nov."",11;""Dec"",12},2,FALSE),
      INDEX(SPL"&amp;"IT(O95,"" ""),2)
    ),
    ""dd/mm/yyyy""
  ),
"""")"),"14/05/2026")</f>
        <v>14/05/2026</v>
      </c>
    </row>
    <row r="96">
      <c r="A96" s="1649" t="s">
        <v>1684</v>
      </c>
      <c r="B96" s="1649" t="s">
        <v>1685</v>
      </c>
      <c r="C96" s="1653"/>
      <c r="D96" s="1653"/>
      <c r="E96" s="1651"/>
      <c r="F96" s="1650" t="s">
        <v>719</v>
      </c>
      <c r="G96" s="1650" t="s">
        <v>882</v>
      </c>
      <c r="H96" s="1651"/>
      <c r="I96" s="1651"/>
      <c r="J96" s="1650" t="s">
        <v>882</v>
      </c>
      <c r="K96" s="1650" t="s">
        <v>883</v>
      </c>
      <c r="L96" s="1650" t="s">
        <v>884</v>
      </c>
      <c r="M96" s="1650" t="s">
        <v>885</v>
      </c>
      <c r="N96" s="1650" t="s">
        <v>1159</v>
      </c>
      <c r="O96" s="1652">
        <v>46037.63958333333</v>
      </c>
      <c r="P96" s="1652" t="str">
        <f>IFERROR(__xludf.DUMMYFUNCTION("IFERROR(
  TEXT(
    DATE(
      INDEX(SPLIT(O96,"" ""),3),
      VLOOKUP(INDEX(SPLIT(O96,"" ""),1),{""jan."",1;""Feb"",2;""mar."",3;""Apr"",4;""May"",5;""jun."",6;""jul."",7;""Aug"",8;""Sep"",9;""Oct"",10;""nov."",11;""Dec"",12},2,FALSE),
      INDEX(SPL"&amp;"IT(O96,"" ""),2)
    ),
    ""dd/mm/yyyy""
  ),
"""")"),"15/01/2026")</f>
        <v>15/01/2026</v>
      </c>
    </row>
    <row r="97">
      <c r="A97" s="1649" t="s">
        <v>1686</v>
      </c>
      <c r="B97" s="1649" t="s">
        <v>1687</v>
      </c>
      <c r="C97" s="1653"/>
      <c r="D97" s="1653"/>
      <c r="E97" s="1651"/>
      <c r="F97" s="1650" t="s">
        <v>492</v>
      </c>
      <c r="G97" s="1650" t="s">
        <v>882</v>
      </c>
      <c r="H97" s="1651"/>
      <c r="I97" s="1651"/>
      <c r="J97" s="1650" t="s">
        <v>882</v>
      </c>
      <c r="K97" s="1650" t="s">
        <v>883</v>
      </c>
      <c r="L97" s="1650" t="s">
        <v>884</v>
      </c>
      <c r="M97" s="1650" t="s">
        <v>885</v>
      </c>
      <c r="N97" s="1650" t="s">
        <v>1225</v>
      </c>
      <c r="O97" s="1652">
        <v>46084.36597222222</v>
      </c>
      <c r="P97" s="1652" t="str">
        <f>IFERROR(__xludf.DUMMYFUNCTION("IFERROR(
  TEXT(
    DATE(
      INDEX(SPLIT(O97,"" ""),3),
      VLOOKUP(INDEX(SPLIT(O97,"" ""),1),{""jan."",1;""Feb"",2;""mar."",3;""Apr"",4;""May"",5;""jun."",6;""jul."",7;""Aug"",8;""Sep"",9;""Oct"",10;""nov."",11;""Dec"",12},2,FALSE),
      INDEX(SPL"&amp;"IT(O97,"" ""),2)
    ),
    ""dd/mm/yyyy""
  ),
"""")"),"03/03/2026")</f>
        <v>03/03/2026</v>
      </c>
    </row>
    <row r="98">
      <c r="A98" s="1649" t="s">
        <v>1688</v>
      </c>
      <c r="B98" s="1649" t="s">
        <v>1689</v>
      </c>
      <c r="C98" s="1653"/>
      <c r="D98" s="1653"/>
      <c r="E98" s="1651"/>
      <c r="F98" s="1650" t="s">
        <v>505</v>
      </c>
      <c r="G98" s="1650" t="s">
        <v>882</v>
      </c>
      <c r="H98" s="1651"/>
      <c r="I98" s="1651"/>
      <c r="J98" s="1650" t="s">
        <v>882</v>
      </c>
      <c r="K98" s="1650" t="s">
        <v>883</v>
      </c>
      <c r="L98" s="1650" t="s">
        <v>884</v>
      </c>
      <c r="M98" s="1650" t="s">
        <v>885</v>
      </c>
      <c r="N98" s="1650" t="s">
        <v>1690</v>
      </c>
      <c r="O98" s="1652">
        <v>46105.81597222222</v>
      </c>
      <c r="P98" s="1652" t="str">
        <f>IFERROR(__xludf.DUMMYFUNCTION("IFERROR(
  TEXT(
    DATE(
      INDEX(SPLIT(O98,"" ""),3),
      VLOOKUP(INDEX(SPLIT(O98,"" ""),1),{""jan."",1;""Feb"",2;""mar."",3;""Apr"",4;""May"",5;""jun."",6;""jul."",7;""Aug"",8;""Sep"",9;""Oct"",10;""nov."",11;""Dec"",12},2,FALSE),
      INDEX(SPL"&amp;"IT(O98,"" ""),2)
    ),
    ""dd/mm/yyyy""
  ),
"""")"),"24/03/2026")</f>
        <v>24/03/2026</v>
      </c>
    </row>
    <row r="99">
      <c r="A99" s="1649" t="s">
        <v>1691</v>
      </c>
      <c r="B99" s="1649" t="s">
        <v>1692</v>
      </c>
      <c r="C99" s="1651"/>
      <c r="D99" s="1651"/>
      <c r="E99" s="1651"/>
      <c r="F99" s="1650" t="s">
        <v>496</v>
      </c>
      <c r="G99" s="1650" t="s">
        <v>882</v>
      </c>
      <c r="H99" s="1651"/>
      <c r="I99" s="1651"/>
      <c r="J99" s="1650" t="s">
        <v>882</v>
      </c>
      <c r="K99" s="1650" t="s">
        <v>883</v>
      </c>
      <c r="L99" s="1650" t="s">
        <v>884</v>
      </c>
      <c r="M99" s="1650" t="s">
        <v>885</v>
      </c>
      <c r="N99" s="1650" t="s">
        <v>1693</v>
      </c>
      <c r="O99" s="1650" t="s">
        <v>1694</v>
      </c>
      <c r="P99" s="1652" t="str">
        <f>IFERROR(__xludf.DUMMYFUNCTION("IFERROR(
  TEXT(
    DATE(
      INDEX(SPLIT(O99,"" ""),3),
      VLOOKUP(INDEX(SPLIT(O99,"" ""),1),{""jan."",1;""Feb"",2;""mar."",3;""Apr"",4;""May"",5;""jun."",6;""jul."",7;""Aug"",8;""Sep"",9;""Oct"",10;""nov."",11;""Dec"",12},2,FALSE),
      INDEX(SPL"&amp;"IT(O99,"" ""),2)
    ),
    ""dd/mm/yyyy""
  ),
"""")"),"08/04/2026")</f>
        <v>08/04/2026</v>
      </c>
    </row>
    <row r="100">
      <c r="A100" s="1649" t="s">
        <v>1695</v>
      </c>
      <c r="B100" s="1649" t="s">
        <v>1696</v>
      </c>
      <c r="C100" s="1653"/>
      <c r="D100" s="1653"/>
      <c r="E100" s="1651"/>
      <c r="F100" s="1650" t="s">
        <v>1697</v>
      </c>
      <c r="G100" s="1650" t="s">
        <v>882</v>
      </c>
      <c r="H100" s="1651"/>
      <c r="I100" s="1651"/>
      <c r="J100" s="1650" t="s">
        <v>882</v>
      </c>
      <c r="K100" s="1650" t="s">
        <v>883</v>
      </c>
      <c r="L100" s="1650" t="s">
        <v>884</v>
      </c>
      <c r="M100" s="1650" t="s">
        <v>885</v>
      </c>
      <c r="N100" s="1650" t="s">
        <v>1184</v>
      </c>
      <c r="O100" s="1650" t="s">
        <v>1698</v>
      </c>
      <c r="P100" s="1652" t="str">
        <f>IFERROR(__xludf.DUMMYFUNCTION("IFERROR(
  TEXT(
    DATE(
      INDEX(SPLIT(O100,"" ""),3),
      VLOOKUP(INDEX(SPLIT(O100,"" ""),1),{""jan."",1;""Feb"",2;""mar."",3;""Apr"",4;""May"",5;""jun."",6;""jul."",7;""Aug"",8;""Sep"",9;""Oct"",10;""nov."",11;""Dec"",12},2,FALSE),
      INDEX(S"&amp;"PLIT(O100,"" ""),2)
    ),
    ""dd/mm/yyyy""
  ),
"""")"),"08/05/2026")</f>
        <v>08/05/2026</v>
      </c>
    </row>
    <row r="101">
      <c r="A101" s="1649" t="s">
        <v>1699</v>
      </c>
      <c r="B101" s="1649" t="s">
        <v>1700</v>
      </c>
      <c r="C101" s="1653"/>
      <c r="D101" s="1653"/>
      <c r="E101" s="1651"/>
      <c r="F101" s="1650" t="s">
        <v>489</v>
      </c>
      <c r="G101" s="1650" t="s">
        <v>882</v>
      </c>
      <c r="H101" s="1651"/>
      <c r="I101" s="1651"/>
      <c r="J101" s="1650" t="s">
        <v>882</v>
      </c>
      <c r="K101" s="1650" t="s">
        <v>883</v>
      </c>
      <c r="L101" s="1650" t="s">
        <v>884</v>
      </c>
      <c r="M101" s="1650" t="s">
        <v>885</v>
      </c>
      <c r="N101" s="1650" t="s">
        <v>1219</v>
      </c>
      <c r="O101" s="1650" t="s">
        <v>1701</v>
      </c>
      <c r="P101" s="1652" t="str">
        <f>IFERROR(__xludf.DUMMYFUNCTION("IFERROR(
  TEXT(
    DATE(
      INDEX(SPLIT(O101,"" ""),3),
      VLOOKUP(INDEX(SPLIT(O101,"" ""),1),{""jan."",1;""Feb"",2;""mar."",3;""Apr"",4;""May"",5;""jun."",6;""jul."",7;""Aug"",8;""Sep"",9;""Oct"",10;""nov."",11;""Dec"",12},2,FALSE),
      INDEX(S"&amp;"PLIT(O101,"" ""),2)
    ),
    ""dd/mm/yyyy""
  ),
"""")"),"13/05/2026")</f>
        <v>13/05/2026</v>
      </c>
    </row>
    <row r="102">
      <c r="A102" s="1649" t="s">
        <v>1702</v>
      </c>
      <c r="B102" s="1649" t="s">
        <v>1703</v>
      </c>
      <c r="C102" s="1653"/>
      <c r="D102" s="1653"/>
      <c r="E102" s="1651"/>
      <c r="F102" s="1650" t="s">
        <v>1704</v>
      </c>
      <c r="G102" s="1650" t="s">
        <v>882</v>
      </c>
      <c r="H102" s="1651"/>
      <c r="I102" s="1651"/>
      <c r="J102" s="1650" t="s">
        <v>882</v>
      </c>
      <c r="K102" s="1650" t="s">
        <v>883</v>
      </c>
      <c r="L102" s="1650" t="s">
        <v>884</v>
      </c>
      <c r="M102" s="1650" t="s">
        <v>885</v>
      </c>
      <c r="N102" s="1650" t="s">
        <v>1705</v>
      </c>
      <c r="O102" s="1650" t="s">
        <v>1706</v>
      </c>
      <c r="P102" s="1652" t="str">
        <f>IFERROR(__xludf.DUMMYFUNCTION("IFERROR(
  TEXT(
    DATE(
      INDEX(SPLIT(O102,"" ""),3),
      VLOOKUP(INDEX(SPLIT(O102,"" ""),1),{""jan."",1;""Feb"",2;""mar."",3;""Apr"",4;""May"",5;""jun."",6;""jul."",7;""Aug"",8;""Sep"",9;""Oct"",10;""nov."",11;""Dec"",12},2,FALSE),
      INDEX(S"&amp;"PLIT(O102,"" ""),2)
    ),
    ""dd/mm/yyyy""
  ),
"""")"),"06/05/2026")</f>
        <v>06/05/2026</v>
      </c>
    </row>
    <row r="103">
      <c r="A103" s="1649" t="s">
        <v>1707</v>
      </c>
      <c r="B103" s="1649" t="s">
        <v>1708</v>
      </c>
      <c r="C103" s="1653"/>
      <c r="D103" s="1653"/>
      <c r="E103" s="1651"/>
      <c r="F103" s="1650" t="s">
        <v>728</v>
      </c>
      <c r="G103" s="1650" t="s">
        <v>882</v>
      </c>
      <c r="H103" s="1651"/>
      <c r="I103" s="1651"/>
      <c r="J103" s="1650" t="s">
        <v>882</v>
      </c>
      <c r="K103" s="1650" t="s">
        <v>883</v>
      </c>
      <c r="L103" s="1650" t="s">
        <v>884</v>
      </c>
      <c r="M103" s="1650" t="s">
        <v>885</v>
      </c>
      <c r="N103" s="1650" t="s">
        <v>1709</v>
      </c>
      <c r="O103" s="1650" t="s">
        <v>1710</v>
      </c>
      <c r="P103" s="1652" t="str">
        <f>IFERROR(__xludf.DUMMYFUNCTION("IFERROR(
  TEXT(
    DATE(
      INDEX(SPLIT(O103,"" ""),3),
      VLOOKUP(INDEX(SPLIT(O103,"" ""),1),{""jan."",1;""Feb"",2;""mar."",3;""Apr"",4;""May"",5;""jun."",6;""jul."",7;""Aug"",8;""Sep"",9;""Oct"",10;""nov."",11;""Dec"",12},2,FALSE),
      INDEX(S"&amp;"PLIT(O103,"" ""),2)
    ),
    ""dd/mm/yyyy""
  ),
"""")"),"10/04/2026")</f>
        <v>10/04/2026</v>
      </c>
    </row>
    <row r="104">
      <c r="A104" s="1649" t="s">
        <v>1711</v>
      </c>
      <c r="B104" s="1649" t="s">
        <v>1712</v>
      </c>
      <c r="C104" s="1653"/>
      <c r="D104" s="1653"/>
      <c r="E104" s="1651"/>
      <c r="F104" s="1650" t="s">
        <v>596</v>
      </c>
      <c r="G104" s="1650" t="s">
        <v>882</v>
      </c>
      <c r="H104" s="1651"/>
      <c r="I104" s="1651"/>
      <c r="J104" s="1650" t="s">
        <v>882</v>
      </c>
      <c r="K104" s="1650" t="s">
        <v>883</v>
      </c>
      <c r="L104" s="1650" t="s">
        <v>884</v>
      </c>
      <c r="M104" s="1650" t="s">
        <v>885</v>
      </c>
      <c r="N104" s="1650" t="s">
        <v>1225</v>
      </c>
      <c r="O104" s="1650" t="s">
        <v>1713</v>
      </c>
      <c r="P104" s="1652" t="str">
        <f>IFERROR(__xludf.DUMMYFUNCTION("IFERROR(
  TEXT(
    DATE(
      INDEX(SPLIT(O104,"" ""),3),
      VLOOKUP(INDEX(SPLIT(O104,"" ""),1),{""jan."",1;""Feb"",2;""mar."",3;""Apr"",4;""May"",5;""jun."",6;""jul."",7;""Aug"",8;""Sep"",9;""Oct"",10;""nov."",11;""Dec"",12},2,FALSE),
      INDEX(S"&amp;"PLIT(O104,"" ""),2)
    ),
    ""dd/mm/yyyy""
  ),
"""")"),"07/05/2026")</f>
        <v>07/05/2026</v>
      </c>
    </row>
    <row r="105">
      <c r="A105" s="1649" t="s">
        <v>1714</v>
      </c>
      <c r="B105" s="1649" t="s">
        <v>1715</v>
      </c>
      <c r="C105" s="1653"/>
      <c r="D105" s="1653"/>
      <c r="E105" s="1651"/>
      <c r="F105" s="1650" t="s">
        <v>1697</v>
      </c>
      <c r="G105" s="1650" t="s">
        <v>882</v>
      </c>
      <c r="H105" s="1651"/>
      <c r="I105" s="1651"/>
      <c r="J105" s="1650" t="s">
        <v>882</v>
      </c>
      <c r="K105" s="1650" t="s">
        <v>883</v>
      </c>
      <c r="L105" s="1650" t="s">
        <v>884</v>
      </c>
      <c r="M105" s="1650" t="s">
        <v>885</v>
      </c>
      <c r="N105" s="1650" t="s">
        <v>1287</v>
      </c>
      <c r="O105" s="1652">
        <v>46100.67013888889</v>
      </c>
      <c r="P105" s="1652" t="str">
        <f>IFERROR(__xludf.DUMMYFUNCTION("IFERROR(
  TEXT(
    DATE(
      INDEX(SPLIT(O105,"" ""),3),
      VLOOKUP(INDEX(SPLIT(O105,"" ""),1),{""jan."",1;""Feb"",2;""mar."",3;""Apr"",4;""May"",5;""jun."",6;""jul."",7;""Aug"",8;""Sep"",9;""Oct"",10;""nov."",11;""Dec"",12},2,FALSE),
      INDEX(S"&amp;"PLIT(O105,"" ""),2)
    ),
    ""dd/mm/yyyy""
  ),
"""")"),"19/03/2026")</f>
        <v>19/03/2026</v>
      </c>
    </row>
    <row r="106">
      <c r="A106" s="1649" t="s">
        <v>1716</v>
      </c>
      <c r="B106" s="1649" t="s">
        <v>1717</v>
      </c>
      <c r="C106" s="1653"/>
      <c r="D106" s="1653"/>
      <c r="E106" s="1651"/>
      <c r="F106" s="1650" t="s">
        <v>731</v>
      </c>
      <c r="G106" s="1650" t="s">
        <v>882</v>
      </c>
      <c r="H106" s="1651"/>
      <c r="I106" s="1651"/>
      <c r="J106" s="1650" t="s">
        <v>882</v>
      </c>
      <c r="K106" s="1650" t="s">
        <v>883</v>
      </c>
      <c r="L106" s="1650" t="s">
        <v>884</v>
      </c>
      <c r="M106" s="1650" t="s">
        <v>885</v>
      </c>
      <c r="N106" s="1650" t="s">
        <v>1718</v>
      </c>
      <c r="O106" s="1650" t="s">
        <v>1719</v>
      </c>
      <c r="P106" s="1652" t="str">
        <f>IFERROR(__xludf.DUMMYFUNCTION("IFERROR(
  TEXT(
    DATE(
      INDEX(SPLIT(O106,"" ""),3),
      VLOOKUP(INDEX(SPLIT(O106,"" ""),1),{""jan."",1;""Feb"",2;""mar."",3;""Apr"",4;""May"",5;""jun."",6;""jul."",7;""Aug"",8;""Sep"",9;""Oct"",10;""nov."",11;""Dec"",12},2,FALSE),
      INDEX(S"&amp;"PLIT(O106,"" ""),2)
    ),
    ""dd/mm/yyyy""
  ),
"""")"),"05/05/2026")</f>
        <v>05/05/2026</v>
      </c>
    </row>
    <row r="107">
      <c r="A107" s="1649" t="s">
        <v>1720</v>
      </c>
      <c r="B107" s="1649" t="s">
        <v>1721</v>
      </c>
      <c r="C107" s="1653"/>
      <c r="D107" s="1653"/>
      <c r="E107" s="1651"/>
      <c r="F107" s="1650" t="s">
        <v>725</v>
      </c>
      <c r="G107" s="1650" t="s">
        <v>882</v>
      </c>
      <c r="H107" s="1651"/>
      <c r="I107" s="1651"/>
      <c r="J107" s="1650" t="s">
        <v>882</v>
      </c>
      <c r="K107" s="1650" t="s">
        <v>883</v>
      </c>
      <c r="L107" s="1650" t="s">
        <v>884</v>
      </c>
      <c r="M107" s="1650" t="s">
        <v>885</v>
      </c>
      <c r="N107" s="1650" t="s">
        <v>1722</v>
      </c>
      <c r="O107" s="1650" t="s">
        <v>1723</v>
      </c>
      <c r="P107" s="1652" t="str">
        <f>IFERROR(__xludf.DUMMYFUNCTION("IFERROR(
  TEXT(
    DATE(
      INDEX(SPLIT(O107,"" ""),3),
      VLOOKUP(INDEX(SPLIT(O107,"" ""),1),{""jan."",1;""Feb"",2;""mar."",3;""Apr"",4;""May"",5;""jun."",6;""jul."",7;""Aug"",8;""Sep"",9;""Oct"",10;""nov."",11;""Dec"",12},2,FALSE),
      INDEX(S"&amp;"PLIT(O107,"" ""),2)
    ),
    ""dd/mm/yyyy""
  ),
"""")"),"10/04/2026")</f>
        <v>10/04/2026</v>
      </c>
    </row>
    <row r="108">
      <c r="A108" s="1649" t="s">
        <v>1724</v>
      </c>
      <c r="B108" s="1649" t="s">
        <v>1725</v>
      </c>
      <c r="C108" s="1653"/>
      <c r="D108" s="1653"/>
      <c r="E108" s="1651"/>
      <c r="F108" s="1650" t="s">
        <v>725</v>
      </c>
      <c r="G108" s="1650" t="s">
        <v>882</v>
      </c>
      <c r="H108" s="1651"/>
      <c r="I108" s="1651"/>
      <c r="J108" s="1650" t="s">
        <v>882</v>
      </c>
      <c r="K108" s="1650" t="s">
        <v>883</v>
      </c>
      <c r="L108" s="1650" t="s">
        <v>884</v>
      </c>
      <c r="M108" s="1650" t="s">
        <v>885</v>
      </c>
      <c r="N108" s="1650" t="s">
        <v>1726</v>
      </c>
      <c r="O108" s="1650" t="s">
        <v>1727</v>
      </c>
      <c r="P108" s="1652" t="str">
        <f>IFERROR(__xludf.DUMMYFUNCTION("IFERROR(
  TEXT(
    DATE(
      INDEX(SPLIT(O108,"" ""),3),
      VLOOKUP(INDEX(SPLIT(O108,"" ""),1),{""jan."",1;""Feb"",2;""mar."",3;""Apr"",4;""May"",5;""jun."",6;""jul."",7;""Aug"",8;""Sep"",9;""Oct"",10;""nov."",11;""Dec"",12},2,FALSE),
      INDEX(S"&amp;"PLIT(O108,"" ""),2)
    ),
    ""dd/mm/yyyy""
  ),
"""")"),"12/05/2026")</f>
        <v>12/05/2026</v>
      </c>
    </row>
    <row r="109">
      <c r="A109" s="1649" t="s">
        <v>1728</v>
      </c>
      <c r="B109" s="1649" t="s">
        <v>1729</v>
      </c>
      <c r="C109" s="1653"/>
      <c r="D109" s="1653"/>
      <c r="E109" s="1651"/>
      <c r="F109" s="1650" t="s">
        <v>724</v>
      </c>
      <c r="G109" s="1650" t="s">
        <v>882</v>
      </c>
      <c r="H109" s="1651"/>
      <c r="I109" s="1651"/>
      <c r="J109" s="1650" t="s">
        <v>882</v>
      </c>
      <c r="K109" s="1650" t="s">
        <v>883</v>
      </c>
      <c r="L109" s="1650" t="s">
        <v>884</v>
      </c>
      <c r="M109" s="1650" t="s">
        <v>885</v>
      </c>
      <c r="N109" s="1650" t="s">
        <v>1730</v>
      </c>
      <c r="O109" s="1650" t="s">
        <v>1665</v>
      </c>
      <c r="P109" s="1652" t="str">
        <f>IFERROR(__xludf.DUMMYFUNCTION("IFERROR(
  TEXT(
    DATE(
      INDEX(SPLIT(O109,"" ""),3),
      VLOOKUP(INDEX(SPLIT(O109,"" ""),1),{""jan."",1;""Feb"",2;""mar."",3;""Apr"",4;""May"",5;""jun."",6;""jul."",7;""Aug"",8;""Sep"",9;""Oct"",10;""nov."",11;""Dec"",12},2,FALSE),
      INDEX(S"&amp;"PLIT(O109,"" ""),2)
    ),
    ""dd/mm/yyyy""
  ),
"""")"),"27/04/2026")</f>
        <v>27/04/2026</v>
      </c>
    </row>
    <row r="110">
      <c r="A110" s="1649" t="s">
        <v>1731</v>
      </c>
      <c r="B110" s="1649" t="s">
        <v>1732</v>
      </c>
      <c r="C110" s="1653"/>
      <c r="D110" s="1653"/>
      <c r="E110" s="1651"/>
      <c r="F110" s="1650" t="s">
        <v>492</v>
      </c>
      <c r="G110" s="1650" t="s">
        <v>882</v>
      </c>
      <c r="H110" s="1651"/>
      <c r="I110" s="1651"/>
      <c r="J110" s="1650" t="s">
        <v>882</v>
      </c>
      <c r="K110" s="1650" t="s">
        <v>883</v>
      </c>
      <c r="L110" s="1650" t="s">
        <v>884</v>
      </c>
      <c r="M110" s="1650" t="s">
        <v>885</v>
      </c>
      <c r="N110" s="1650" t="s">
        <v>1733</v>
      </c>
      <c r="O110" s="1650" t="s">
        <v>1734</v>
      </c>
      <c r="P110" s="1652" t="str">
        <f>IFERROR(__xludf.DUMMYFUNCTION("IFERROR(
  TEXT(
    DATE(
      INDEX(SPLIT(O110,"" ""),3),
      VLOOKUP(INDEX(SPLIT(O110,"" ""),1),{""jan."",1;""Feb"",2;""mar."",3;""Apr"",4;""May"",5;""jun."",6;""jul."",7;""Aug"",8;""Sep"",9;""Oct"",10;""nov."",11;""Dec"",12},2,FALSE),
      INDEX(S"&amp;"PLIT(O110,"" ""),2)
    ),
    ""dd/mm/yyyy""
  ),
"""")"),"29/04/2026")</f>
        <v>29/04/2026</v>
      </c>
    </row>
    <row r="111">
      <c r="A111" s="1649" t="s">
        <v>1735</v>
      </c>
      <c r="B111" s="1649" t="s">
        <v>1736</v>
      </c>
      <c r="C111" s="1650" t="s">
        <v>1428</v>
      </c>
      <c r="D111" s="1650" t="s">
        <v>881</v>
      </c>
      <c r="E111" s="1651"/>
      <c r="F111" s="1650" t="s">
        <v>490</v>
      </c>
      <c r="G111" s="1650" t="s">
        <v>882</v>
      </c>
      <c r="H111" s="1651"/>
      <c r="I111" s="1651"/>
      <c r="J111" s="1650" t="s">
        <v>882</v>
      </c>
      <c r="K111" s="1650" t="s">
        <v>883</v>
      </c>
      <c r="L111" s="1650" t="s">
        <v>884</v>
      </c>
      <c r="M111" s="1650" t="s">
        <v>885</v>
      </c>
      <c r="N111" s="1650" t="s">
        <v>1737</v>
      </c>
      <c r="O111" s="1650" t="s">
        <v>1738</v>
      </c>
      <c r="P111" s="1652" t="str">
        <f>IFERROR(__xludf.DUMMYFUNCTION("IFERROR(
  TEXT(
    DATE(
      INDEX(SPLIT(O111,"" ""),3),
      VLOOKUP(INDEX(SPLIT(O111,"" ""),1),{""jan."",1;""Feb"",2;""mar."",3;""Apr"",4;""May"",5;""jun."",6;""jul."",7;""Aug"",8;""Sep"",9;""Oct"",10;""nov."",11;""Dec"",12},2,FALSE),
      INDEX(S"&amp;"PLIT(O111,"" ""),2)
    ),
    ""dd/mm/yyyy""
  ),
"""")"),"13/12/2024")</f>
        <v>13/12/2024</v>
      </c>
    </row>
    <row r="112">
      <c r="A112" s="1649" t="s">
        <v>1739</v>
      </c>
      <c r="B112" s="1649" t="s">
        <v>1740</v>
      </c>
      <c r="C112" s="1653"/>
      <c r="D112" s="1653"/>
      <c r="E112" s="1651"/>
      <c r="F112" s="1650" t="s">
        <v>470</v>
      </c>
      <c r="G112" s="1650" t="s">
        <v>882</v>
      </c>
      <c r="H112" s="1651"/>
      <c r="I112" s="1651"/>
      <c r="J112" s="1650" t="s">
        <v>882</v>
      </c>
      <c r="K112" s="1650" t="s">
        <v>883</v>
      </c>
      <c r="L112" s="1650" t="s">
        <v>884</v>
      </c>
      <c r="M112" s="1650" t="s">
        <v>885</v>
      </c>
      <c r="N112" s="1650" t="s">
        <v>1741</v>
      </c>
      <c r="O112" s="1650" t="s">
        <v>1742</v>
      </c>
      <c r="P112" s="1652" t="str">
        <f>IFERROR(__xludf.DUMMYFUNCTION("IFERROR(
  TEXT(
    DATE(
      INDEX(SPLIT(O112,"" ""),3),
      VLOOKUP(INDEX(SPLIT(O112,"" ""),1),{""jan."",1;""Feb"",2;""mar."",3;""Apr"",4;""May"",5;""jun."",6;""jul."",7;""Aug"",8;""Sep"",9;""Oct"",10;""nov."",11;""Dec"",12},2,FALSE),
      INDEX(S"&amp;"PLIT(O112,"" ""),2)
    ),
    ""dd/mm/yyyy""
  ),
"""")"),"18/12/2024")</f>
        <v>18/12/2024</v>
      </c>
    </row>
    <row r="113">
      <c r="A113" s="1649" t="s">
        <v>1743</v>
      </c>
      <c r="B113" s="1649" t="s">
        <v>1744</v>
      </c>
      <c r="C113" s="1650" t="s">
        <v>1428</v>
      </c>
      <c r="D113" s="1650" t="s">
        <v>881</v>
      </c>
      <c r="E113" s="1651"/>
      <c r="F113" s="1650" t="s">
        <v>489</v>
      </c>
      <c r="G113" s="1650" t="s">
        <v>882</v>
      </c>
      <c r="H113" s="1651"/>
      <c r="I113" s="1651"/>
      <c r="J113" s="1650" t="s">
        <v>882</v>
      </c>
      <c r="K113" s="1650" t="s">
        <v>883</v>
      </c>
      <c r="L113" s="1650" t="s">
        <v>884</v>
      </c>
      <c r="M113" s="1650" t="s">
        <v>885</v>
      </c>
      <c r="N113" s="1650" t="s">
        <v>1745</v>
      </c>
      <c r="O113" s="1650" t="s">
        <v>1742</v>
      </c>
      <c r="P113" s="1652" t="str">
        <f>IFERROR(__xludf.DUMMYFUNCTION("IFERROR(
  TEXT(
    DATE(
      INDEX(SPLIT(O113,"" ""),3),
      VLOOKUP(INDEX(SPLIT(O113,"" ""),1),{""jan."",1;""Feb"",2;""mar."",3;""Apr"",4;""May"",5;""jun."",6;""jul."",7;""Aug"",8;""Sep"",9;""Oct"",10;""nov."",11;""Dec"",12},2,FALSE),
      INDEX(S"&amp;"PLIT(O113,"" ""),2)
    ),
    ""dd/mm/yyyy""
  ),
"""")"),"18/12/2024")</f>
        <v>18/12/2024</v>
      </c>
    </row>
    <row r="114">
      <c r="A114" s="1649" t="s">
        <v>1746</v>
      </c>
      <c r="B114" s="1649" t="s">
        <v>1747</v>
      </c>
      <c r="C114" s="1653"/>
      <c r="D114" s="1653"/>
      <c r="E114" s="1651"/>
      <c r="F114" s="1650" t="s">
        <v>470</v>
      </c>
      <c r="G114" s="1650" t="s">
        <v>882</v>
      </c>
      <c r="H114" s="1651"/>
      <c r="I114" s="1651"/>
      <c r="J114" s="1650" t="s">
        <v>882</v>
      </c>
      <c r="K114" s="1650" t="s">
        <v>883</v>
      </c>
      <c r="L114" s="1650" t="s">
        <v>884</v>
      </c>
      <c r="M114" s="1650" t="s">
        <v>885</v>
      </c>
      <c r="N114" s="1650" t="s">
        <v>1748</v>
      </c>
      <c r="O114" s="1650" t="s">
        <v>1742</v>
      </c>
      <c r="P114" s="1652" t="str">
        <f>IFERROR(__xludf.DUMMYFUNCTION("IFERROR(
  TEXT(
    DATE(
      INDEX(SPLIT(O114,"" ""),3),
      VLOOKUP(INDEX(SPLIT(O114,"" ""),1),{""jan."",1;""Feb"",2;""mar."",3;""Apr"",4;""May"",5;""jun."",6;""jul."",7;""Aug"",8;""Sep"",9;""Oct"",10;""nov."",11;""Dec"",12},2,FALSE),
      INDEX(S"&amp;"PLIT(O114,"" ""),2)
    ),
    ""dd/mm/yyyy""
  ),
"""")"),"18/12/2024")</f>
        <v>18/12/2024</v>
      </c>
    </row>
    <row r="115">
      <c r="A115" s="1649" t="s">
        <v>1749</v>
      </c>
      <c r="B115" s="1649" t="s">
        <v>1750</v>
      </c>
      <c r="C115" s="1650" t="s">
        <v>1428</v>
      </c>
      <c r="D115" s="1650" t="s">
        <v>881</v>
      </c>
      <c r="E115" s="1651"/>
      <c r="F115" s="1650" t="s">
        <v>508</v>
      </c>
      <c r="G115" s="1650" t="s">
        <v>882</v>
      </c>
      <c r="H115" s="1651"/>
      <c r="I115" s="1651"/>
      <c r="J115" s="1650" t="s">
        <v>882</v>
      </c>
      <c r="K115" s="1650" t="s">
        <v>883</v>
      </c>
      <c r="L115" s="1650" t="s">
        <v>884</v>
      </c>
      <c r="M115" s="1650" t="s">
        <v>885</v>
      </c>
      <c r="N115" s="1650" t="s">
        <v>1751</v>
      </c>
      <c r="O115" s="1650" t="s">
        <v>1742</v>
      </c>
      <c r="P115" s="1652" t="str">
        <f>IFERROR(__xludf.DUMMYFUNCTION("IFERROR(
  TEXT(
    DATE(
      INDEX(SPLIT(O115,"" ""),3),
      VLOOKUP(INDEX(SPLIT(O115,"" ""),1),{""jan."",1;""Feb"",2;""mar."",3;""Apr"",4;""May"",5;""jun."",6;""jul."",7;""Aug"",8;""Sep"",9;""Oct"",10;""nov."",11;""Dec"",12},2,FALSE),
      INDEX(S"&amp;"PLIT(O115,"" ""),2)
    ),
    ""dd/mm/yyyy""
  ),
"""")"),"18/12/2024")</f>
        <v>18/12/2024</v>
      </c>
    </row>
    <row r="116">
      <c r="A116" s="1649" t="s">
        <v>1752</v>
      </c>
      <c r="B116" s="1649" t="s">
        <v>1753</v>
      </c>
      <c r="C116" s="1650" t="s">
        <v>1428</v>
      </c>
      <c r="D116" s="1650" t="s">
        <v>881</v>
      </c>
      <c r="E116" s="1651"/>
      <c r="F116" s="1650" t="s">
        <v>479</v>
      </c>
      <c r="G116" s="1650" t="s">
        <v>882</v>
      </c>
      <c r="H116" s="1651"/>
      <c r="I116" s="1651"/>
      <c r="J116" s="1650" t="s">
        <v>882</v>
      </c>
      <c r="K116" s="1650" t="s">
        <v>883</v>
      </c>
      <c r="L116" s="1650" t="s">
        <v>884</v>
      </c>
      <c r="M116" s="1650" t="s">
        <v>885</v>
      </c>
      <c r="N116" s="1650" t="s">
        <v>1754</v>
      </c>
      <c r="O116" s="1652">
        <v>45667.666666666664</v>
      </c>
      <c r="P116" s="1652" t="str">
        <f>IFERROR(__xludf.DUMMYFUNCTION("IFERROR(
  TEXT(
    DATE(
      INDEX(SPLIT(O116,"" ""),3),
      VLOOKUP(INDEX(SPLIT(O116,"" ""),1),{""jan."",1;""Feb"",2;""mar."",3;""Apr"",4;""May"",5;""jun."",6;""jul."",7;""Aug"",8;""Sep"",9;""Oct"",10;""nov."",11;""Dec"",12},2,FALSE),
      INDEX(S"&amp;"PLIT(O116,"" ""),2)
    ),
    ""dd/mm/yyyy""
  ),
"""")"),"10/01/2025")</f>
        <v>10/01/2025</v>
      </c>
    </row>
    <row r="117">
      <c r="A117" s="1649" t="s">
        <v>1755</v>
      </c>
      <c r="B117" s="1649" t="s">
        <v>1756</v>
      </c>
      <c r="C117" s="1650" t="s">
        <v>1428</v>
      </c>
      <c r="D117" s="1650" t="s">
        <v>881</v>
      </c>
      <c r="E117" s="1651"/>
      <c r="F117" s="1650" t="s">
        <v>480</v>
      </c>
      <c r="G117" s="1650" t="s">
        <v>882</v>
      </c>
      <c r="H117" s="1651"/>
      <c r="I117" s="1651"/>
      <c r="J117" s="1650" t="s">
        <v>882</v>
      </c>
      <c r="K117" s="1650" t="s">
        <v>883</v>
      </c>
      <c r="L117" s="1650" t="s">
        <v>884</v>
      </c>
      <c r="M117" s="1650" t="s">
        <v>885</v>
      </c>
      <c r="N117" s="1650" t="s">
        <v>1757</v>
      </c>
      <c r="O117" s="1650" t="s">
        <v>1758</v>
      </c>
      <c r="P117" s="1652" t="str">
        <f>IFERROR(__xludf.DUMMYFUNCTION("IFERROR(
  TEXT(
    DATE(
      INDEX(SPLIT(O117,"" ""),3),
      VLOOKUP(INDEX(SPLIT(O117,"" ""),1),{""jan."",1;""Feb"",2;""mar."",3;""Apr"",4;""May"",5;""jun."",6;""jul."",7;""Aug"",8;""Sep"",9;""Oct"",10;""nov."",11;""Dec"",12},2,FALSE),
      INDEX(S"&amp;"PLIT(O117,"" ""),2)
    ),
    ""dd/mm/yyyy""
  ),
"""")"),"19/12/2024")</f>
        <v>19/12/2024</v>
      </c>
    </row>
    <row r="118">
      <c r="A118" s="1649" t="s">
        <v>1759</v>
      </c>
      <c r="B118" s="1649" t="s">
        <v>1760</v>
      </c>
      <c r="C118" s="1650" t="s">
        <v>1428</v>
      </c>
      <c r="D118" s="1650" t="s">
        <v>881</v>
      </c>
      <c r="E118" s="1651"/>
      <c r="F118" s="1650" t="s">
        <v>479</v>
      </c>
      <c r="G118" s="1650" t="s">
        <v>882</v>
      </c>
      <c r="H118" s="1651"/>
      <c r="I118" s="1651"/>
      <c r="J118" s="1650" t="s">
        <v>882</v>
      </c>
      <c r="K118" s="1650" t="s">
        <v>883</v>
      </c>
      <c r="L118" s="1650" t="s">
        <v>884</v>
      </c>
      <c r="M118" s="1650" t="s">
        <v>885</v>
      </c>
      <c r="N118" s="1650" t="s">
        <v>1761</v>
      </c>
      <c r="O118" s="1650" t="s">
        <v>1762</v>
      </c>
      <c r="P118" s="1652" t="str">
        <f>IFERROR(__xludf.DUMMYFUNCTION("IFERROR(
  TEXT(
    DATE(
      INDEX(SPLIT(O118,"" ""),3),
      VLOOKUP(INDEX(SPLIT(O118,"" ""),1),{""jan."",1;""Feb"",2;""mar."",3;""Apr"",4;""May"",5;""jun."",6;""jul."",7;""Aug"",8;""Sep"",9;""Oct"",10;""nov."",11;""Dec"",12},2,FALSE),
      INDEX(S"&amp;"PLIT(O118,"" ""),2)
    ),
    ""dd/mm/yyyy""
  ),
"""")"),"19/12/2024")</f>
        <v>19/12/2024</v>
      </c>
    </row>
    <row r="119">
      <c r="A119" s="1649" t="s">
        <v>1763</v>
      </c>
      <c r="B119" s="1649" t="s">
        <v>1764</v>
      </c>
      <c r="C119" s="1653"/>
      <c r="D119" s="1653"/>
      <c r="E119" s="1651"/>
      <c r="F119" s="1650" t="s">
        <v>596</v>
      </c>
      <c r="G119" s="1650" t="s">
        <v>882</v>
      </c>
      <c r="H119" s="1651"/>
      <c r="I119" s="1651"/>
      <c r="J119" s="1650" t="s">
        <v>882</v>
      </c>
      <c r="K119" s="1650" t="s">
        <v>883</v>
      </c>
      <c r="L119" s="1650" t="s">
        <v>884</v>
      </c>
      <c r="M119" s="1650" t="s">
        <v>885</v>
      </c>
      <c r="N119" s="1650" t="s">
        <v>954</v>
      </c>
      <c r="O119" s="1652">
        <v>45733.45625</v>
      </c>
      <c r="P119" s="1652" t="str">
        <f>IFERROR(__xludf.DUMMYFUNCTION("IFERROR(
  TEXT(
    DATE(
      INDEX(SPLIT(O119,"" ""),3),
      VLOOKUP(INDEX(SPLIT(O119,"" ""),1),{""jan."",1;""Feb"",2;""mar."",3;""Apr"",4;""May"",5;""jun."",6;""jul."",7;""Aug"",8;""Sep"",9;""Oct"",10;""nov."",11;""Dec"",12},2,FALSE),
      INDEX(S"&amp;"PLIT(O119,"" ""),2)
    ),
    ""dd/mm/yyyy""
  ),
"""")"),"17/03/2025")</f>
        <v>17/03/2025</v>
      </c>
    </row>
    <row r="120">
      <c r="A120" s="1649" t="s">
        <v>1765</v>
      </c>
      <c r="B120" s="1649" t="s">
        <v>1766</v>
      </c>
      <c r="C120" s="1650" t="s">
        <v>1428</v>
      </c>
      <c r="D120" s="1650" t="s">
        <v>881</v>
      </c>
      <c r="E120" s="1651"/>
      <c r="F120" s="1650" t="s">
        <v>507</v>
      </c>
      <c r="G120" s="1650" t="s">
        <v>882</v>
      </c>
      <c r="H120" s="1651"/>
      <c r="I120" s="1651"/>
      <c r="J120" s="1650" t="s">
        <v>882</v>
      </c>
      <c r="K120" s="1650" t="s">
        <v>883</v>
      </c>
      <c r="L120" s="1650" t="s">
        <v>884</v>
      </c>
      <c r="M120" s="1650" t="s">
        <v>885</v>
      </c>
      <c r="N120" s="1650" t="s">
        <v>1767</v>
      </c>
      <c r="O120" s="1652">
        <v>45687.50763888889</v>
      </c>
      <c r="P120" s="1652" t="str">
        <f>IFERROR(__xludf.DUMMYFUNCTION("IFERROR(
  TEXT(
    DATE(
      INDEX(SPLIT(O120,"" ""),3),
      VLOOKUP(INDEX(SPLIT(O120,"" ""),1),{""jan."",1;""Feb"",2;""mar."",3;""Apr"",4;""May"",5;""jun."",6;""jul."",7;""Aug"",8;""Sep"",9;""Oct"",10;""nov."",11;""Dec"",12},2,FALSE),
      INDEX(S"&amp;"PLIT(O120,"" ""),2)
    ),
    ""dd/mm/yyyy""
  ),
"""")"),"30/01/2025")</f>
        <v>30/01/2025</v>
      </c>
    </row>
    <row r="121">
      <c r="A121" s="1649" t="s">
        <v>1768</v>
      </c>
      <c r="B121" s="1649" t="s">
        <v>1769</v>
      </c>
      <c r="C121" s="1650" t="s">
        <v>1428</v>
      </c>
      <c r="D121" s="1650" t="s">
        <v>881</v>
      </c>
      <c r="E121" s="1651"/>
      <c r="F121" s="1650" t="s">
        <v>596</v>
      </c>
      <c r="G121" s="1650" t="s">
        <v>882</v>
      </c>
      <c r="H121" s="1651"/>
      <c r="I121" s="1651"/>
      <c r="J121" s="1650" t="s">
        <v>882</v>
      </c>
      <c r="K121" s="1650" t="s">
        <v>883</v>
      </c>
      <c r="L121" s="1650" t="s">
        <v>884</v>
      </c>
      <c r="M121" s="1650" t="s">
        <v>885</v>
      </c>
      <c r="N121" s="1650" t="s">
        <v>1767</v>
      </c>
      <c r="O121" s="1652">
        <v>45733.458333333336</v>
      </c>
      <c r="P121" s="1652" t="str">
        <f>IFERROR(__xludf.DUMMYFUNCTION("IFERROR(
  TEXT(
    DATE(
      INDEX(SPLIT(O121,"" ""),3),
      VLOOKUP(INDEX(SPLIT(O121,"" ""),1),{""jan."",1;""Feb"",2;""mar."",3;""Apr"",4;""May"",5;""jun."",6;""jul."",7;""Aug"",8;""Sep"",9;""Oct"",10;""nov."",11;""Dec"",12},2,FALSE),
      INDEX(S"&amp;"PLIT(O121,"" ""),2)
    ),
    ""dd/mm/yyyy""
  ),
"""")"),"17/03/2025")</f>
        <v>17/03/2025</v>
      </c>
    </row>
    <row r="122">
      <c r="A122" s="1649" t="s">
        <v>1770</v>
      </c>
      <c r="B122" s="1649" t="s">
        <v>1771</v>
      </c>
      <c r="C122" s="1650" t="s">
        <v>1428</v>
      </c>
      <c r="D122" s="1650" t="s">
        <v>881</v>
      </c>
      <c r="E122" s="1651"/>
      <c r="F122" s="1650" t="s">
        <v>490</v>
      </c>
      <c r="G122" s="1650" t="s">
        <v>882</v>
      </c>
      <c r="H122" s="1651"/>
      <c r="I122" s="1651"/>
      <c r="J122" s="1650" t="s">
        <v>882</v>
      </c>
      <c r="K122" s="1650" t="s">
        <v>883</v>
      </c>
      <c r="L122" s="1650" t="s">
        <v>884</v>
      </c>
      <c r="M122" s="1650" t="s">
        <v>885</v>
      </c>
      <c r="N122" s="1650" t="s">
        <v>1772</v>
      </c>
      <c r="O122" s="1650" t="s">
        <v>1773</v>
      </c>
      <c r="P122" s="1652" t="str">
        <f>IFERROR(__xludf.DUMMYFUNCTION("IFERROR(
  TEXT(
    DATE(
      INDEX(SPLIT(O122,"" ""),3),
      VLOOKUP(INDEX(SPLIT(O122,"" ""),1),{""jan."",1;""Feb"",2;""mar."",3;""Apr"",4;""May"",5;""jun."",6;""jul."",7;""Aug"",8;""Sep"",9;""Oct"",10;""nov."",11;""Dec"",12},2,FALSE),
      INDEX(S"&amp;"PLIT(O122,"" ""),2)
    ),
    ""dd/mm/yyyy""
  ),
"""")"),"19/12/2024")</f>
        <v>19/12/2024</v>
      </c>
    </row>
    <row r="123">
      <c r="A123" s="1649" t="s">
        <v>1774</v>
      </c>
      <c r="B123" s="1649" t="s">
        <v>1775</v>
      </c>
      <c r="C123" s="1653"/>
      <c r="D123" s="1653"/>
      <c r="E123" s="1651"/>
      <c r="F123" s="1650" t="s">
        <v>470</v>
      </c>
      <c r="G123" s="1650" t="s">
        <v>882</v>
      </c>
      <c r="H123" s="1651"/>
      <c r="I123" s="1651"/>
      <c r="J123" s="1650" t="s">
        <v>882</v>
      </c>
      <c r="K123" s="1650" t="s">
        <v>883</v>
      </c>
      <c r="L123" s="1650" t="s">
        <v>884</v>
      </c>
      <c r="M123" s="1650" t="s">
        <v>885</v>
      </c>
      <c r="N123" s="1650" t="s">
        <v>1776</v>
      </c>
      <c r="O123" s="1650" t="s">
        <v>1777</v>
      </c>
      <c r="P123" s="1652" t="str">
        <f>IFERROR(__xludf.DUMMYFUNCTION("IFERROR(
  TEXT(
    DATE(
      INDEX(SPLIT(O123,"" ""),3),
      VLOOKUP(INDEX(SPLIT(O123,"" ""),1),{""jan."",1;""Feb"",2;""mar."",3;""Apr"",4;""May"",5;""jun."",6;""jul."",7;""Aug"",8;""Sep"",9;""Oct"",10;""nov."",11;""Dec"",12},2,FALSE),
      INDEX(S"&amp;"PLIT(O123,"" ""),2)
    ),
    ""dd/mm/yyyy""
  ),
"""")"),"19/12/2024")</f>
        <v>19/12/2024</v>
      </c>
    </row>
    <row r="124">
      <c r="A124" s="1649" t="s">
        <v>1778</v>
      </c>
      <c r="B124" s="1649" t="s">
        <v>1779</v>
      </c>
      <c r="C124" s="1650" t="s">
        <v>1428</v>
      </c>
      <c r="D124" s="1650" t="s">
        <v>881</v>
      </c>
      <c r="E124" s="1651"/>
      <c r="F124" s="1650" t="s">
        <v>490</v>
      </c>
      <c r="G124" s="1650" t="s">
        <v>882</v>
      </c>
      <c r="H124" s="1651"/>
      <c r="I124" s="1651"/>
      <c r="J124" s="1650" t="s">
        <v>882</v>
      </c>
      <c r="K124" s="1650" t="s">
        <v>883</v>
      </c>
      <c r="L124" s="1650" t="s">
        <v>884</v>
      </c>
      <c r="M124" s="1650" t="s">
        <v>885</v>
      </c>
      <c r="N124" s="1650" t="s">
        <v>1780</v>
      </c>
      <c r="O124" s="1650" t="s">
        <v>1773</v>
      </c>
      <c r="P124" s="1652" t="str">
        <f>IFERROR(__xludf.DUMMYFUNCTION("IFERROR(
  TEXT(
    DATE(
      INDEX(SPLIT(O124,"" ""),3),
      VLOOKUP(INDEX(SPLIT(O124,"" ""),1),{""jan."",1;""Feb"",2;""mar."",3;""Apr"",4;""May"",5;""jun."",6;""jul."",7;""Aug"",8;""Sep"",9;""Oct"",10;""nov."",11;""Dec"",12},2,FALSE),
      INDEX(S"&amp;"PLIT(O124,"" ""),2)
    ),
    ""dd/mm/yyyy""
  ),
"""")"),"19/12/2024")</f>
        <v>19/12/2024</v>
      </c>
    </row>
    <row r="125">
      <c r="A125" s="1649" t="s">
        <v>1781</v>
      </c>
      <c r="B125" s="1649" t="s">
        <v>1782</v>
      </c>
      <c r="C125" s="1653"/>
      <c r="D125" s="1653"/>
      <c r="E125" s="1651"/>
      <c r="F125" s="1650" t="s">
        <v>470</v>
      </c>
      <c r="G125" s="1650" t="s">
        <v>882</v>
      </c>
      <c r="H125" s="1651"/>
      <c r="I125" s="1651"/>
      <c r="J125" s="1650" t="s">
        <v>882</v>
      </c>
      <c r="K125" s="1650" t="s">
        <v>883</v>
      </c>
      <c r="L125" s="1650" t="s">
        <v>884</v>
      </c>
      <c r="M125" s="1650" t="s">
        <v>885</v>
      </c>
      <c r="N125" s="1650" t="s">
        <v>1783</v>
      </c>
      <c r="O125" s="1650" t="s">
        <v>1773</v>
      </c>
      <c r="P125" s="1652" t="str">
        <f>IFERROR(__xludf.DUMMYFUNCTION("IFERROR(
  TEXT(
    DATE(
      INDEX(SPLIT(O125,"" ""),3),
      VLOOKUP(INDEX(SPLIT(O125,"" ""),1),{""jan."",1;""Feb"",2;""mar."",3;""Apr"",4;""May"",5;""jun."",6;""jul."",7;""Aug"",8;""Sep"",9;""Oct"",10;""nov."",11;""Dec"",12},2,FALSE),
      INDEX(S"&amp;"PLIT(O125,"" ""),2)
    ),
    ""dd/mm/yyyy""
  ),
"""")"),"19/12/2024")</f>
        <v>19/12/2024</v>
      </c>
    </row>
    <row r="126">
      <c r="A126" s="1649" t="s">
        <v>1784</v>
      </c>
      <c r="B126" s="1649" t="s">
        <v>1785</v>
      </c>
      <c r="C126" s="1650" t="s">
        <v>1428</v>
      </c>
      <c r="D126" s="1650" t="s">
        <v>881</v>
      </c>
      <c r="E126" s="1651"/>
      <c r="F126" s="1650" t="s">
        <v>490</v>
      </c>
      <c r="G126" s="1650" t="s">
        <v>882</v>
      </c>
      <c r="H126" s="1651"/>
      <c r="I126" s="1651"/>
      <c r="J126" s="1650" t="s">
        <v>882</v>
      </c>
      <c r="K126" s="1650" t="s">
        <v>883</v>
      </c>
      <c r="L126" s="1650" t="s">
        <v>884</v>
      </c>
      <c r="M126" s="1650" t="s">
        <v>885</v>
      </c>
      <c r="N126" s="1650" t="s">
        <v>1150</v>
      </c>
      <c r="O126" s="1650" t="s">
        <v>1773</v>
      </c>
      <c r="P126" s="1652" t="str">
        <f>IFERROR(__xludf.DUMMYFUNCTION("IFERROR(
  TEXT(
    DATE(
      INDEX(SPLIT(O126,"" ""),3),
      VLOOKUP(INDEX(SPLIT(O126,"" ""),1),{""jan."",1;""Feb"",2;""mar."",3;""Apr"",4;""May"",5;""jun."",6;""jul."",7;""Aug"",8;""Sep"",9;""Oct"",10;""nov."",11;""Dec"",12},2,FALSE),
      INDEX(S"&amp;"PLIT(O126,"" ""),2)
    ),
    ""dd/mm/yyyy""
  ),
"""")"),"19/12/2024")</f>
        <v>19/12/2024</v>
      </c>
    </row>
    <row r="127">
      <c r="A127" s="1649" t="s">
        <v>1786</v>
      </c>
      <c r="B127" s="1649" t="s">
        <v>1787</v>
      </c>
      <c r="C127" s="1653"/>
      <c r="D127" s="1653"/>
      <c r="E127" s="1651"/>
      <c r="F127" s="1650" t="s">
        <v>596</v>
      </c>
      <c r="G127" s="1650" t="s">
        <v>882</v>
      </c>
      <c r="H127" s="1651"/>
      <c r="I127" s="1651"/>
      <c r="J127" s="1650" t="s">
        <v>882</v>
      </c>
      <c r="K127" s="1650" t="s">
        <v>883</v>
      </c>
      <c r="L127" s="1650" t="s">
        <v>884</v>
      </c>
      <c r="M127" s="1650" t="s">
        <v>885</v>
      </c>
      <c r="N127" s="1650" t="s">
        <v>1788</v>
      </c>
      <c r="O127" s="1650" t="s">
        <v>1789</v>
      </c>
      <c r="P127" s="1652" t="str">
        <f>IFERROR(__xludf.DUMMYFUNCTION("IFERROR(
  TEXT(
    DATE(
      INDEX(SPLIT(O127,"" ""),3),
      VLOOKUP(INDEX(SPLIT(O127,"" ""),1),{""jan."",1;""Feb"",2;""mar."",3;""Apr"",4;""May"",5;""jun."",6;""jul."",7;""Aug"",8;""Sep"",9;""Oct"",10;""nov."",11;""Dec"",12},2,FALSE),
      INDEX(S"&amp;"PLIT(O127,"" ""),2)
    ),
    ""dd/mm/yyyy""
  ),
"""")"),"13/05/2026")</f>
        <v>13/05/2026</v>
      </c>
    </row>
    <row r="128">
      <c r="A128" s="1649" t="s">
        <v>1790</v>
      </c>
      <c r="B128" s="1649" t="s">
        <v>1791</v>
      </c>
      <c r="C128" s="1650" t="s">
        <v>880</v>
      </c>
      <c r="D128" s="1650" t="s">
        <v>881</v>
      </c>
      <c r="E128" s="1651"/>
      <c r="F128" s="1650" t="s">
        <v>596</v>
      </c>
      <c r="G128" s="1650" t="s">
        <v>882</v>
      </c>
      <c r="H128" s="1651"/>
      <c r="I128" s="1651"/>
      <c r="J128" s="1650" t="s">
        <v>882</v>
      </c>
      <c r="K128" s="1650" t="s">
        <v>883</v>
      </c>
      <c r="L128" s="1650" t="s">
        <v>884</v>
      </c>
      <c r="M128" s="1650" t="s">
        <v>885</v>
      </c>
      <c r="N128" s="1650" t="s">
        <v>1792</v>
      </c>
      <c r="O128" s="1650" t="s">
        <v>1789</v>
      </c>
      <c r="P128" s="1652" t="str">
        <f>IFERROR(__xludf.DUMMYFUNCTION("IFERROR(
  TEXT(
    DATE(
      INDEX(SPLIT(O128,"" ""),3),
      VLOOKUP(INDEX(SPLIT(O128,"" ""),1),{""jan."",1;""Feb"",2;""mar."",3;""Apr"",4;""May"",5;""jun."",6;""jul."",7;""Aug"",8;""Sep"",9;""Oct"",10;""nov."",11;""Dec"",12},2,FALSE),
      INDEX(S"&amp;"PLIT(O128,"" ""),2)
    ),
    ""dd/mm/yyyy""
  ),
"""")"),"13/05/2026")</f>
        <v>13/05/2026</v>
      </c>
    </row>
    <row r="129">
      <c r="A129" s="1649" t="s">
        <v>1793</v>
      </c>
      <c r="B129" s="1649" t="s">
        <v>1794</v>
      </c>
      <c r="C129" s="1653"/>
      <c r="D129" s="1653"/>
      <c r="E129" s="1651"/>
      <c r="F129" s="1650" t="s">
        <v>480</v>
      </c>
      <c r="G129" s="1650" t="s">
        <v>882</v>
      </c>
      <c r="H129" s="1651"/>
      <c r="I129" s="1651"/>
      <c r="J129" s="1650" t="s">
        <v>882</v>
      </c>
      <c r="K129" s="1650" t="s">
        <v>883</v>
      </c>
      <c r="L129" s="1650" t="s">
        <v>884</v>
      </c>
      <c r="M129" s="1650" t="s">
        <v>885</v>
      </c>
      <c r="N129" s="1650" t="s">
        <v>1795</v>
      </c>
      <c r="O129" s="1652">
        <v>45667.666666666664</v>
      </c>
      <c r="P129" s="1652" t="str">
        <f>IFERROR(__xludf.DUMMYFUNCTION("IFERROR(
  TEXT(
    DATE(
      INDEX(SPLIT(O129,"" ""),3),
      VLOOKUP(INDEX(SPLIT(O129,"" ""),1),{""jan."",1;""Feb"",2;""mar."",3;""Apr"",4;""May"",5;""jun."",6;""jul."",7;""Aug"",8;""Sep"",9;""Oct"",10;""nov."",11;""Dec"",12},2,FALSE),
      INDEX(S"&amp;"PLIT(O129,"" ""),2)
    ),
    ""dd/mm/yyyy""
  ),
"""")"),"10/01/2025")</f>
        <v>10/01/2025</v>
      </c>
    </row>
    <row r="130">
      <c r="A130" s="1649" t="s">
        <v>1796</v>
      </c>
      <c r="B130" s="1649" t="s">
        <v>1797</v>
      </c>
      <c r="C130" s="1650" t="s">
        <v>1428</v>
      </c>
      <c r="D130" s="1650" t="s">
        <v>881</v>
      </c>
      <c r="E130" s="1651"/>
      <c r="F130" s="1650" t="s">
        <v>479</v>
      </c>
      <c r="G130" s="1650" t="s">
        <v>882</v>
      </c>
      <c r="H130" s="1651"/>
      <c r="I130" s="1651"/>
      <c r="J130" s="1650" t="s">
        <v>882</v>
      </c>
      <c r="K130" s="1650" t="s">
        <v>883</v>
      </c>
      <c r="L130" s="1650" t="s">
        <v>884</v>
      </c>
      <c r="M130" s="1650" t="s">
        <v>885</v>
      </c>
      <c r="N130" s="1650" t="s">
        <v>1798</v>
      </c>
      <c r="O130" s="1652">
        <v>45667.666666666664</v>
      </c>
      <c r="P130" s="1652" t="str">
        <f>IFERROR(__xludf.DUMMYFUNCTION("IFERROR(
  TEXT(
    DATE(
      INDEX(SPLIT(O130,"" ""),3),
      VLOOKUP(INDEX(SPLIT(O130,"" ""),1),{""jan."",1;""Feb"",2;""mar."",3;""Apr"",4;""May"",5;""jun."",6;""jul."",7;""Aug"",8;""Sep"",9;""Oct"",10;""nov."",11;""Dec"",12},2,FALSE),
      INDEX(S"&amp;"PLIT(O130,"" ""),2)
    ),
    ""dd/mm/yyyy""
  ),
"""")"),"10/01/2025")</f>
        <v>10/01/2025</v>
      </c>
    </row>
    <row r="131">
      <c r="A131" s="1649" t="s">
        <v>1799</v>
      </c>
      <c r="B131" s="1649" t="s">
        <v>1800</v>
      </c>
      <c r="C131" s="1653"/>
      <c r="D131" s="1653"/>
      <c r="E131" s="1651"/>
      <c r="F131" s="1650" t="s">
        <v>480</v>
      </c>
      <c r="G131" s="1650" t="s">
        <v>882</v>
      </c>
      <c r="H131" s="1651"/>
      <c r="I131" s="1651"/>
      <c r="J131" s="1650" t="s">
        <v>882</v>
      </c>
      <c r="K131" s="1650" t="s">
        <v>883</v>
      </c>
      <c r="L131" s="1650" t="s">
        <v>884</v>
      </c>
      <c r="M131" s="1650" t="s">
        <v>885</v>
      </c>
      <c r="N131" s="1650" t="s">
        <v>1801</v>
      </c>
      <c r="O131" s="1652">
        <v>45667.666666666664</v>
      </c>
      <c r="P131" s="1652" t="str">
        <f>IFERROR(__xludf.DUMMYFUNCTION("IFERROR(
  TEXT(
    DATE(
      INDEX(SPLIT(O131,"" ""),3),
      VLOOKUP(INDEX(SPLIT(O131,"" ""),1),{""jan."",1;""Feb"",2;""mar."",3;""Apr"",4;""May"",5;""jun."",6;""jul."",7;""Aug"",8;""Sep"",9;""Oct"",10;""nov."",11;""Dec"",12},2,FALSE),
      INDEX(S"&amp;"PLIT(O131,"" ""),2)
    ),
    ""dd/mm/yyyy""
  ),
"""")"),"10/01/2025")</f>
        <v>10/01/2025</v>
      </c>
    </row>
    <row r="132">
      <c r="A132" s="1649" t="s">
        <v>1802</v>
      </c>
      <c r="B132" s="1649" t="s">
        <v>1803</v>
      </c>
      <c r="C132" s="1650" t="s">
        <v>1428</v>
      </c>
      <c r="D132" s="1650" t="s">
        <v>881</v>
      </c>
      <c r="E132" s="1651"/>
      <c r="F132" s="1650" t="s">
        <v>480</v>
      </c>
      <c r="G132" s="1650" t="s">
        <v>882</v>
      </c>
      <c r="H132" s="1651"/>
      <c r="I132" s="1651"/>
      <c r="J132" s="1650" t="s">
        <v>882</v>
      </c>
      <c r="K132" s="1650" t="s">
        <v>883</v>
      </c>
      <c r="L132" s="1650" t="s">
        <v>884</v>
      </c>
      <c r="M132" s="1650" t="s">
        <v>885</v>
      </c>
      <c r="N132" s="1650" t="s">
        <v>1804</v>
      </c>
      <c r="O132" s="1652">
        <v>45667.666666666664</v>
      </c>
      <c r="P132" s="1652" t="str">
        <f>IFERROR(__xludf.DUMMYFUNCTION("IFERROR(
  TEXT(
    DATE(
      INDEX(SPLIT(O132,"" ""),3),
      VLOOKUP(INDEX(SPLIT(O132,"" ""),1),{""jan."",1;""Feb"",2;""mar."",3;""Apr"",4;""May"",5;""jun."",6;""jul."",7;""Aug"",8;""Sep"",9;""Oct"",10;""nov."",11;""Dec"",12},2,FALSE),
      INDEX(S"&amp;"PLIT(O132,"" ""),2)
    ),
    ""dd/mm/yyyy""
  ),
"""")"),"10/01/2025")</f>
        <v>10/01/2025</v>
      </c>
    </row>
    <row r="133">
      <c r="A133" s="1649" t="s">
        <v>1805</v>
      </c>
      <c r="B133" s="1649" t="s">
        <v>1806</v>
      </c>
      <c r="C133" s="1653"/>
      <c r="D133" s="1653"/>
      <c r="E133" s="1651"/>
      <c r="F133" s="1650" t="s">
        <v>470</v>
      </c>
      <c r="G133" s="1650" t="s">
        <v>882</v>
      </c>
      <c r="H133" s="1651"/>
      <c r="I133" s="1651"/>
      <c r="J133" s="1650" t="s">
        <v>882</v>
      </c>
      <c r="K133" s="1650" t="s">
        <v>883</v>
      </c>
      <c r="L133" s="1650" t="s">
        <v>884</v>
      </c>
      <c r="M133" s="1650" t="s">
        <v>885</v>
      </c>
      <c r="N133" s="1650" t="s">
        <v>1807</v>
      </c>
      <c r="O133" s="1650" t="s">
        <v>1773</v>
      </c>
      <c r="P133" s="1652" t="str">
        <f>IFERROR(__xludf.DUMMYFUNCTION("IFERROR(
  TEXT(
    DATE(
      INDEX(SPLIT(O133,"" ""),3),
      VLOOKUP(INDEX(SPLIT(O133,"" ""),1),{""jan."",1;""Feb"",2;""mar."",3;""Apr"",4;""May"",5;""jun."",6;""jul."",7;""Aug"",8;""Sep"",9;""Oct"",10;""nov."",11;""Dec"",12},2,FALSE),
      INDEX(S"&amp;"PLIT(O133,"" ""),2)
    ),
    ""dd/mm/yyyy""
  ),
"""")"),"19/12/2024")</f>
        <v>19/12/2024</v>
      </c>
    </row>
    <row r="134">
      <c r="A134" s="1649" t="s">
        <v>1808</v>
      </c>
      <c r="B134" s="1649" t="s">
        <v>1809</v>
      </c>
      <c r="C134" s="1650" t="s">
        <v>1428</v>
      </c>
      <c r="D134" s="1650" t="s">
        <v>881</v>
      </c>
      <c r="E134" s="1651"/>
      <c r="F134" s="1650" t="s">
        <v>490</v>
      </c>
      <c r="G134" s="1650" t="s">
        <v>882</v>
      </c>
      <c r="H134" s="1651"/>
      <c r="I134" s="1651"/>
      <c r="J134" s="1650" t="s">
        <v>882</v>
      </c>
      <c r="K134" s="1650" t="s">
        <v>883</v>
      </c>
      <c r="L134" s="1650" t="s">
        <v>884</v>
      </c>
      <c r="M134" s="1650" t="s">
        <v>885</v>
      </c>
      <c r="N134" s="1650" t="s">
        <v>1810</v>
      </c>
      <c r="O134" s="1650" t="s">
        <v>1773</v>
      </c>
      <c r="P134" s="1652" t="str">
        <f>IFERROR(__xludf.DUMMYFUNCTION("IFERROR(
  TEXT(
    DATE(
      INDEX(SPLIT(O134,"" ""),3),
      VLOOKUP(INDEX(SPLIT(O134,"" ""),1),{""jan."",1;""Feb"",2;""mar."",3;""Apr"",4;""May"",5;""jun."",6;""jul."",7;""Aug"",8;""Sep"",9;""Oct"",10;""nov."",11;""Dec"",12},2,FALSE),
      INDEX(S"&amp;"PLIT(O134,"" ""),2)
    ),
    ""dd/mm/yyyy""
  ),
"""")"),"19/12/2024")</f>
        <v>19/12/2024</v>
      </c>
    </row>
    <row r="135">
      <c r="A135" s="1649" t="s">
        <v>1811</v>
      </c>
      <c r="B135" s="1649" t="s">
        <v>1812</v>
      </c>
      <c r="C135" s="1650" t="s">
        <v>1428</v>
      </c>
      <c r="D135" s="1650" t="s">
        <v>881</v>
      </c>
      <c r="E135" s="1651"/>
      <c r="F135" s="1650" t="s">
        <v>481</v>
      </c>
      <c r="G135" s="1650" t="s">
        <v>882</v>
      </c>
      <c r="H135" s="1651"/>
      <c r="I135" s="1651"/>
      <c r="J135" s="1650" t="s">
        <v>882</v>
      </c>
      <c r="K135" s="1650" t="s">
        <v>883</v>
      </c>
      <c r="L135" s="1650" t="s">
        <v>884</v>
      </c>
      <c r="M135" s="1650" t="s">
        <v>885</v>
      </c>
      <c r="N135" s="1650" t="s">
        <v>1813</v>
      </c>
      <c r="O135" s="1650" t="s">
        <v>1631</v>
      </c>
      <c r="P135" s="1652" t="str">
        <f>IFERROR(__xludf.DUMMYFUNCTION("IFERROR(
  TEXT(
    DATE(
      INDEX(SPLIT(O135,"" ""),3),
      VLOOKUP(INDEX(SPLIT(O135,"" ""),1),{""jan."",1;""Feb"",2;""mar."",3;""Apr"",4;""May"",5;""jun."",6;""jul."",7;""Aug"",8;""Sep"",9;""Oct"",10;""nov."",11;""Dec"",12},2,FALSE),
      INDEX(S"&amp;"PLIT(O135,"" ""),2)
    ),
    ""dd/mm/yyyy""
  ),
"""")"),"05/05/2026")</f>
        <v>05/05/2026</v>
      </c>
    </row>
    <row r="136">
      <c r="A136" s="1649" t="s">
        <v>1814</v>
      </c>
      <c r="B136" s="1649" t="s">
        <v>1815</v>
      </c>
      <c r="C136" s="1650" t="s">
        <v>1428</v>
      </c>
      <c r="D136" s="1650" t="s">
        <v>881</v>
      </c>
      <c r="E136" s="1651"/>
      <c r="F136" s="1650" t="s">
        <v>719</v>
      </c>
      <c r="G136" s="1650" t="s">
        <v>882</v>
      </c>
      <c r="H136" s="1651"/>
      <c r="I136" s="1651"/>
      <c r="J136" s="1650" t="s">
        <v>882</v>
      </c>
      <c r="K136" s="1650" t="s">
        <v>883</v>
      </c>
      <c r="L136" s="1650" t="s">
        <v>884</v>
      </c>
      <c r="M136" s="1650" t="s">
        <v>885</v>
      </c>
      <c r="N136" s="1650" t="s">
        <v>1816</v>
      </c>
      <c r="O136" s="1650" t="s">
        <v>1635</v>
      </c>
      <c r="P136" s="1652" t="str">
        <f>IFERROR(__xludf.DUMMYFUNCTION("IFERROR(
  TEXT(
    DATE(
      INDEX(SPLIT(O136,"" ""),3),
      VLOOKUP(INDEX(SPLIT(O136,"" ""),1),{""jan."",1;""Feb"",2;""mar."",3;""Apr"",4;""May"",5;""jun."",6;""jul."",7;""Aug"",8;""Sep"",9;""Oct"",10;""nov."",11;""Dec"",12},2,FALSE),
      INDEX(S"&amp;"PLIT(O136,"" ""),2)
    ),
    ""dd/mm/yyyy""
  ),
"""")"),"03/02/2026")</f>
        <v>03/02/2026</v>
      </c>
    </row>
    <row r="137">
      <c r="A137" s="1649" t="s">
        <v>1817</v>
      </c>
      <c r="B137" s="1649" t="s">
        <v>1818</v>
      </c>
      <c r="C137" s="1650" t="s">
        <v>1428</v>
      </c>
      <c r="D137" s="1650" t="s">
        <v>881</v>
      </c>
      <c r="E137" s="1651"/>
      <c r="F137" s="1650" t="s">
        <v>714</v>
      </c>
      <c r="G137" s="1650" t="s">
        <v>882</v>
      </c>
      <c r="H137" s="1651"/>
      <c r="I137" s="1651"/>
      <c r="J137" s="1650" t="s">
        <v>882</v>
      </c>
      <c r="K137" s="1650" t="s">
        <v>883</v>
      </c>
      <c r="L137" s="1650" t="s">
        <v>884</v>
      </c>
      <c r="M137" s="1650" t="s">
        <v>885</v>
      </c>
      <c r="N137" s="1650" t="s">
        <v>1819</v>
      </c>
      <c r="O137" s="1652">
        <v>46085.62222222222</v>
      </c>
      <c r="P137" s="1652" t="str">
        <f>IFERROR(__xludf.DUMMYFUNCTION("IFERROR(
  TEXT(
    DATE(
      INDEX(SPLIT(O137,"" ""),3),
      VLOOKUP(INDEX(SPLIT(O137,"" ""),1),{""jan."",1;""Feb"",2;""mar."",3;""Apr"",4;""May"",5;""jun."",6;""jul."",7;""Aug"",8;""Sep"",9;""Oct"",10;""nov."",11;""Dec"",12},2,FALSE),
      INDEX(S"&amp;"PLIT(O137,"" ""),2)
    ),
    ""dd/mm/yyyy""
  ),
"""")"),"04/03/2026")</f>
        <v>04/03/2026</v>
      </c>
    </row>
    <row r="138">
      <c r="A138" s="1649" t="s">
        <v>1820</v>
      </c>
      <c r="B138" s="1649" t="s">
        <v>1821</v>
      </c>
      <c r="C138" s="1650" t="s">
        <v>1428</v>
      </c>
      <c r="D138" s="1650" t="s">
        <v>881</v>
      </c>
      <c r="E138" s="1651"/>
      <c r="F138" s="1650" t="s">
        <v>857</v>
      </c>
      <c r="G138" s="1650" t="s">
        <v>882</v>
      </c>
      <c r="H138" s="1651"/>
      <c r="I138" s="1651"/>
      <c r="J138" s="1650" t="s">
        <v>882</v>
      </c>
      <c r="K138" s="1650" t="s">
        <v>883</v>
      </c>
      <c r="L138" s="1650" t="s">
        <v>884</v>
      </c>
      <c r="M138" s="1650" t="s">
        <v>885</v>
      </c>
      <c r="N138" s="1650" t="s">
        <v>1822</v>
      </c>
      <c r="O138" s="1650" t="s">
        <v>1823</v>
      </c>
      <c r="P138" s="1652" t="str">
        <f>IFERROR(__xludf.DUMMYFUNCTION("IFERROR(
  TEXT(
    DATE(
      INDEX(SPLIT(O138,"" ""),3),
      VLOOKUP(INDEX(SPLIT(O138,"" ""),1),{""jan."",1;""Feb"",2;""mar."",3;""Apr"",4;""May"",5;""jun."",6;""jul."",7;""Aug"",8;""Sep"",9;""Oct"",10;""nov."",11;""Dec"",12},2,FALSE),
      INDEX(S"&amp;"PLIT(O138,"" ""),2)
    ),
    ""dd/mm/yyyy""
  ),
"""")"),"24/04/2026")</f>
        <v>24/04/2026</v>
      </c>
    </row>
    <row r="139">
      <c r="A139" s="1649" t="s">
        <v>1824</v>
      </c>
      <c r="B139" s="1649" t="s">
        <v>1825</v>
      </c>
      <c r="C139" s="1650" t="s">
        <v>1428</v>
      </c>
      <c r="D139" s="1650" t="s">
        <v>881</v>
      </c>
      <c r="E139" s="1651"/>
      <c r="F139" s="1650" t="s">
        <v>715</v>
      </c>
      <c r="G139" s="1650" t="s">
        <v>882</v>
      </c>
      <c r="H139" s="1651"/>
      <c r="I139" s="1651"/>
      <c r="J139" s="1650" t="s">
        <v>882</v>
      </c>
      <c r="K139" s="1650" t="s">
        <v>883</v>
      </c>
      <c r="L139" s="1650" t="s">
        <v>884</v>
      </c>
      <c r="M139" s="1650" t="s">
        <v>885</v>
      </c>
      <c r="N139" s="1650" t="s">
        <v>1826</v>
      </c>
      <c r="O139" s="1650" t="s">
        <v>1827</v>
      </c>
      <c r="P139" s="1652" t="str">
        <f>IFERROR(__xludf.DUMMYFUNCTION("IFERROR(
  TEXT(
    DATE(
      INDEX(SPLIT(O139,"" ""),3),
      VLOOKUP(INDEX(SPLIT(O139,"" ""),1),{""jan."",1;""Feb"",2;""mar."",3;""Apr"",4;""May"",5;""jun."",6;""jul."",7;""Aug"",8;""Sep"",9;""Oct"",10;""nov."",11;""Dec"",12},2,FALSE),
      INDEX(S"&amp;"PLIT(O139,"" ""),2)
    ),
    ""dd/mm/yyyy""
  ),
"""")"),"15/04/2026")</f>
        <v>15/04/2026</v>
      </c>
    </row>
    <row r="140">
      <c r="A140" s="1649" t="s">
        <v>1828</v>
      </c>
      <c r="B140" s="1649" t="s">
        <v>1829</v>
      </c>
      <c r="C140" s="1650" t="s">
        <v>1428</v>
      </c>
      <c r="D140" s="1650" t="s">
        <v>881</v>
      </c>
      <c r="E140" s="1651"/>
      <c r="F140" s="1650" t="s">
        <v>502</v>
      </c>
      <c r="G140" s="1650" t="s">
        <v>882</v>
      </c>
      <c r="H140" s="1651"/>
      <c r="I140" s="1651"/>
      <c r="J140" s="1650" t="s">
        <v>882</v>
      </c>
      <c r="K140" s="1650" t="s">
        <v>883</v>
      </c>
      <c r="L140" s="1650" t="s">
        <v>884</v>
      </c>
      <c r="M140" s="1650" t="s">
        <v>885</v>
      </c>
      <c r="N140" s="1650" t="s">
        <v>1830</v>
      </c>
      <c r="O140" s="1650" t="s">
        <v>1831</v>
      </c>
      <c r="P140" s="1652" t="str">
        <f>IFERROR(__xludf.DUMMYFUNCTION("IFERROR(
  TEXT(
    DATE(
      INDEX(SPLIT(O140,"" ""),3),
      VLOOKUP(INDEX(SPLIT(O140,"" ""),1),{""jan."",1;""Feb"",2;""mar."",3;""Apr"",4;""May"",5;""jun."",6;""jul."",7;""Aug"",8;""Sep"",9;""Oct"",10;""nov."",11;""Dec"",12},2,FALSE),
      INDEX(S"&amp;"PLIT(O140,"" ""),2)
    ),
    ""dd/mm/yyyy""
  ),
"""")"),"16/04/2026")</f>
        <v>16/04/2026</v>
      </c>
    </row>
    <row r="141">
      <c r="A141" s="1649" t="s">
        <v>1832</v>
      </c>
      <c r="B141" s="1649" t="s">
        <v>1833</v>
      </c>
      <c r="C141" s="1653"/>
      <c r="D141" s="1650" t="s">
        <v>881</v>
      </c>
      <c r="E141" s="1651"/>
      <c r="F141" s="1650" t="s">
        <v>1834</v>
      </c>
      <c r="G141" s="1650" t="s">
        <v>882</v>
      </c>
      <c r="H141" s="1651"/>
      <c r="I141" s="1651"/>
      <c r="J141" s="1650" t="s">
        <v>882</v>
      </c>
      <c r="K141" s="1650" t="s">
        <v>883</v>
      </c>
      <c r="L141" s="1650" t="s">
        <v>884</v>
      </c>
      <c r="M141" s="1650" t="s">
        <v>885</v>
      </c>
      <c r="N141" s="1650" t="s">
        <v>1835</v>
      </c>
      <c r="O141" s="1650" t="s">
        <v>1836</v>
      </c>
      <c r="P141" s="1652" t="str">
        <f>IFERROR(__xludf.DUMMYFUNCTION("IFERROR(
  TEXT(
    DATE(
      INDEX(SPLIT(O141,"" ""),3),
      VLOOKUP(INDEX(SPLIT(O141,"" ""),1),{""jan."",1;""Feb"",2;""mar."",3;""Apr"",4;""May"",5;""jun."",6;""jul."",7;""Aug"",8;""Sep"",9;""Oct"",10;""nov."",11;""Dec"",12},2,FALSE),
      INDEX(S"&amp;"PLIT(O141,"" ""),2)
    ),
    ""dd/mm/yyyy""
  ),
"""")"),"30/04/2026")</f>
        <v>30/04/2026</v>
      </c>
    </row>
    <row r="142">
      <c r="A142" s="1649" t="s">
        <v>1837</v>
      </c>
      <c r="B142" s="1649" t="s">
        <v>1838</v>
      </c>
      <c r="C142" s="1650" t="s">
        <v>1428</v>
      </c>
      <c r="D142" s="1650" t="s">
        <v>881</v>
      </c>
      <c r="E142" s="1651"/>
      <c r="F142" s="1650" t="s">
        <v>714</v>
      </c>
      <c r="G142" s="1650" t="s">
        <v>882</v>
      </c>
      <c r="H142" s="1651"/>
      <c r="I142" s="1651"/>
      <c r="J142" s="1650" t="s">
        <v>882</v>
      </c>
      <c r="K142" s="1650" t="s">
        <v>883</v>
      </c>
      <c r="L142" s="1650" t="s">
        <v>884</v>
      </c>
      <c r="M142" s="1650" t="s">
        <v>1839</v>
      </c>
      <c r="N142" s="1650" t="s">
        <v>1840</v>
      </c>
      <c r="O142" s="1652">
        <v>46086.25555555556</v>
      </c>
      <c r="P142" s="1652" t="str">
        <f>IFERROR(__xludf.DUMMYFUNCTION("IFERROR(
  TEXT(
    DATE(
      INDEX(SPLIT(O142,"" ""),3),
      VLOOKUP(INDEX(SPLIT(O142,"" ""),1),{""jan."",1;""Feb"",2;""mar."",3;""Apr"",4;""May"",5;""jun."",6;""jul."",7;""Aug"",8;""Sep"",9;""Oct"",10;""nov."",11;""Dec"",12},2,FALSE),
      INDEX(S"&amp;"PLIT(O142,"" ""),2)
    ),
    ""dd/mm/yyyy""
  ),
"""")"),"05/03/2026")</f>
        <v>05/03/2026</v>
      </c>
    </row>
    <row r="143">
      <c r="A143" s="1649" t="s">
        <v>1841</v>
      </c>
      <c r="B143" s="1649" t="s">
        <v>1842</v>
      </c>
      <c r="C143" s="1650" t="s">
        <v>1428</v>
      </c>
      <c r="D143" s="1650" t="s">
        <v>881</v>
      </c>
      <c r="E143" s="1651"/>
      <c r="F143" s="1650" t="s">
        <v>492</v>
      </c>
      <c r="G143" s="1650" t="s">
        <v>882</v>
      </c>
      <c r="H143" s="1651"/>
      <c r="I143" s="1651"/>
      <c r="J143" s="1650" t="s">
        <v>882</v>
      </c>
      <c r="K143" s="1650" t="s">
        <v>883</v>
      </c>
      <c r="L143" s="1650" t="s">
        <v>884</v>
      </c>
      <c r="M143" s="1650" t="s">
        <v>885</v>
      </c>
      <c r="N143" s="1650" t="s">
        <v>1843</v>
      </c>
      <c r="O143" s="1650" t="s">
        <v>1844</v>
      </c>
      <c r="P143" s="1652" t="str">
        <f>IFERROR(__xludf.DUMMYFUNCTION("IFERROR(
  TEXT(
    DATE(
      INDEX(SPLIT(O143,"" ""),3),
      VLOOKUP(INDEX(SPLIT(O143,"" ""),1),{""jan."",1;""Feb"",2;""mar."",3;""Apr"",4;""May"",5;""jun."",6;""jul."",7;""Aug"",8;""Sep"",9;""Oct"",10;""nov."",11;""Dec"",12},2,FALSE),
      INDEX(S"&amp;"PLIT(O143,"" ""),2)
    ),
    ""dd/mm/yyyy""
  ),
"""")"),"12/05/2026")</f>
        <v>12/05/2026</v>
      </c>
    </row>
    <row r="144">
      <c r="A144" s="1649" t="s">
        <v>1845</v>
      </c>
      <c r="B144" s="1649" t="s">
        <v>1846</v>
      </c>
      <c r="C144" s="1650" t="s">
        <v>1428</v>
      </c>
      <c r="D144" s="1650" t="s">
        <v>881</v>
      </c>
      <c r="E144" s="1651"/>
      <c r="F144" s="1650" t="s">
        <v>486</v>
      </c>
      <c r="G144" s="1650" t="s">
        <v>882</v>
      </c>
      <c r="H144" s="1651"/>
      <c r="I144" s="1651"/>
      <c r="J144" s="1650" t="s">
        <v>882</v>
      </c>
      <c r="K144" s="1650" t="s">
        <v>883</v>
      </c>
      <c r="L144" s="1650" t="s">
        <v>884</v>
      </c>
      <c r="M144" s="1650" t="s">
        <v>885</v>
      </c>
      <c r="N144" s="1650" t="s">
        <v>1847</v>
      </c>
      <c r="O144" s="1650" t="s">
        <v>1661</v>
      </c>
      <c r="P144" s="1652" t="str">
        <f>IFERROR(__xludf.DUMMYFUNCTION("IFERROR(
  TEXT(
    DATE(
      INDEX(SPLIT(O144,"" ""),3),
      VLOOKUP(INDEX(SPLIT(O144,"" ""),1),{""jan."",1;""Feb"",2;""mar."",3;""Apr"",4;""May"",5;""jun."",6;""jul."",7;""Aug"",8;""Sep"",9;""Oct"",10;""nov."",11;""Dec"",12},2,FALSE),
      INDEX(S"&amp;"PLIT(O144,"" ""),2)
    ),
    ""dd/mm/yyyy""
  ),
"""")"),"08/12/2025")</f>
        <v>08/12/2025</v>
      </c>
    </row>
    <row r="145">
      <c r="A145" s="1649" t="s">
        <v>1848</v>
      </c>
      <c r="B145" s="1649" t="s">
        <v>1849</v>
      </c>
      <c r="C145" s="1650" t="s">
        <v>1428</v>
      </c>
      <c r="D145" s="1650" t="s">
        <v>881</v>
      </c>
      <c r="E145" s="1651"/>
      <c r="F145" s="1650" t="s">
        <v>715</v>
      </c>
      <c r="G145" s="1650" t="s">
        <v>882</v>
      </c>
      <c r="H145" s="1651"/>
      <c r="I145" s="1651"/>
      <c r="J145" s="1650" t="s">
        <v>882</v>
      </c>
      <c r="K145" s="1650" t="s">
        <v>883</v>
      </c>
      <c r="L145" s="1650" t="s">
        <v>884</v>
      </c>
      <c r="M145" s="1650" t="s">
        <v>885</v>
      </c>
      <c r="N145" s="1650" t="s">
        <v>1850</v>
      </c>
      <c r="O145" s="1650" t="s">
        <v>1851</v>
      </c>
      <c r="P145" s="1652" t="str">
        <f>IFERROR(__xludf.DUMMYFUNCTION("IFERROR(
  TEXT(
    DATE(
      INDEX(SPLIT(O145,"" ""),3),
      VLOOKUP(INDEX(SPLIT(O145,"" ""),1),{""jan."",1;""Feb"",2;""mar."",3;""Apr"",4;""May"",5;""jun."",6;""jul."",7;""Aug"",8;""Sep"",9;""Oct"",10;""nov."",11;""Dec"",12},2,FALSE),
      INDEX(S"&amp;"PLIT(O145,"" ""),2)
    ),
    ""dd/mm/yyyy""
  ),
"""")"),"27/04/2026")</f>
        <v>27/04/2026</v>
      </c>
    </row>
    <row r="146">
      <c r="A146" s="1649" t="s">
        <v>1852</v>
      </c>
      <c r="B146" s="1649" t="s">
        <v>1853</v>
      </c>
      <c r="C146" s="1650" t="s">
        <v>1428</v>
      </c>
      <c r="D146" s="1650" t="s">
        <v>881</v>
      </c>
      <c r="E146" s="1651"/>
      <c r="F146" s="1650" t="s">
        <v>500</v>
      </c>
      <c r="G146" s="1650" t="s">
        <v>882</v>
      </c>
      <c r="H146" s="1651"/>
      <c r="I146" s="1651"/>
      <c r="J146" s="1650" t="s">
        <v>882</v>
      </c>
      <c r="K146" s="1650" t="s">
        <v>883</v>
      </c>
      <c r="L146" s="1650" t="s">
        <v>884</v>
      </c>
      <c r="M146" s="1650" t="s">
        <v>885</v>
      </c>
      <c r="N146" s="1650" t="s">
        <v>1854</v>
      </c>
      <c r="O146" s="1650" t="s">
        <v>1855</v>
      </c>
      <c r="P146" s="1652" t="str">
        <f>IFERROR(__xludf.DUMMYFUNCTION("IFERROR(
  TEXT(
    DATE(
      INDEX(SPLIT(O146,"" ""),3),
      VLOOKUP(INDEX(SPLIT(O146,"" ""),1),{""jan."",1;""Feb"",2;""mar."",3;""Apr"",4;""May"",5;""jun."",6;""jul."",7;""Aug"",8;""Sep"",9;""Oct"",10;""nov."",11;""Dec"",12},2,FALSE),
      INDEX(S"&amp;"PLIT(O146,"" ""),2)
    ),
    ""dd/mm/yyyy""
  ),
"""")"),"03/02/2026")</f>
        <v>03/02/2026</v>
      </c>
    </row>
    <row r="147">
      <c r="A147" s="1649" t="s">
        <v>1856</v>
      </c>
      <c r="B147" s="1649" t="s">
        <v>1857</v>
      </c>
      <c r="C147" s="1650" t="s">
        <v>880</v>
      </c>
      <c r="D147" s="1650" t="s">
        <v>881</v>
      </c>
      <c r="E147" s="1651"/>
      <c r="F147" s="1650" t="s">
        <v>717</v>
      </c>
      <c r="G147" s="1650" t="s">
        <v>882</v>
      </c>
      <c r="H147" s="1651"/>
      <c r="I147" s="1651"/>
      <c r="J147" s="1650" t="s">
        <v>882</v>
      </c>
      <c r="K147" s="1650" t="s">
        <v>883</v>
      </c>
      <c r="L147" s="1650" t="s">
        <v>884</v>
      </c>
      <c r="M147" s="1650" t="s">
        <v>885</v>
      </c>
      <c r="N147" s="1650" t="s">
        <v>1858</v>
      </c>
      <c r="O147" s="1650" t="s">
        <v>1859</v>
      </c>
      <c r="P147" s="1652" t="str">
        <f>IFERROR(__xludf.DUMMYFUNCTION("IFERROR(
  TEXT(
    DATE(
      INDEX(SPLIT(O147,"" ""),3),
      VLOOKUP(INDEX(SPLIT(O147,"" ""),1),{""jan."",1;""Feb"",2;""mar."",3;""Apr"",4;""May"",5;""jun."",6;""jul."",7;""Aug"",8;""Sep"",9;""Oct"",10;""nov."",11;""Dec"",12},2,FALSE),
      INDEX(S"&amp;"PLIT(O147,"" ""),2)
    ),
    ""dd/mm/yyyy""
  ),
"""")"),"15/05/2026")</f>
        <v>15/05/2026</v>
      </c>
    </row>
    <row r="148">
      <c r="A148" s="1649" t="s">
        <v>1860</v>
      </c>
      <c r="B148" s="1649" t="s">
        <v>1861</v>
      </c>
      <c r="C148" s="1650" t="s">
        <v>1428</v>
      </c>
      <c r="D148" s="1650" t="s">
        <v>881</v>
      </c>
      <c r="E148" s="1651"/>
      <c r="F148" s="1650" t="s">
        <v>500</v>
      </c>
      <c r="G148" s="1650" t="s">
        <v>882</v>
      </c>
      <c r="H148" s="1651"/>
      <c r="I148" s="1651"/>
      <c r="J148" s="1650" t="s">
        <v>882</v>
      </c>
      <c r="K148" s="1650" t="s">
        <v>883</v>
      </c>
      <c r="L148" s="1650" t="s">
        <v>884</v>
      </c>
      <c r="M148" s="1650" t="s">
        <v>885</v>
      </c>
      <c r="N148" s="1650" t="s">
        <v>1444</v>
      </c>
      <c r="O148" s="1650" t="s">
        <v>1862</v>
      </c>
      <c r="P148" s="1652" t="str">
        <f>IFERROR(__xludf.DUMMYFUNCTION("IFERROR(
  TEXT(
    DATE(
      INDEX(SPLIT(O148,"" ""),3),
      VLOOKUP(INDEX(SPLIT(O148,"" ""),1),{""jan."",1;""Feb"",2;""mar."",3;""Apr"",4;""May"",5;""jun."",6;""jul."",7;""Aug"",8;""Sep"",9;""Oct"",10;""nov."",11;""Dec"",12},2,FALSE),
      INDEX(S"&amp;"PLIT(O148,"" ""),2)
    ),
    ""dd/mm/yyyy""
  ),
"""")"),"08/05/2026")</f>
        <v>08/05/2026</v>
      </c>
    </row>
    <row r="149">
      <c r="A149" s="1649" t="s">
        <v>1863</v>
      </c>
      <c r="B149" s="1649" t="s">
        <v>1864</v>
      </c>
      <c r="C149" s="1650" t="s">
        <v>1428</v>
      </c>
      <c r="D149" s="1650" t="s">
        <v>881</v>
      </c>
      <c r="E149" s="1651"/>
      <c r="F149" s="1650" t="s">
        <v>724</v>
      </c>
      <c r="G149" s="1650" t="s">
        <v>882</v>
      </c>
      <c r="H149" s="1651"/>
      <c r="I149" s="1651"/>
      <c r="J149" s="1650" t="s">
        <v>882</v>
      </c>
      <c r="K149" s="1650" t="s">
        <v>883</v>
      </c>
      <c r="L149" s="1650" t="s">
        <v>884</v>
      </c>
      <c r="M149" s="1650" t="s">
        <v>885</v>
      </c>
      <c r="N149" s="1650" t="s">
        <v>1865</v>
      </c>
      <c r="O149" s="1650" t="s">
        <v>1866</v>
      </c>
      <c r="P149" s="1652" t="str">
        <f>IFERROR(__xludf.DUMMYFUNCTION("IFERROR(
  TEXT(
    DATE(
      INDEX(SPLIT(O149,"" ""),3),
      VLOOKUP(INDEX(SPLIT(O149,"" ""),1),{""jan."",1;""Feb"",2;""mar."",3;""Apr"",4;""May"",5;""jun."",6;""jul."",7;""Aug"",8;""Sep"",9;""Oct"",10;""nov."",11;""Dec"",12},2,FALSE),
      INDEX(S"&amp;"PLIT(O149,"" ""),2)
    ),
    ""dd/mm/yyyy""
  ),
"""")"),"14/05/2026")</f>
        <v>14/05/2026</v>
      </c>
    </row>
    <row r="150">
      <c r="A150" s="1649" t="s">
        <v>1867</v>
      </c>
      <c r="B150" s="1649" t="s">
        <v>1868</v>
      </c>
      <c r="C150" s="1650" t="s">
        <v>1428</v>
      </c>
      <c r="D150" s="1650" t="s">
        <v>881</v>
      </c>
      <c r="E150" s="1651"/>
      <c r="F150" s="1650" t="s">
        <v>597</v>
      </c>
      <c r="G150" s="1650" t="s">
        <v>882</v>
      </c>
      <c r="H150" s="1651"/>
      <c r="I150" s="1651"/>
      <c r="J150" s="1650" t="s">
        <v>882</v>
      </c>
      <c r="K150" s="1650" t="s">
        <v>883</v>
      </c>
      <c r="L150" s="1650" t="s">
        <v>884</v>
      </c>
      <c r="M150" s="1650" t="s">
        <v>885</v>
      </c>
      <c r="N150" s="1650" t="s">
        <v>1869</v>
      </c>
      <c r="O150" s="1650" t="s">
        <v>1870</v>
      </c>
      <c r="P150" s="1652" t="str">
        <f>IFERROR(__xludf.DUMMYFUNCTION("IFERROR(
  TEXT(
    DATE(
      INDEX(SPLIT(O150,"" ""),3),
      VLOOKUP(INDEX(SPLIT(O150,"" ""),1),{""jan."",1;""Feb"",2;""mar."",3;""Apr"",4;""May"",5;""jun."",6;""jul."",7;""Aug"",8;""Sep"",9;""Oct"",10;""nov."",11;""Dec"",12},2,FALSE),
      INDEX(S"&amp;"PLIT(O150,"" ""),2)
    ),
    ""dd/mm/yyyy""
  ),
"""")"),"14/05/2026")</f>
        <v>14/05/2026</v>
      </c>
    </row>
    <row r="151">
      <c r="A151" s="1649" t="s">
        <v>1871</v>
      </c>
      <c r="B151" s="1649" t="s">
        <v>1872</v>
      </c>
      <c r="C151" s="1650" t="s">
        <v>1428</v>
      </c>
      <c r="D151" s="1650" t="s">
        <v>881</v>
      </c>
      <c r="E151" s="1651"/>
      <c r="F151" s="1650" t="s">
        <v>597</v>
      </c>
      <c r="G151" s="1650" t="s">
        <v>882</v>
      </c>
      <c r="H151" s="1651"/>
      <c r="I151" s="1651"/>
      <c r="J151" s="1650" t="s">
        <v>882</v>
      </c>
      <c r="K151" s="1650" t="s">
        <v>883</v>
      </c>
      <c r="L151" s="1650" t="s">
        <v>884</v>
      </c>
      <c r="M151" s="1650" t="s">
        <v>885</v>
      </c>
      <c r="N151" s="1650" t="s">
        <v>1471</v>
      </c>
      <c r="O151" s="1652">
        <v>46087.711805555555</v>
      </c>
      <c r="P151" s="1652" t="str">
        <f>IFERROR(__xludf.DUMMYFUNCTION("IFERROR(
  TEXT(
    DATE(
      INDEX(SPLIT(O151,"" ""),3),
      VLOOKUP(INDEX(SPLIT(O151,"" ""),1),{""jan."",1;""Feb"",2;""mar."",3;""Apr"",4;""May"",5;""jun."",6;""jul."",7;""Aug"",8;""Sep"",9;""Oct"",10;""nov."",11;""Dec"",12},2,FALSE),
      INDEX(S"&amp;"PLIT(O151,"" ""),2)
    ),
    ""dd/mm/yyyy""
  ),
"""")"),"06/03/2026")</f>
        <v>06/03/2026</v>
      </c>
    </row>
    <row r="152">
      <c r="A152" s="1649" t="s">
        <v>1873</v>
      </c>
      <c r="B152" s="1649" t="s">
        <v>1874</v>
      </c>
      <c r="C152" s="1650" t="s">
        <v>1428</v>
      </c>
      <c r="D152" s="1650" t="s">
        <v>881</v>
      </c>
      <c r="E152" s="1651"/>
      <c r="F152" s="1650" t="s">
        <v>719</v>
      </c>
      <c r="G152" s="1650" t="s">
        <v>882</v>
      </c>
      <c r="H152" s="1651"/>
      <c r="I152" s="1651"/>
      <c r="J152" s="1650" t="s">
        <v>882</v>
      </c>
      <c r="K152" s="1650" t="s">
        <v>883</v>
      </c>
      <c r="L152" s="1650" t="s">
        <v>884</v>
      </c>
      <c r="M152" s="1650" t="s">
        <v>885</v>
      </c>
      <c r="N152" s="1650" t="s">
        <v>1875</v>
      </c>
      <c r="O152" s="1652">
        <v>46084.36944444444</v>
      </c>
      <c r="P152" s="1652" t="str">
        <f>IFERROR(__xludf.DUMMYFUNCTION("IFERROR(
  TEXT(
    DATE(
      INDEX(SPLIT(O152,"" ""),3),
      VLOOKUP(INDEX(SPLIT(O152,"" ""),1),{""jan."",1;""Feb"",2;""mar."",3;""Apr"",4;""May"",5;""jun."",6;""jul."",7;""Aug"",8;""Sep"",9;""Oct"",10;""nov."",11;""Dec"",12},2,FALSE),
      INDEX(S"&amp;"PLIT(O152,"" ""),2)
    ),
    ""dd/mm/yyyy""
  ),
"""")"),"03/03/2026")</f>
        <v>03/03/2026</v>
      </c>
    </row>
    <row r="153">
      <c r="A153" s="1649" t="s">
        <v>1876</v>
      </c>
      <c r="B153" s="1649" t="s">
        <v>1877</v>
      </c>
      <c r="C153" s="1650" t="s">
        <v>1428</v>
      </c>
      <c r="D153" s="1650" t="s">
        <v>881</v>
      </c>
      <c r="E153" s="1651"/>
      <c r="F153" s="1650" t="s">
        <v>731</v>
      </c>
      <c r="G153" s="1650" t="s">
        <v>882</v>
      </c>
      <c r="H153" s="1651"/>
      <c r="I153" s="1651"/>
      <c r="J153" s="1650" t="s">
        <v>882</v>
      </c>
      <c r="K153" s="1650" t="s">
        <v>883</v>
      </c>
      <c r="L153" s="1650" t="s">
        <v>884</v>
      </c>
      <c r="M153" s="1650" t="s">
        <v>885</v>
      </c>
      <c r="N153" s="1650" t="s">
        <v>1030</v>
      </c>
      <c r="O153" s="1652">
        <v>46105.819444444445</v>
      </c>
      <c r="P153" s="1652" t="str">
        <f>IFERROR(__xludf.DUMMYFUNCTION("IFERROR(
  TEXT(
    DATE(
      INDEX(SPLIT(O153,"" ""),3),
      VLOOKUP(INDEX(SPLIT(O153,"" ""),1),{""jan."",1;""Feb"",2;""mar."",3;""Apr"",4;""May"",5;""jun."",6;""jul."",7;""Aug"",8;""Sep"",9;""Oct"",10;""nov."",11;""Dec"",12},2,FALSE),
      INDEX(S"&amp;"PLIT(O153,"" ""),2)
    ),
    ""dd/mm/yyyy""
  ),
"""")"),"24/03/2026")</f>
        <v>24/03/2026</v>
      </c>
    </row>
    <row r="154">
      <c r="A154" s="1649" t="s">
        <v>1878</v>
      </c>
      <c r="B154" s="1649" t="s">
        <v>1879</v>
      </c>
      <c r="C154" s="1650" t="s">
        <v>1428</v>
      </c>
      <c r="D154" s="1650" t="s">
        <v>881</v>
      </c>
      <c r="E154" s="1651"/>
      <c r="F154" s="1650" t="s">
        <v>1352</v>
      </c>
      <c r="G154" s="1650" t="s">
        <v>882</v>
      </c>
      <c r="H154" s="1651"/>
      <c r="I154" s="1651"/>
      <c r="J154" s="1650" t="s">
        <v>882</v>
      </c>
      <c r="K154" s="1650" t="s">
        <v>883</v>
      </c>
      <c r="L154" s="1650" t="s">
        <v>884</v>
      </c>
      <c r="M154" s="1650" t="s">
        <v>885</v>
      </c>
      <c r="N154" s="1650" t="s">
        <v>1880</v>
      </c>
      <c r="O154" s="1650" t="s">
        <v>1881</v>
      </c>
      <c r="P154" s="1652" t="str">
        <f>IFERROR(__xludf.DUMMYFUNCTION("IFERROR(
  TEXT(
    DATE(
      INDEX(SPLIT(O154,"" ""),3),
      VLOOKUP(INDEX(SPLIT(O154,"" ""),1),{""jan."",1;""Feb"",2;""mar."",3;""Apr"",4;""May"",5;""jun."",6;""jul."",7;""Aug"",8;""Sep"",9;""Oct"",10;""nov."",11;""Dec"",12},2,FALSE),
      INDEX(S"&amp;"PLIT(O154,"" ""),2)
    ),
    ""dd/mm/yyyy""
  ),
"""")"),"08/04/2026")</f>
        <v>08/04/2026</v>
      </c>
    </row>
    <row r="155">
      <c r="A155" s="1649" t="s">
        <v>1882</v>
      </c>
      <c r="B155" s="1649" t="s">
        <v>1883</v>
      </c>
      <c r="C155" s="1650" t="s">
        <v>1428</v>
      </c>
      <c r="D155" s="1650" t="s">
        <v>881</v>
      </c>
      <c r="E155" s="1651"/>
      <c r="F155" s="1650" t="s">
        <v>1697</v>
      </c>
      <c r="G155" s="1650" t="s">
        <v>882</v>
      </c>
      <c r="H155" s="1651"/>
      <c r="I155" s="1651"/>
      <c r="J155" s="1650" t="s">
        <v>882</v>
      </c>
      <c r="K155" s="1650" t="s">
        <v>883</v>
      </c>
      <c r="L155" s="1650" t="s">
        <v>884</v>
      </c>
      <c r="M155" s="1650" t="s">
        <v>885</v>
      </c>
      <c r="N155" s="1650" t="s">
        <v>1884</v>
      </c>
      <c r="O155" s="1650" t="s">
        <v>1885</v>
      </c>
      <c r="P155" s="1652" t="str">
        <f>IFERROR(__xludf.DUMMYFUNCTION("IFERROR(
  TEXT(
    DATE(
      INDEX(SPLIT(O155,"" ""),3),
      VLOOKUP(INDEX(SPLIT(O155,"" ""),1),{""jan."",1;""Feb"",2;""mar."",3;""Apr"",4;""May"",5;""jun."",6;""jul."",7;""Aug"",8;""Sep"",9;""Oct"",10;""nov."",11;""Dec"",12},2,FALSE),
      INDEX(S"&amp;"PLIT(O155,"" ""),2)
    ),
    ""dd/mm/yyyy""
  ),
"""")"),"08/05/2026")</f>
        <v>08/05/2026</v>
      </c>
    </row>
    <row r="156">
      <c r="A156" s="1649" t="s">
        <v>1886</v>
      </c>
      <c r="B156" s="1649" t="s">
        <v>1887</v>
      </c>
      <c r="C156" s="1650" t="s">
        <v>1428</v>
      </c>
      <c r="D156" s="1650" t="s">
        <v>881</v>
      </c>
      <c r="E156" s="1651"/>
      <c r="F156" s="1650" t="s">
        <v>718</v>
      </c>
      <c r="G156" s="1650" t="s">
        <v>882</v>
      </c>
      <c r="H156" s="1651"/>
      <c r="I156" s="1651"/>
      <c r="J156" s="1650" t="s">
        <v>882</v>
      </c>
      <c r="K156" s="1650" t="s">
        <v>883</v>
      </c>
      <c r="L156" s="1650" t="s">
        <v>884</v>
      </c>
      <c r="M156" s="1650" t="s">
        <v>885</v>
      </c>
      <c r="N156" s="1650" t="s">
        <v>1888</v>
      </c>
      <c r="O156" s="1650" t="s">
        <v>1701</v>
      </c>
      <c r="P156" s="1652" t="str">
        <f>IFERROR(__xludf.DUMMYFUNCTION("IFERROR(
  TEXT(
    DATE(
      INDEX(SPLIT(O156,"" ""),3),
      VLOOKUP(INDEX(SPLIT(O156,"" ""),1),{""jan."",1;""Feb"",2;""mar."",3;""Apr"",4;""May"",5;""jun."",6;""jul."",7;""Aug"",8;""Sep"",9;""Oct"",10;""nov."",11;""Dec"",12},2,FALSE),
      INDEX(S"&amp;"PLIT(O156,"" ""),2)
    ),
    ""dd/mm/yyyy""
  ),
"""")"),"13/05/2026")</f>
        <v>13/05/2026</v>
      </c>
    </row>
    <row r="157">
      <c r="A157" s="1649" t="s">
        <v>1889</v>
      </c>
      <c r="B157" s="1649" t="s">
        <v>1890</v>
      </c>
      <c r="C157" s="1650" t="s">
        <v>1428</v>
      </c>
      <c r="D157" s="1650" t="s">
        <v>881</v>
      </c>
      <c r="E157" s="1651"/>
      <c r="F157" s="1650" t="s">
        <v>1891</v>
      </c>
      <c r="G157" s="1650" t="s">
        <v>882</v>
      </c>
      <c r="H157" s="1651"/>
      <c r="I157" s="1651"/>
      <c r="J157" s="1650" t="s">
        <v>882</v>
      </c>
      <c r="K157" s="1650" t="s">
        <v>883</v>
      </c>
      <c r="L157" s="1650" t="s">
        <v>884</v>
      </c>
      <c r="M157" s="1650" t="s">
        <v>885</v>
      </c>
      <c r="N157" s="1650" t="s">
        <v>1892</v>
      </c>
      <c r="O157" s="1650" t="s">
        <v>1893</v>
      </c>
      <c r="P157" s="1652" t="str">
        <f>IFERROR(__xludf.DUMMYFUNCTION("IFERROR(
  TEXT(
    DATE(
      INDEX(SPLIT(O157,"" ""),3),
      VLOOKUP(INDEX(SPLIT(O157,"" ""),1),{""jan."",1;""Feb"",2;""mar."",3;""Apr"",4;""May"",5;""jun."",6;""jul."",7;""Aug"",8;""Sep"",9;""Oct"",10;""nov."",11;""Dec"",12},2,FALSE),
      INDEX(S"&amp;"PLIT(O157,"" ""),2)
    ),
    ""dd/mm/yyyy""
  ),
"""")"),"06/05/2026")</f>
        <v>06/05/2026</v>
      </c>
    </row>
    <row r="158">
      <c r="A158" s="1649" t="s">
        <v>1894</v>
      </c>
      <c r="B158" s="1649" t="s">
        <v>1895</v>
      </c>
      <c r="C158" s="1650" t="s">
        <v>1428</v>
      </c>
      <c r="D158" s="1650" t="s">
        <v>881</v>
      </c>
      <c r="E158" s="1651"/>
      <c r="F158" s="1650" t="s">
        <v>506</v>
      </c>
      <c r="G158" s="1650" t="s">
        <v>882</v>
      </c>
      <c r="H158" s="1651"/>
      <c r="I158" s="1651"/>
      <c r="J158" s="1650" t="s">
        <v>882</v>
      </c>
      <c r="K158" s="1650" t="s">
        <v>883</v>
      </c>
      <c r="L158" s="1650" t="s">
        <v>884</v>
      </c>
      <c r="M158" s="1650" t="s">
        <v>885</v>
      </c>
      <c r="N158" s="1650" t="s">
        <v>1896</v>
      </c>
      <c r="O158" s="1650" t="s">
        <v>1897</v>
      </c>
      <c r="P158" s="1652" t="str">
        <f>IFERROR(__xludf.DUMMYFUNCTION("IFERROR(
  TEXT(
    DATE(
      INDEX(SPLIT(O158,"" ""),3),
      VLOOKUP(INDEX(SPLIT(O158,"" ""),1),{""jan."",1;""Feb"",2;""mar."",3;""Apr"",4;""May"",5;""jun."",6;""jul."",7;""Aug"",8;""Sep"",9;""Oct"",10;""nov."",11;""Dec"",12},2,FALSE),
      INDEX(S"&amp;"PLIT(O158,"" ""),2)
    ),
    ""dd/mm/yyyy""
  ),
"""")"),"10/04/2026")</f>
        <v>10/04/2026</v>
      </c>
    </row>
    <row r="159">
      <c r="A159" s="1649" t="s">
        <v>1898</v>
      </c>
      <c r="B159" s="1649" t="s">
        <v>1899</v>
      </c>
      <c r="C159" s="1653"/>
      <c r="D159" s="1653"/>
      <c r="E159" s="1651"/>
      <c r="F159" s="1650" t="s">
        <v>596</v>
      </c>
      <c r="G159" s="1650" t="s">
        <v>882</v>
      </c>
      <c r="H159" s="1651"/>
      <c r="I159" s="1651"/>
      <c r="J159" s="1650" t="s">
        <v>882</v>
      </c>
      <c r="K159" s="1650" t="s">
        <v>883</v>
      </c>
      <c r="L159" s="1650" t="s">
        <v>884</v>
      </c>
      <c r="M159" s="1650" t="s">
        <v>885</v>
      </c>
      <c r="N159" s="1650" t="s">
        <v>1134</v>
      </c>
      <c r="O159" s="1650" t="s">
        <v>1900</v>
      </c>
      <c r="P159" s="1652" t="str">
        <f>IFERROR(__xludf.DUMMYFUNCTION("IFERROR(
  TEXT(
    DATE(
      INDEX(SPLIT(O159,"" ""),3),
      VLOOKUP(INDEX(SPLIT(O159,"" ""),1),{""jan."",1;""Feb"",2;""mar."",3;""Apr"",4;""May"",5;""jun."",6;""jul."",7;""Aug"",8;""Sep"",9;""Oct"",10;""nov."",11;""Dec"",12},2,FALSE),
      INDEX(S"&amp;"PLIT(O159,"" ""),2)
    ),
    ""dd/mm/yyyy""
  ),
"""")"),"07/05/2026")</f>
        <v>07/05/2026</v>
      </c>
    </row>
    <row r="160">
      <c r="A160" s="1649" t="s">
        <v>1901</v>
      </c>
      <c r="B160" s="1649" t="s">
        <v>1902</v>
      </c>
      <c r="C160" s="1650" t="s">
        <v>880</v>
      </c>
      <c r="D160" s="1650" t="s">
        <v>881</v>
      </c>
      <c r="E160" s="1651"/>
      <c r="F160" s="1650" t="s">
        <v>596</v>
      </c>
      <c r="G160" s="1650" t="s">
        <v>882</v>
      </c>
      <c r="H160" s="1651"/>
      <c r="I160" s="1651"/>
      <c r="J160" s="1650" t="s">
        <v>882</v>
      </c>
      <c r="K160" s="1650" t="s">
        <v>883</v>
      </c>
      <c r="L160" s="1650" t="s">
        <v>884</v>
      </c>
      <c r="M160" s="1650" t="s">
        <v>885</v>
      </c>
      <c r="N160" s="1650" t="s">
        <v>1903</v>
      </c>
      <c r="O160" s="1650" t="s">
        <v>1900</v>
      </c>
      <c r="P160" s="1652" t="str">
        <f>IFERROR(__xludf.DUMMYFUNCTION("IFERROR(
  TEXT(
    DATE(
      INDEX(SPLIT(O160,"" ""),3),
      VLOOKUP(INDEX(SPLIT(O160,"" ""),1),{""jan."",1;""Feb"",2;""mar."",3;""Apr"",4;""May"",5;""jun."",6;""jul."",7;""Aug"",8;""Sep"",9;""Oct"",10;""nov."",11;""Dec"",12},2,FALSE),
      INDEX(S"&amp;"PLIT(O160,"" ""),2)
    ),
    ""dd/mm/yyyy""
  ),
"""")"),"07/05/2026")</f>
        <v>07/05/2026</v>
      </c>
    </row>
    <row r="161">
      <c r="A161" s="1649" t="s">
        <v>1904</v>
      </c>
      <c r="B161" s="1649" t="s">
        <v>1905</v>
      </c>
      <c r="C161" s="1650" t="s">
        <v>1428</v>
      </c>
      <c r="D161" s="1650" t="s">
        <v>881</v>
      </c>
      <c r="E161" s="1651"/>
      <c r="F161" s="1650" t="s">
        <v>716</v>
      </c>
      <c r="G161" s="1650" t="s">
        <v>882</v>
      </c>
      <c r="H161" s="1651"/>
      <c r="I161" s="1651"/>
      <c r="J161" s="1650" t="s">
        <v>882</v>
      </c>
      <c r="K161" s="1650" t="s">
        <v>883</v>
      </c>
      <c r="L161" s="1650" t="s">
        <v>884</v>
      </c>
      <c r="M161" s="1650" t="s">
        <v>885</v>
      </c>
      <c r="N161" s="1650" t="s">
        <v>1906</v>
      </c>
      <c r="O161" s="1652">
        <v>46100.67222222222</v>
      </c>
      <c r="P161" s="1652" t="str">
        <f>IFERROR(__xludf.DUMMYFUNCTION("IFERROR(
  TEXT(
    DATE(
      INDEX(SPLIT(O161,"" ""),3),
      VLOOKUP(INDEX(SPLIT(O161,"" ""),1),{""jan."",1;""Feb"",2;""mar."",3;""Apr"",4;""May"",5;""jun."",6;""jul."",7;""Aug"",8;""Sep"",9;""Oct"",10;""nov."",11;""Dec"",12},2,FALSE),
      INDEX(S"&amp;"PLIT(O161,"" ""),2)
    ),
    ""dd/mm/yyyy""
  ),
"""")"),"19/03/2026")</f>
        <v>19/03/2026</v>
      </c>
    </row>
    <row r="162">
      <c r="A162" s="1649" t="s">
        <v>1907</v>
      </c>
      <c r="B162" s="1649" t="s">
        <v>1908</v>
      </c>
      <c r="C162" s="1650" t="s">
        <v>1428</v>
      </c>
      <c r="D162" s="1650" t="s">
        <v>881</v>
      </c>
      <c r="E162" s="1651"/>
      <c r="F162" s="1650" t="s">
        <v>727</v>
      </c>
      <c r="G162" s="1650" t="s">
        <v>882</v>
      </c>
      <c r="H162" s="1651"/>
      <c r="I162" s="1651"/>
      <c r="J162" s="1650" t="s">
        <v>882</v>
      </c>
      <c r="K162" s="1650" t="s">
        <v>883</v>
      </c>
      <c r="L162" s="1650" t="s">
        <v>884</v>
      </c>
      <c r="M162" s="1650" t="s">
        <v>885</v>
      </c>
      <c r="N162" s="1650" t="s">
        <v>1909</v>
      </c>
      <c r="O162" s="1650" t="s">
        <v>1719</v>
      </c>
      <c r="P162" s="1652" t="str">
        <f>IFERROR(__xludf.DUMMYFUNCTION("IFERROR(
  TEXT(
    DATE(
      INDEX(SPLIT(O162,"" ""),3),
      VLOOKUP(INDEX(SPLIT(O162,"" ""),1),{""jan."",1;""Feb"",2;""mar."",3;""Apr"",4;""May"",5;""jun."",6;""jul."",7;""Aug"",8;""Sep"",9;""Oct"",10;""nov."",11;""Dec"",12},2,FALSE),
      INDEX(S"&amp;"PLIT(O162,"" ""),2)
    ),
    ""dd/mm/yyyy""
  ),
"""")"),"05/05/2026")</f>
        <v>05/05/2026</v>
      </c>
    </row>
    <row r="163">
      <c r="A163" s="1649" t="s">
        <v>1910</v>
      </c>
      <c r="B163" s="1649" t="s">
        <v>1911</v>
      </c>
      <c r="C163" s="1650" t="s">
        <v>1428</v>
      </c>
      <c r="D163" s="1650" t="s">
        <v>881</v>
      </c>
      <c r="E163" s="1651"/>
      <c r="F163" s="1650" t="s">
        <v>1891</v>
      </c>
      <c r="G163" s="1650" t="s">
        <v>882</v>
      </c>
      <c r="H163" s="1651"/>
      <c r="I163" s="1651"/>
      <c r="J163" s="1650" t="s">
        <v>882</v>
      </c>
      <c r="K163" s="1650" t="s">
        <v>883</v>
      </c>
      <c r="L163" s="1650" t="s">
        <v>884</v>
      </c>
      <c r="M163" s="1650" t="s">
        <v>885</v>
      </c>
      <c r="N163" s="1650" t="s">
        <v>1504</v>
      </c>
      <c r="O163" s="1650" t="s">
        <v>1912</v>
      </c>
      <c r="P163" s="1652" t="str">
        <f>IFERROR(__xludf.DUMMYFUNCTION("IFERROR(
  TEXT(
    DATE(
      INDEX(SPLIT(O163,"" ""),3),
      VLOOKUP(INDEX(SPLIT(O163,"" ""),1),{""jan."",1;""Feb"",2;""mar."",3;""Apr"",4;""May"",5;""jun."",6;""jul."",7;""Aug"",8;""Sep"",9;""Oct"",10;""nov."",11;""Dec"",12},2,FALSE),
      INDEX(S"&amp;"PLIT(O163,"" ""),2)
    ),
    ""dd/mm/yyyy""
  ),
"""")"),"10/04/2026")</f>
        <v>10/04/2026</v>
      </c>
    </row>
    <row r="164">
      <c r="A164" s="1649" t="s">
        <v>1913</v>
      </c>
      <c r="B164" s="1649" t="s">
        <v>1914</v>
      </c>
      <c r="C164" s="1650" t="s">
        <v>1428</v>
      </c>
      <c r="D164" s="1650" t="s">
        <v>881</v>
      </c>
      <c r="E164" s="1651"/>
      <c r="F164" s="1650" t="s">
        <v>716</v>
      </c>
      <c r="G164" s="1650" t="s">
        <v>882</v>
      </c>
      <c r="H164" s="1651"/>
      <c r="I164" s="1651"/>
      <c r="J164" s="1650" t="s">
        <v>882</v>
      </c>
      <c r="K164" s="1650" t="s">
        <v>883</v>
      </c>
      <c r="L164" s="1650" t="s">
        <v>884</v>
      </c>
      <c r="M164" s="1650" t="s">
        <v>885</v>
      </c>
      <c r="N164" s="1650" t="s">
        <v>1915</v>
      </c>
      <c r="O164" s="1650" t="s">
        <v>1916</v>
      </c>
      <c r="P164" s="1652" t="str">
        <f>IFERROR(__xludf.DUMMYFUNCTION("IFERROR(
  TEXT(
    DATE(
      INDEX(SPLIT(O164,"" ""),3),
      VLOOKUP(INDEX(SPLIT(O164,"" ""),1),{""jan."",1;""Feb"",2;""mar."",3;""Apr"",4;""May"",5;""jun."",6;""jul."",7;""Aug"",8;""Sep"",9;""Oct"",10;""nov."",11;""Dec"",12},2,FALSE),
      INDEX(S"&amp;"PLIT(O164,"" ""),2)
    ),
    ""dd/mm/yyyy""
  ),
"""")"),"12/05/2026")</f>
        <v>12/05/2026</v>
      </c>
    </row>
    <row r="165">
      <c r="A165" s="1649" t="s">
        <v>1917</v>
      </c>
      <c r="B165" s="1649" t="s">
        <v>1918</v>
      </c>
      <c r="C165" s="1650" t="s">
        <v>1428</v>
      </c>
      <c r="D165" s="1650" t="s">
        <v>881</v>
      </c>
      <c r="E165" s="1651"/>
      <c r="F165" s="1650" t="s">
        <v>722</v>
      </c>
      <c r="G165" s="1650" t="s">
        <v>882</v>
      </c>
      <c r="H165" s="1651"/>
      <c r="I165" s="1651"/>
      <c r="J165" s="1650" t="s">
        <v>882</v>
      </c>
      <c r="K165" s="1650" t="s">
        <v>883</v>
      </c>
      <c r="L165" s="1650" t="s">
        <v>884</v>
      </c>
      <c r="M165" s="1650" t="s">
        <v>885</v>
      </c>
      <c r="N165" s="1650" t="s">
        <v>1919</v>
      </c>
      <c r="O165" s="1650" t="s">
        <v>1920</v>
      </c>
      <c r="P165" s="1652" t="str">
        <f>IFERROR(__xludf.DUMMYFUNCTION("IFERROR(
  TEXT(
    DATE(
      INDEX(SPLIT(O165,"" ""),3),
      VLOOKUP(INDEX(SPLIT(O165,"" ""),1),{""jan."",1;""Feb"",2;""mar."",3;""Apr"",4;""May"",5;""jun."",6;""jul."",7;""Aug"",8;""Sep"",9;""Oct"",10;""nov."",11;""Dec"",12},2,FALSE),
      INDEX(S"&amp;"PLIT(O165,"" ""),2)
    ),
    ""dd/mm/yyyy""
  ),
"""")"),"30/04/2026")</f>
        <v>30/04/2026</v>
      </c>
    </row>
    <row r="166">
      <c r="A166" s="1649" t="s">
        <v>1921</v>
      </c>
      <c r="B166" s="1649" t="s">
        <v>1922</v>
      </c>
      <c r="C166" s="1650" t="s">
        <v>1428</v>
      </c>
      <c r="D166" s="1650" t="s">
        <v>881</v>
      </c>
      <c r="E166" s="1651"/>
      <c r="F166" s="1650" t="s">
        <v>719</v>
      </c>
      <c r="G166" s="1650" t="s">
        <v>882</v>
      </c>
      <c r="H166" s="1651"/>
      <c r="I166" s="1651"/>
      <c r="J166" s="1650" t="s">
        <v>882</v>
      </c>
      <c r="K166" s="1650" t="s">
        <v>883</v>
      </c>
      <c r="L166" s="1650" t="s">
        <v>884</v>
      </c>
      <c r="M166" s="1650" t="s">
        <v>885</v>
      </c>
      <c r="N166" s="1650" t="s">
        <v>1923</v>
      </c>
      <c r="O166" s="1650" t="s">
        <v>1924</v>
      </c>
      <c r="P166" s="1652" t="str">
        <f>IFERROR(__xludf.DUMMYFUNCTION("IFERROR(
  TEXT(
    DATE(
      INDEX(SPLIT(O166,"" ""),3),
      VLOOKUP(INDEX(SPLIT(O166,"" ""),1),{""jan."",1;""Feb"",2;""mar."",3;""Apr"",4;""May"",5;""jun."",6;""jul."",7;""Aug"",8;""Sep"",9;""Oct"",10;""nov."",11;""Dec"",12},2,FALSE),
      INDEX(S"&amp;"PLIT(O166,"" ""),2)
    ),
    ""dd/mm/yyyy""
  ),
"""")"),"29/04/2026")</f>
        <v>29/04/2026</v>
      </c>
    </row>
    <row r="167">
      <c r="A167" s="1649" t="s">
        <v>1925</v>
      </c>
      <c r="B167" s="1649" t="s">
        <v>1926</v>
      </c>
      <c r="C167" s="1653"/>
      <c r="D167" s="1653"/>
      <c r="E167" s="1651"/>
      <c r="F167" s="1650" t="s">
        <v>596</v>
      </c>
      <c r="G167" s="1650" t="s">
        <v>882</v>
      </c>
      <c r="H167" s="1651"/>
      <c r="I167" s="1651"/>
      <c r="J167" s="1650" t="s">
        <v>882</v>
      </c>
      <c r="K167" s="1650" t="s">
        <v>883</v>
      </c>
      <c r="L167" s="1650" t="s">
        <v>882</v>
      </c>
      <c r="M167" s="1650" t="s">
        <v>882</v>
      </c>
      <c r="N167" s="1650" t="s">
        <v>1283</v>
      </c>
      <c r="O167" s="1652">
        <v>45811.31805555556</v>
      </c>
      <c r="P167" s="1652" t="str">
        <f>IFERROR(__xludf.DUMMYFUNCTION("IFERROR(
  TEXT(
    DATE(
      INDEX(SPLIT(O167,"" ""),3),
      VLOOKUP(INDEX(SPLIT(O167,"" ""),1),{""jan."",1;""Feb"",2;""mar."",3;""Apr"",4;""May"",5;""jun."",6;""jul."",7;""Aug"",8;""Sep"",9;""Oct"",10;""nov."",11;""Dec"",12},2,FALSE),
      INDEX(S"&amp;"PLIT(O167,"" ""),2)
    ),
    ""dd/mm/yyyy""
  ),
"""")"),"03/06/2025")</f>
        <v>03/06/2025</v>
      </c>
    </row>
    <row r="168">
      <c r="A168" s="1649" t="s">
        <v>1927</v>
      </c>
      <c r="B168" s="1649" t="s">
        <v>1928</v>
      </c>
      <c r="C168" s="1653"/>
      <c r="D168" s="1653"/>
      <c r="E168" s="1651"/>
      <c r="F168" s="1650" t="s">
        <v>490</v>
      </c>
      <c r="G168" s="1650" t="s">
        <v>882</v>
      </c>
      <c r="H168" s="1651"/>
      <c r="I168" s="1651"/>
      <c r="J168" s="1650" t="s">
        <v>882</v>
      </c>
      <c r="K168" s="1650" t="s">
        <v>883</v>
      </c>
      <c r="L168" s="1650" t="s">
        <v>884</v>
      </c>
      <c r="M168" s="1650" t="s">
        <v>885</v>
      </c>
      <c r="N168" s="1650" t="s">
        <v>1287</v>
      </c>
      <c r="O168" s="1652">
        <v>45968.49236111111</v>
      </c>
      <c r="P168" s="1652" t="str">
        <f>IFERROR(__xludf.DUMMYFUNCTION("IFERROR(
  TEXT(
    DATE(
      INDEX(SPLIT(O168,"" ""),3),
      VLOOKUP(INDEX(SPLIT(O168,"" ""),1),{""jan."",1;""Feb"",2;""mar."",3;""Apr"",4;""May"",5;""jun."",6;""jul."",7;""Aug"",8;""Sep"",9;""Oct"",10;""nov."",11;""Dec"",12},2,FALSE),
      INDEX(S"&amp;"PLIT(O168,"" ""),2)
    ),
    ""dd/mm/yyyy""
  ),
"""")"),"07/11/2025")</f>
        <v>07/11/2025</v>
      </c>
    </row>
    <row r="169">
      <c r="A169" s="1649" t="s">
        <v>1929</v>
      </c>
      <c r="B169" s="1649" t="s">
        <v>1930</v>
      </c>
      <c r="C169" s="1653"/>
      <c r="D169" s="1653"/>
      <c r="E169" s="1651"/>
      <c r="F169" s="1650" t="s">
        <v>486</v>
      </c>
      <c r="G169" s="1650" t="s">
        <v>882</v>
      </c>
      <c r="H169" s="1651"/>
      <c r="I169" s="1651"/>
      <c r="J169" s="1650" t="s">
        <v>882</v>
      </c>
      <c r="K169" s="1650" t="s">
        <v>883</v>
      </c>
      <c r="L169" s="1650" t="s">
        <v>884</v>
      </c>
      <c r="M169" s="1650" t="s">
        <v>885</v>
      </c>
      <c r="N169" s="1650" t="s">
        <v>1290</v>
      </c>
      <c r="O169" s="1652">
        <v>45968.49722222222</v>
      </c>
      <c r="P169" s="1652" t="str">
        <f>IFERROR(__xludf.DUMMYFUNCTION("IFERROR(
  TEXT(
    DATE(
      INDEX(SPLIT(O169,"" ""),3),
      VLOOKUP(INDEX(SPLIT(O169,"" ""),1),{""jan."",1;""Feb"",2;""mar."",3;""Apr"",4;""May"",5;""jun."",6;""jul."",7;""Aug"",8;""Sep"",9;""Oct"",10;""nov."",11;""Dec"",12},2,FALSE),
      INDEX(S"&amp;"PLIT(O169,"" ""),2)
    ),
    ""dd/mm/yyyy""
  ),
"""")"),"07/11/2025")</f>
        <v>07/11/2025</v>
      </c>
    </row>
    <row r="170">
      <c r="A170" s="1649" t="s">
        <v>1931</v>
      </c>
      <c r="B170" s="1649" t="s">
        <v>1932</v>
      </c>
      <c r="C170" s="1653"/>
      <c r="D170" s="1653"/>
      <c r="E170" s="1651"/>
      <c r="F170" s="1650" t="s">
        <v>494</v>
      </c>
      <c r="G170" s="1650" t="s">
        <v>882</v>
      </c>
      <c r="H170" s="1651"/>
      <c r="I170" s="1651"/>
      <c r="J170" s="1650" t="s">
        <v>882</v>
      </c>
      <c r="K170" s="1650" t="s">
        <v>883</v>
      </c>
      <c r="L170" s="1650" t="s">
        <v>884</v>
      </c>
      <c r="M170" s="1650" t="s">
        <v>885</v>
      </c>
      <c r="N170" s="1650" t="s">
        <v>1293</v>
      </c>
      <c r="O170" s="1652">
        <v>45968.495833333334</v>
      </c>
      <c r="P170" s="1652" t="str">
        <f>IFERROR(__xludf.DUMMYFUNCTION("IFERROR(
  TEXT(
    DATE(
      INDEX(SPLIT(O170,"" ""),3),
      VLOOKUP(INDEX(SPLIT(O170,"" ""),1),{""jan."",1;""Feb"",2;""mar."",3;""Apr"",4;""May"",5;""jun."",6;""jul."",7;""Aug"",8;""Sep"",9;""Oct"",10;""nov."",11;""Dec"",12},2,FALSE),
      INDEX(S"&amp;"PLIT(O170,"" ""),2)
    ),
    ""dd/mm/yyyy""
  ),
"""")"),"07/11/2025")</f>
        <v>07/11/2025</v>
      </c>
    </row>
    <row r="171">
      <c r="A171" s="1649" t="s">
        <v>1933</v>
      </c>
      <c r="B171" s="1649" t="s">
        <v>1934</v>
      </c>
      <c r="C171" s="1653"/>
      <c r="D171" s="1653"/>
      <c r="E171" s="1651"/>
      <c r="F171" s="1650" t="s">
        <v>494</v>
      </c>
      <c r="G171" s="1650" t="s">
        <v>882</v>
      </c>
      <c r="H171" s="1651"/>
      <c r="I171" s="1651"/>
      <c r="J171" s="1650" t="s">
        <v>882</v>
      </c>
      <c r="K171" s="1650" t="s">
        <v>883</v>
      </c>
      <c r="L171" s="1650" t="s">
        <v>884</v>
      </c>
      <c r="M171" s="1650" t="s">
        <v>885</v>
      </c>
      <c r="N171" s="1650" t="s">
        <v>1296</v>
      </c>
      <c r="O171" s="1652">
        <v>45968.49722222222</v>
      </c>
      <c r="P171" s="1652" t="str">
        <f>IFERROR(__xludf.DUMMYFUNCTION("IFERROR(
  TEXT(
    DATE(
      INDEX(SPLIT(O171,"" ""),3),
      VLOOKUP(INDEX(SPLIT(O171,"" ""),1),{""jan."",1;""Feb"",2;""mar."",3;""Apr"",4;""May"",5;""jun."",6;""jul."",7;""Aug"",8;""Sep"",9;""Oct"",10;""nov."",11;""Dec"",12},2,FALSE),
      INDEX(S"&amp;"PLIT(O171,"" ""),2)
    ),
    ""dd/mm/yyyy""
  ),
"""")"),"07/11/2025")</f>
        <v>07/11/2025</v>
      </c>
    </row>
    <row r="172">
      <c r="A172" s="1649" t="s">
        <v>1935</v>
      </c>
      <c r="B172" s="1649" t="s">
        <v>1936</v>
      </c>
      <c r="C172" s="1653"/>
      <c r="D172" s="1653"/>
      <c r="E172" s="1651"/>
      <c r="F172" s="1650" t="s">
        <v>486</v>
      </c>
      <c r="G172" s="1650" t="s">
        <v>882</v>
      </c>
      <c r="H172" s="1651"/>
      <c r="I172" s="1651"/>
      <c r="J172" s="1650" t="s">
        <v>882</v>
      </c>
      <c r="K172" s="1650" t="s">
        <v>883</v>
      </c>
      <c r="L172" s="1650" t="s">
        <v>884</v>
      </c>
      <c r="M172" s="1650" t="s">
        <v>885</v>
      </c>
      <c r="N172" s="1650" t="s">
        <v>1299</v>
      </c>
      <c r="O172" s="1650" t="s">
        <v>1937</v>
      </c>
      <c r="P172" s="1652" t="str">
        <f>IFERROR(__xludf.DUMMYFUNCTION("IFERROR(
  TEXT(
    DATE(
      INDEX(SPLIT(O172,"" ""),3),
      VLOOKUP(INDEX(SPLIT(O172,"" ""),1),{""jan."",1;""Feb"",2;""mar."",3;""Apr"",4;""May"",5;""jun."",6;""jul."",7;""Aug"",8;""Sep"",9;""Oct"",10;""nov."",11;""Dec"",12},2,FALSE),
      INDEX(S"&amp;"PLIT(O172,"" ""),2)
    ),
    ""dd/mm/yyyy""
  ),
"""")"),"05/12/2025")</f>
        <v>05/12/2025</v>
      </c>
    </row>
    <row r="173">
      <c r="A173" s="1649" t="s">
        <v>1938</v>
      </c>
      <c r="B173" s="1649" t="s">
        <v>1939</v>
      </c>
      <c r="C173" s="1653"/>
      <c r="D173" s="1653"/>
      <c r="E173" s="1651"/>
      <c r="F173" s="1650" t="s">
        <v>494</v>
      </c>
      <c r="G173" s="1650" t="s">
        <v>882</v>
      </c>
      <c r="H173" s="1651"/>
      <c r="I173" s="1651"/>
      <c r="J173" s="1650" t="s">
        <v>882</v>
      </c>
      <c r="K173" s="1650" t="s">
        <v>883</v>
      </c>
      <c r="L173" s="1650" t="s">
        <v>884</v>
      </c>
      <c r="M173" s="1650" t="s">
        <v>885</v>
      </c>
      <c r="N173" s="1650" t="s">
        <v>1107</v>
      </c>
      <c r="O173" s="1652">
        <v>45968.49722222222</v>
      </c>
      <c r="P173" s="1652" t="str">
        <f>IFERROR(__xludf.DUMMYFUNCTION("IFERROR(
  TEXT(
    DATE(
      INDEX(SPLIT(O173,"" ""),3),
      VLOOKUP(INDEX(SPLIT(O173,"" ""),1),{""jan."",1;""Feb"",2;""mar."",3;""Apr"",4;""May"",5;""jun."",6;""jul."",7;""Aug"",8;""Sep"",9;""Oct"",10;""nov."",11;""Dec"",12},2,FALSE),
      INDEX(S"&amp;"PLIT(O173,"" ""),2)
    ),
    ""dd/mm/yyyy""
  ),
"""")"),"07/11/2025")</f>
        <v>07/11/2025</v>
      </c>
    </row>
    <row r="174">
      <c r="A174" s="1649" t="s">
        <v>1940</v>
      </c>
      <c r="B174" s="1649" t="s">
        <v>1941</v>
      </c>
      <c r="C174" s="1653"/>
      <c r="D174" s="1653"/>
      <c r="E174" s="1651"/>
      <c r="F174" s="1650" t="s">
        <v>494</v>
      </c>
      <c r="G174" s="1650" t="s">
        <v>882</v>
      </c>
      <c r="H174" s="1651"/>
      <c r="I174" s="1651"/>
      <c r="J174" s="1650" t="s">
        <v>882</v>
      </c>
      <c r="K174" s="1650" t="s">
        <v>883</v>
      </c>
      <c r="L174" s="1650" t="s">
        <v>884</v>
      </c>
      <c r="M174" s="1650" t="s">
        <v>885</v>
      </c>
      <c r="N174" s="1650" t="s">
        <v>1304</v>
      </c>
      <c r="O174" s="1652">
        <v>45962.40625</v>
      </c>
      <c r="P174" s="1652" t="str">
        <f>IFERROR(__xludf.DUMMYFUNCTION("IFERROR(
  TEXT(
    DATE(
      INDEX(SPLIT(O174,"" ""),3),
      VLOOKUP(INDEX(SPLIT(O174,"" ""),1),{""jan."",1;""Feb"",2;""mar."",3;""Apr"",4;""May"",5;""jun."",6;""jul."",7;""Aug"",8;""Sep"",9;""Oct"",10;""nov."",11;""Dec"",12},2,FALSE),
      INDEX(S"&amp;"PLIT(O174,"" ""),2)
    ),
    ""dd/mm/yyyy""
  ),
"""")"),"01/11/2025")</f>
        <v>01/11/2025</v>
      </c>
    </row>
    <row r="175">
      <c r="A175" s="1649" t="s">
        <v>1942</v>
      </c>
      <c r="B175" s="1649" t="s">
        <v>1943</v>
      </c>
      <c r="C175" s="1653"/>
      <c r="D175" s="1653"/>
      <c r="E175" s="1651"/>
      <c r="F175" s="1650" t="s">
        <v>480</v>
      </c>
      <c r="G175" s="1650" t="s">
        <v>882</v>
      </c>
      <c r="H175" s="1651"/>
      <c r="I175" s="1651"/>
      <c r="J175" s="1650" t="s">
        <v>882</v>
      </c>
      <c r="K175" s="1650" t="s">
        <v>883</v>
      </c>
      <c r="L175" s="1650" t="s">
        <v>884</v>
      </c>
      <c r="M175" s="1650" t="s">
        <v>885</v>
      </c>
      <c r="N175" s="1650" t="s">
        <v>1307</v>
      </c>
      <c r="O175" s="1650" t="s">
        <v>1944</v>
      </c>
      <c r="P175" s="1652" t="str">
        <f>IFERROR(__xludf.DUMMYFUNCTION("IFERROR(
  TEXT(
    DATE(
      INDEX(SPLIT(O175,"" ""),3),
      VLOOKUP(INDEX(SPLIT(O175,"" ""),1),{""jan."",1;""Feb"",2;""mar."",3;""Apr"",4;""May"",5;""jun."",6;""jul."",7;""Aug"",8;""Sep"",9;""Oct"",10;""nov."",11;""Dec"",12},2,FALSE),
      INDEX(S"&amp;"PLIT(O175,"" ""),2)
    ),
    ""dd/mm/yyyy""
  ),
"""")"),"31/10/2025")</f>
        <v>31/10/2025</v>
      </c>
    </row>
    <row r="176">
      <c r="A176" s="1649" t="s">
        <v>1945</v>
      </c>
      <c r="B176" s="1649" t="s">
        <v>1946</v>
      </c>
      <c r="C176" s="1653"/>
      <c r="D176" s="1653"/>
      <c r="E176" s="1651"/>
      <c r="F176" s="1650" t="s">
        <v>494</v>
      </c>
      <c r="G176" s="1650" t="s">
        <v>882</v>
      </c>
      <c r="H176" s="1651"/>
      <c r="I176" s="1651"/>
      <c r="J176" s="1650" t="s">
        <v>882</v>
      </c>
      <c r="K176" s="1650" t="s">
        <v>883</v>
      </c>
      <c r="L176" s="1650" t="s">
        <v>884</v>
      </c>
      <c r="M176" s="1650" t="s">
        <v>885</v>
      </c>
      <c r="N176" s="1650" t="s">
        <v>1310</v>
      </c>
      <c r="O176" s="1650" t="s">
        <v>1947</v>
      </c>
      <c r="P176" s="1652" t="str">
        <f>IFERROR(__xludf.DUMMYFUNCTION("IFERROR(
  TEXT(
    DATE(
      INDEX(SPLIT(O176,"" ""),3),
      VLOOKUP(INDEX(SPLIT(O176,"" ""),1),{""jan."",1;""Feb"",2;""mar."",3;""Apr"",4;""May"",5;""jun."",6;""jul."",7;""Aug"",8;""Sep"",9;""Oct"",10;""nov."",11;""Dec"",12},2,FALSE),
      INDEX(S"&amp;"PLIT(O176,"" ""),2)
    ),
    ""dd/mm/yyyy""
  ),
"""")"),"11/02/2026")</f>
        <v>11/02/2026</v>
      </c>
    </row>
    <row r="177">
      <c r="A177" s="1649" t="s">
        <v>1948</v>
      </c>
      <c r="B177" s="1649" t="s">
        <v>1949</v>
      </c>
      <c r="C177" s="1653"/>
      <c r="D177" s="1653"/>
      <c r="E177" s="1651"/>
      <c r="F177" s="1650" t="s">
        <v>470</v>
      </c>
      <c r="G177" s="1650" t="s">
        <v>882</v>
      </c>
      <c r="H177" s="1651"/>
      <c r="I177" s="1651"/>
      <c r="J177" s="1650" t="s">
        <v>882</v>
      </c>
      <c r="K177" s="1650" t="s">
        <v>883</v>
      </c>
      <c r="L177" s="1650" t="s">
        <v>882</v>
      </c>
      <c r="M177" s="1650" t="s">
        <v>882</v>
      </c>
      <c r="N177" s="1650" t="s">
        <v>1950</v>
      </c>
      <c r="O177" s="1650" t="s">
        <v>1951</v>
      </c>
      <c r="P177" s="1652" t="str">
        <f>IFERROR(__xludf.DUMMYFUNCTION("IFERROR(
  TEXT(
    DATE(
      INDEX(SPLIT(O177,"" ""),3),
      VLOOKUP(INDEX(SPLIT(O177,"" ""),1),{""jan."",1;""Feb"",2;""mar."",3;""Apr"",4;""May"",5;""jun."",6;""jul."",7;""Aug"",8;""Sep"",9;""Oct"",10;""nov."",11;""Dec"",12},2,FALSE),
      INDEX(S"&amp;"PLIT(O177,"" ""),2)
    ),
    ""dd/mm/yyyy""
  ),
"""")"),"12/02/2026")</f>
        <v>12/02/2026</v>
      </c>
    </row>
    <row r="178">
      <c r="A178" s="1649" t="s">
        <v>1952</v>
      </c>
      <c r="B178" s="1649" t="s">
        <v>1953</v>
      </c>
      <c r="C178" s="1650" t="s">
        <v>1428</v>
      </c>
      <c r="D178" s="1650" t="s">
        <v>881</v>
      </c>
      <c r="E178" s="1651"/>
      <c r="F178" s="1650" t="s">
        <v>470</v>
      </c>
      <c r="G178" s="1650" t="s">
        <v>882</v>
      </c>
      <c r="H178" s="1651"/>
      <c r="I178" s="1651"/>
      <c r="J178" s="1650" t="s">
        <v>882</v>
      </c>
      <c r="K178" s="1650" t="s">
        <v>883</v>
      </c>
      <c r="L178" s="1650" t="s">
        <v>884</v>
      </c>
      <c r="M178" s="1650" t="s">
        <v>885</v>
      </c>
      <c r="N178" s="1650" t="s">
        <v>1954</v>
      </c>
      <c r="O178" s="1650" t="s">
        <v>1955</v>
      </c>
      <c r="P178" s="1652" t="str">
        <f>IFERROR(__xludf.DUMMYFUNCTION("IFERROR(
  TEXT(
    DATE(
      INDEX(SPLIT(O178,"" ""),3),
      VLOOKUP(INDEX(SPLIT(O178,"" ""),1),{""jan."",1;""Feb"",2;""mar."",3;""Apr"",4;""May"",5;""jun."",6;""jul."",7;""Aug"",8;""Sep"",9;""Oct"",10;""nov."",11;""Dec"",12},2,FALSE),
      INDEX(S"&amp;"PLIT(O178,"" ""),2)
    ),
    ""dd/mm/yyyy""
  ),
"""")"),"12/02/2026")</f>
        <v>12/02/2026</v>
      </c>
    </row>
    <row r="179">
      <c r="A179" s="1649" t="s">
        <v>1956</v>
      </c>
      <c r="B179" s="1649" t="s">
        <v>1957</v>
      </c>
      <c r="C179" s="1653"/>
      <c r="D179" s="1653"/>
      <c r="E179" s="1651"/>
      <c r="F179" s="1650" t="s">
        <v>480</v>
      </c>
      <c r="G179" s="1650" t="s">
        <v>882</v>
      </c>
      <c r="H179" s="1651"/>
      <c r="I179" s="1651"/>
      <c r="J179" s="1650" t="s">
        <v>882</v>
      </c>
      <c r="K179" s="1650" t="s">
        <v>883</v>
      </c>
      <c r="L179" s="1650" t="s">
        <v>882</v>
      </c>
      <c r="M179" s="1650" t="s">
        <v>882</v>
      </c>
      <c r="N179" s="1650" t="s">
        <v>1958</v>
      </c>
      <c r="O179" s="1650" t="s">
        <v>1959</v>
      </c>
      <c r="P179" s="1652" t="str">
        <f>IFERROR(__xludf.DUMMYFUNCTION("IFERROR(
  TEXT(
    DATE(
      INDEX(SPLIT(O179,"" ""),3),
      VLOOKUP(INDEX(SPLIT(O179,"" ""),1),{""jan."",1;""Feb"",2;""mar."",3;""Apr"",4;""May"",5;""jun."",6;""jul."",7;""Aug"",8;""Sep"",9;""Oct"",10;""nov."",11;""Dec"",12},2,FALSE),
      INDEX(S"&amp;"PLIT(O179,"" ""),2)
    ),
    ""dd/mm/yyyy""
  ),
"""")"),"12/02/2026")</f>
        <v>12/02/2026</v>
      </c>
    </row>
    <row r="180">
      <c r="A180" s="1649" t="s">
        <v>1960</v>
      </c>
      <c r="B180" s="1649" t="s">
        <v>1961</v>
      </c>
      <c r="C180" s="1653"/>
      <c r="D180" s="1653"/>
      <c r="E180" s="1651"/>
      <c r="F180" s="1650" t="s">
        <v>470</v>
      </c>
      <c r="G180" s="1650" t="s">
        <v>882</v>
      </c>
      <c r="H180" s="1651"/>
      <c r="I180" s="1651"/>
      <c r="J180" s="1650" t="s">
        <v>882</v>
      </c>
      <c r="K180" s="1650" t="s">
        <v>883</v>
      </c>
      <c r="L180" s="1650" t="s">
        <v>884</v>
      </c>
      <c r="M180" s="1650" t="s">
        <v>885</v>
      </c>
      <c r="N180" s="1650" t="s">
        <v>1962</v>
      </c>
      <c r="O180" s="1650" t="s">
        <v>1963</v>
      </c>
      <c r="P180" s="1652" t="str">
        <f>IFERROR(__xludf.DUMMYFUNCTION("IFERROR(
  TEXT(
    DATE(
      INDEX(SPLIT(O180,"" ""),3),
      VLOOKUP(INDEX(SPLIT(O180,"" ""),1),{""jan."",1;""Feb"",2;""mar."",3;""Apr"",4;""May"",5;""jun."",6;""jul."",7;""Aug"",8;""Sep"",9;""Oct"",10;""nov."",11;""Dec"",12},2,FALSE),
      INDEX(S"&amp;"PLIT(O180,"" ""),2)
    ),
    ""dd/mm/yyyy""
  ),
"""")"),"19/02/2025")</f>
        <v>19/02/2025</v>
      </c>
    </row>
    <row r="181">
      <c r="A181" s="1649" t="s">
        <v>1964</v>
      </c>
      <c r="B181" s="1649" t="s">
        <v>1965</v>
      </c>
      <c r="C181" s="1653"/>
      <c r="D181" s="1653"/>
      <c r="E181" s="1651"/>
      <c r="F181" s="1650" t="s">
        <v>596</v>
      </c>
      <c r="G181" s="1650" t="s">
        <v>882</v>
      </c>
      <c r="H181" s="1651"/>
      <c r="I181" s="1651"/>
      <c r="J181" s="1650" t="s">
        <v>882</v>
      </c>
      <c r="K181" s="1650" t="s">
        <v>883</v>
      </c>
      <c r="L181" s="1650" t="s">
        <v>884</v>
      </c>
      <c r="M181" s="1650" t="s">
        <v>885</v>
      </c>
      <c r="N181" s="1650" t="s">
        <v>1966</v>
      </c>
      <c r="O181" s="1650" t="s">
        <v>1963</v>
      </c>
      <c r="P181" s="1652" t="str">
        <f>IFERROR(__xludf.DUMMYFUNCTION("IFERROR(
  TEXT(
    DATE(
      INDEX(SPLIT(O181,"" ""),3),
      VLOOKUP(INDEX(SPLIT(O181,"" ""),1),{""jan."",1;""Feb"",2;""mar."",3;""Apr"",4;""May"",5;""jun."",6;""jul."",7;""Aug"",8;""Sep"",9;""Oct"",10;""nov."",11;""Dec"",12},2,FALSE),
      INDEX(S"&amp;"PLIT(O181,"" ""),2)
    ),
    ""dd/mm/yyyy""
  ),
"""")"),"19/02/2025")</f>
        <v>19/02/2025</v>
      </c>
    </row>
    <row r="182">
      <c r="A182" s="1649" t="s">
        <v>1967</v>
      </c>
      <c r="B182" s="1649" t="s">
        <v>1968</v>
      </c>
      <c r="C182" s="1653"/>
      <c r="D182" s="1653"/>
      <c r="E182" s="1651"/>
      <c r="F182" s="1650" t="s">
        <v>470</v>
      </c>
      <c r="G182" s="1650" t="s">
        <v>882</v>
      </c>
      <c r="H182" s="1651"/>
      <c r="I182" s="1651"/>
      <c r="J182" s="1650" t="s">
        <v>882</v>
      </c>
      <c r="K182" s="1650" t="s">
        <v>883</v>
      </c>
      <c r="L182" s="1650" t="s">
        <v>884</v>
      </c>
      <c r="M182" s="1650" t="s">
        <v>885</v>
      </c>
      <c r="N182" s="1650" t="s">
        <v>1969</v>
      </c>
      <c r="O182" s="1650" t="s">
        <v>1963</v>
      </c>
      <c r="P182" s="1652" t="str">
        <f>IFERROR(__xludf.DUMMYFUNCTION("IFERROR(
  TEXT(
    DATE(
      INDEX(SPLIT(O182,"" ""),3),
      VLOOKUP(INDEX(SPLIT(O182,"" ""),1),{""jan."",1;""Feb"",2;""mar."",3;""Apr"",4;""May"",5;""jun."",6;""jul."",7;""Aug"",8;""Sep"",9;""Oct"",10;""nov."",11;""Dec"",12},2,FALSE),
      INDEX(S"&amp;"PLIT(O182,"" ""),2)
    ),
    ""dd/mm/yyyy""
  ),
"""")"),"19/02/2025")</f>
        <v>19/02/2025</v>
      </c>
    </row>
    <row r="183">
      <c r="A183" s="1649" t="s">
        <v>1970</v>
      </c>
      <c r="B183" s="1649" t="s">
        <v>1971</v>
      </c>
      <c r="C183" s="1653"/>
      <c r="D183" s="1653"/>
      <c r="E183" s="1651"/>
      <c r="F183" s="1650" t="s">
        <v>470</v>
      </c>
      <c r="G183" s="1650" t="s">
        <v>882</v>
      </c>
      <c r="H183" s="1651"/>
      <c r="I183" s="1651"/>
      <c r="J183" s="1650" t="s">
        <v>882</v>
      </c>
      <c r="K183" s="1650" t="s">
        <v>883</v>
      </c>
      <c r="L183" s="1650" t="s">
        <v>884</v>
      </c>
      <c r="M183" s="1650" t="s">
        <v>885</v>
      </c>
      <c r="N183" s="1650" t="s">
        <v>1969</v>
      </c>
      <c r="O183" s="1650" t="s">
        <v>1963</v>
      </c>
      <c r="P183" s="1652" t="str">
        <f>IFERROR(__xludf.DUMMYFUNCTION("IFERROR(
  TEXT(
    DATE(
      INDEX(SPLIT(O183,"" ""),3),
      VLOOKUP(INDEX(SPLIT(O183,"" ""),1),{""jan."",1;""Feb"",2;""mar."",3;""Apr"",4;""May"",5;""jun."",6;""jul."",7;""Aug"",8;""Sep"",9;""Oct"",10;""nov."",11;""Dec"",12},2,FALSE),
      INDEX(S"&amp;"PLIT(O183,"" ""),2)
    ),
    ""dd/mm/yyyy""
  ),
"""")"),"19/02/2025")</f>
        <v>19/02/2025</v>
      </c>
    </row>
    <row r="184">
      <c r="A184" s="1649" t="s">
        <v>1972</v>
      </c>
      <c r="B184" s="1649" t="s">
        <v>1973</v>
      </c>
      <c r="C184" s="1653"/>
      <c r="D184" s="1653"/>
      <c r="E184" s="1651"/>
      <c r="F184" s="1650" t="s">
        <v>470</v>
      </c>
      <c r="G184" s="1650" t="s">
        <v>882</v>
      </c>
      <c r="H184" s="1651"/>
      <c r="I184" s="1651"/>
      <c r="J184" s="1650" t="s">
        <v>882</v>
      </c>
      <c r="K184" s="1650" t="s">
        <v>883</v>
      </c>
      <c r="L184" s="1650" t="s">
        <v>884</v>
      </c>
      <c r="M184" s="1650" t="s">
        <v>885</v>
      </c>
      <c r="N184" s="1650" t="s">
        <v>1974</v>
      </c>
      <c r="O184" s="1650" t="s">
        <v>1963</v>
      </c>
      <c r="P184" s="1652" t="str">
        <f>IFERROR(__xludf.DUMMYFUNCTION("IFERROR(
  TEXT(
    DATE(
      INDEX(SPLIT(O184,"" ""),3),
      VLOOKUP(INDEX(SPLIT(O184,"" ""),1),{""jan."",1;""Feb"",2;""mar."",3;""Apr"",4;""May"",5;""jun."",6;""jul."",7;""Aug"",8;""Sep"",9;""Oct"",10;""nov."",11;""Dec"",12},2,FALSE),
      INDEX(S"&amp;"PLIT(O184,"" ""),2)
    ),
    ""dd/mm/yyyy""
  ),
"""")"),"19/02/2025")</f>
        <v>19/02/2025</v>
      </c>
    </row>
    <row r="185">
      <c r="A185" s="1649" t="s">
        <v>1975</v>
      </c>
      <c r="B185" s="1649" t="s">
        <v>1976</v>
      </c>
      <c r="C185" s="1653"/>
      <c r="D185" s="1653"/>
      <c r="E185" s="1651"/>
      <c r="F185" s="1650" t="s">
        <v>596</v>
      </c>
      <c r="G185" s="1650" t="s">
        <v>882</v>
      </c>
      <c r="H185" s="1651"/>
      <c r="I185" s="1651"/>
      <c r="J185" s="1650" t="s">
        <v>882</v>
      </c>
      <c r="K185" s="1650" t="s">
        <v>883</v>
      </c>
      <c r="L185" s="1650" t="s">
        <v>884</v>
      </c>
      <c r="M185" s="1650" t="s">
        <v>885</v>
      </c>
      <c r="N185" s="1650" t="s">
        <v>1977</v>
      </c>
      <c r="O185" s="1650" t="s">
        <v>1963</v>
      </c>
      <c r="P185" s="1652" t="str">
        <f>IFERROR(__xludf.DUMMYFUNCTION("IFERROR(
  TEXT(
    DATE(
      INDEX(SPLIT(O185,"" ""),3),
      VLOOKUP(INDEX(SPLIT(O185,"" ""),1),{""jan."",1;""Feb"",2;""mar."",3;""Apr"",4;""May"",5;""jun."",6;""jul."",7;""Aug"",8;""Sep"",9;""Oct"",10;""nov."",11;""Dec"",12},2,FALSE),
      INDEX(S"&amp;"PLIT(O185,"" ""),2)
    ),
    ""dd/mm/yyyy""
  ),
"""")"),"19/02/2025")</f>
        <v>19/02/2025</v>
      </c>
    </row>
    <row r="186">
      <c r="A186" s="1649" t="s">
        <v>1978</v>
      </c>
      <c r="B186" s="1649" t="s">
        <v>1979</v>
      </c>
      <c r="C186" s="1653"/>
      <c r="D186" s="1653"/>
      <c r="E186" s="1651"/>
      <c r="F186" s="1650" t="s">
        <v>470</v>
      </c>
      <c r="G186" s="1650" t="s">
        <v>882</v>
      </c>
      <c r="H186" s="1651"/>
      <c r="I186" s="1651"/>
      <c r="J186" s="1650" t="s">
        <v>882</v>
      </c>
      <c r="K186" s="1650" t="s">
        <v>883</v>
      </c>
      <c r="L186" s="1650" t="s">
        <v>884</v>
      </c>
      <c r="M186" s="1650" t="s">
        <v>885</v>
      </c>
      <c r="N186" s="1650" t="s">
        <v>1980</v>
      </c>
      <c r="O186" s="1652">
        <v>45841.67013888889</v>
      </c>
      <c r="P186" s="1652" t="str">
        <f>IFERROR(__xludf.DUMMYFUNCTION("IFERROR(
  TEXT(
    DATE(
      INDEX(SPLIT(O186,"" ""),3),
      VLOOKUP(INDEX(SPLIT(O186,"" ""),1),{""jan."",1;""Feb"",2;""mar."",3;""Apr"",4;""May"",5;""jun."",6;""jul."",7;""Aug"",8;""Sep"",9;""Oct"",10;""nov."",11;""Dec"",12},2,FALSE),
      INDEX(S"&amp;"PLIT(O186,"" ""),2)
    ),
    ""dd/mm/yyyy""
  ),
"""")"),"03/07/2025")</f>
        <v>03/07/2025</v>
      </c>
    </row>
    <row r="187">
      <c r="A187" s="1649" t="s">
        <v>1981</v>
      </c>
      <c r="B187" s="1649" t="s">
        <v>1982</v>
      </c>
      <c r="C187" s="1653"/>
      <c r="D187" s="1653"/>
      <c r="E187" s="1651"/>
      <c r="F187" s="1650" t="s">
        <v>470</v>
      </c>
      <c r="G187" s="1650" t="s">
        <v>882</v>
      </c>
      <c r="H187" s="1651"/>
      <c r="I187" s="1651"/>
      <c r="J187" s="1650" t="s">
        <v>882</v>
      </c>
      <c r="K187" s="1650" t="s">
        <v>883</v>
      </c>
      <c r="L187" s="1650" t="s">
        <v>884</v>
      </c>
      <c r="M187" s="1650" t="s">
        <v>885</v>
      </c>
      <c r="N187" s="1650" t="s">
        <v>1983</v>
      </c>
      <c r="O187" s="1650" t="s">
        <v>1984</v>
      </c>
      <c r="P187" s="1652" t="str">
        <f>IFERROR(__xludf.DUMMYFUNCTION("IFERROR(
  TEXT(
    DATE(
      INDEX(SPLIT(O187,"" ""),3),
      VLOOKUP(INDEX(SPLIT(O187,"" ""),1),{""jan."",1;""Feb"",2;""mar."",3;""Apr"",4;""May"",5;""jun."",6;""jul."",7;""Aug"",8;""Sep"",9;""Oct"",10;""nov."",11;""Dec"",12},2,FALSE),
      INDEX(S"&amp;"PLIT(O187,"" ""),2)
    ),
    ""dd/mm/yyyy""
  ),
"""")"),"08/05/2025")</f>
        <v>08/05/2025</v>
      </c>
    </row>
    <row r="188">
      <c r="A188" s="1649" t="s">
        <v>1985</v>
      </c>
      <c r="B188" s="1649" t="s">
        <v>1986</v>
      </c>
      <c r="C188" s="1653"/>
      <c r="D188" s="1653"/>
      <c r="E188" s="1651"/>
      <c r="F188" s="1650" t="s">
        <v>470</v>
      </c>
      <c r="G188" s="1650" t="s">
        <v>882</v>
      </c>
      <c r="H188" s="1651"/>
      <c r="I188" s="1651"/>
      <c r="J188" s="1650" t="s">
        <v>882</v>
      </c>
      <c r="K188" s="1650" t="s">
        <v>883</v>
      </c>
      <c r="L188" s="1650" t="s">
        <v>884</v>
      </c>
      <c r="M188" s="1650" t="s">
        <v>885</v>
      </c>
      <c r="N188" s="1650" t="s">
        <v>1317</v>
      </c>
      <c r="O188" s="1650" t="s">
        <v>1984</v>
      </c>
      <c r="P188" s="1652" t="str">
        <f>IFERROR(__xludf.DUMMYFUNCTION("IFERROR(
  TEXT(
    DATE(
      INDEX(SPLIT(O188,"" ""),3),
      VLOOKUP(INDEX(SPLIT(O188,"" ""),1),{""jan."",1;""Feb"",2;""mar."",3;""Apr"",4;""May"",5;""jun."",6;""jul."",7;""Aug"",8;""Sep"",9;""Oct"",10;""nov."",11;""Dec"",12},2,FALSE),
      INDEX(S"&amp;"PLIT(O188,"" ""),2)
    ),
    ""dd/mm/yyyy""
  ),
"""")"),"08/05/2025")</f>
        <v>08/05/2025</v>
      </c>
    </row>
    <row r="189">
      <c r="A189" s="1649" t="s">
        <v>1987</v>
      </c>
      <c r="B189" s="1649" t="s">
        <v>1988</v>
      </c>
      <c r="C189" s="1653"/>
      <c r="D189" s="1653"/>
      <c r="E189" s="1651"/>
      <c r="F189" s="1650" t="s">
        <v>470</v>
      </c>
      <c r="G189" s="1650" t="s">
        <v>882</v>
      </c>
      <c r="H189" s="1651"/>
      <c r="I189" s="1651"/>
      <c r="J189" s="1650" t="s">
        <v>882</v>
      </c>
      <c r="K189" s="1650" t="s">
        <v>883</v>
      </c>
      <c r="L189" s="1650" t="s">
        <v>884</v>
      </c>
      <c r="M189" s="1650" t="s">
        <v>885</v>
      </c>
      <c r="N189" s="1650" t="s">
        <v>1546</v>
      </c>
      <c r="O189" s="1652">
        <v>45841.67013888889</v>
      </c>
      <c r="P189" s="1652" t="str">
        <f>IFERROR(__xludf.DUMMYFUNCTION("IFERROR(
  TEXT(
    DATE(
      INDEX(SPLIT(O189,"" ""),3),
      VLOOKUP(INDEX(SPLIT(O189,"" ""),1),{""jan."",1;""Feb"",2;""mar."",3;""Apr"",4;""May"",5;""jun."",6;""jul."",7;""Aug"",8;""Sep"",9;""Oct"",10;""nov."",11;""Dec"",12},2,FALSE),
      INDEX(S"&amp;"PLIT(O189,"" ""),2)
    ),
    ""dd/mm/yyyy""
  ),
"""")"),"03/07/2025")</f>
        <v>03/07/2025</v>
      </c>
    </row>
    <row r="190">
      <c r="A190" s="1649" t="s">
        <v>1989</v>
      </c>
      <c r="B190" s="1649" t="s">
        <v>1990</v>
      </c>
      <c r="C190" s="1653"/>
      <c r="D190" s="1653"/>
      <c r="E190" s="1651"/>
      <c r="F190" s="1650" t="s">
        <v>470</v>
      </c>
      <c r="G190" s="1650" t="s">
        <v>882</v>
      </c>
      <c r="H190" s="1651"/>
      <c r="I190" s="1651"/>
      <c r="J190" s="1650" t="s">
        <v>882</v>
      </c>
      <c r="K190" s="1650" t="s">
        <v>883</v>
      </c>
      <c r="L190" s="1650" t="s">
        <v>884</v>
      </c>
      <c r="M190" s="1650" t="s">
        <v>885</v>
      </c>
      <c r="N190" s="1650" t="s">
        <v>1317</v>
      </c>
      <c r="O190" s="1650" t="s">
        <v>1963</v>
      </c>
      <c r="P190" s="1652" t="str">
        <f>IFERROR(__xludf.DUMMYFUNCTION("IFERROR(
  TEXT(
    DATE(
      INDEX(SPLIT(O190,"" ""),3),
      VLOOKUP(INDEX(SPLIT(O190,"" ""),1),{""jan."",1;""Feb"",2;""mar."",3;""Apr"",4;""May"",5;""jun."",6;""jul."",7;""Aug"",8;""Sep"",9;""Oct"",10;""nov."",11;""Dec"",12},2,FALSE),
      INDEX(S"&amp;"PLIT(O190,"" ""),2)
    ),
    ""dd/mm/yyyy""
  ),
"""")"),"19/02/2025")</f>
        <v>19/02/2025</v>
      </c>
    </row>
    <row r="191">
      <c r="A191" s="1649" t="s">
        <v>1991</v>
      </c>
      <c r="B191" s="1649" t="s">
        <v>1992</v>
      </c>
      <c r="C191" s="1653"/>
      <c r="D191" s="1653"/>
      <c r="E191" s="1651"/>
      <c r="F191" s="1650" t="s">
        <v>470</v>
      </c>
      <c r="G191" s="1650" t="s">
        <v>882</v>
      </c>
      <c r="H191" s="1651"/>
      <c r="I191" s="1651"/>
      <c r="J191" s="1650" t="s">
        <v>882</v>
      </c>
      <c r="K191" s="1650" t="s">
        <v>883</v>
      </c>
      <c r="L191" s="1650" t="s">
        <v>884</v>
      </c>
      <c r="M191" s="1650" t="s">
        <v>885</v>
      </c>
      <c r="N191" s="1650" t="s">
        <v>1993</v>
      </c>
      <c r="O191" s="1652">
        <v>45664.45</v>
      </c>
      <c r="P191" s="1652" t="str">
        <f>IFERROR(__xludf.DUMMYFUNCTION("IFERROR(
  TEXT(
    DATE(
      INDEX(SPLIT(O191,"" ""),3),
      VLOOKUP(INDEX(SPLIT(O191,"" ""),1),{""jan."",1;""Feb"",2;""mar."",3;""Apr"",4;""May"",5;""jun."",6;""jul."",7;""Aug"",8;""Sep"",9;""Oct"",10;""nov."",11;""Dec"",12},2,FALSE),
      INDEX(S"&amp;"PLIT(O191,"" ""),2)
    ),
    ""dd/mm/yyyy""
  ),
"""")"),"07/01/2025")</f>
        <v>07/01/2025</v>
      </c>
    </row>
    <row r="192">
      <c r="A192" s="1649" t="s">
        <v>1994</v>
      </c>
      <c r="B192" s="1649" t="s">
        <v>1995</v>
      </c>
      <c r="C192" s="1653"/>
      <c r="D192" s="1653"/>
      <c r="E192" s="1651"/>
      <c r="F192" s="1650" t="s">
        <v>470</v>
      </c>
      <c r="G192" s="1650" t="s">
        <v>882</v>
      </c>
      <c r="H192" s="1651"/>
      <c r="I192" s="1651"/>
      <c r="J192" s="1650" t="s">
        <v>882</v>
      </c>
      <c r="K192" s="1650" t="s">
        <v>883</v>
      </c>
      <c r="L192" s="1650" t="s">
        <v>884</v>
      </c>
      <c r="M192" s="1650" t="s">
        <v>885</v>
      </c>
      <c r="N192" s="1650" t="s">
        <v>997</v>
      </c>
      <c r="O192" s="1650" t="s">
        <v>1996</v>
      </c>
      <c r="P192" s="1652" t="str">
        <f>IFERROR(__xludf.DUMMYFUNCTION("IFERROR(
  TEXT(
    DATE(
      INDEX(SPLIT(O192,"" ""),3),
      VLOOKUP(INDEX(SPLIT(O192,"" ""),1),{""jan."",1;""Feb"",2;""mar."",3;""Apr"",4;""May"",5;""jun."",6;""jul."",7;""Aug"",8;""Sep"",9;""Oct"",10;""nov."",11;""Dec"",12},2,FALSE),
      INDEX(S"&amp;"PLIT(O192,"" ""),2)
    ),
    ""dd/mm/yyyy""
  ),
"""")"),"18/12/2024")</f>
        <v>18/12/2024</v>
      </c>
    </row>
    <row r="193">
      <c r="A193" s="1649" t="s">
        <v>1997</v>
      </c>
      <c r="B193" s="1649" t="s">
        <v>1998</v>
      </c>
      <c r="C193" s="1653"/>
      <c r="D193" s="1653"/>
      <c r="E193" s="1651"/>
      <c r="F193" s="1650" t="s">
        <v>470</v>
      </c>
      <c r="G193" s="1650" t="s">
        <v>882</v>
      </c>
      <c r="H193" s="1651"/>
      <c r="I193" s="1651"/>
      <c r="J193" s="1650" t="s">
        <v>882</v>
      </c>
      <c r="K193" s="1650" t="s">
        <v>883</v>
      </c>
      <c r="L193" s="1650" t="s">
        <v>884</v>
      </c>
      <c r="M193" s="1650" t="s">
        <v>885</v>
      </c>
      <c r="N193" s="1650" t="s">
        <v>1310</v>
      </c>
      <c r="O193" s="1650" t="s">
        <v>1996</v>
      </c>
      <c r="P193" s="1652" t="str">
        <f>IFERROR(__xludf.DUMMYFUNCTION("IFERROR(
  TEXT(
    DATE(
      INDEX(SPLIT(O193,"" ""),3),
      VLOOKUP(INDEX(SPLIT(O193,"" ""),1),{""jan."",1;""Feb"",2;""mar."",3;""Apr"",4;""May"",5;""jun."",6;""jul."",7;""Aug"",8;""Sep"",9;""Oct"",10;""nov."",11;""Dec"",12},2,FALSE),
      INDEX(S"&amp;"PLIT(O193,"" ""),2)
    ),
    ""dd/mm/yyyy""
  ),
"""")"),"18/12/2024")</f>
        <v>18/12/2024</v>
      </c>
    </row>
    <row r="194">
      <c r="A194" s="1649" t="s">
        <v>1999</v>
      </c>
      <c r="B194" s="1649" t="s">
        <v>2000</v>
      </c>
      <c r="C194" s="1653"/>
      <c r="D194" s="1653"/>
      <c r="E194" s="1651"/>
      <c r="F194" s="1650" t="s">
        <v>470</v>
      </c>
      <c r="G194" s="1650" t="s">
        <v>882</v>
      </c>
      <c r="H194" s="1651"/>
      <c r="I194" s="1651"/>
      <c r="J194" s="1650" t="s">
        <v>882</v>
      </c>
      <c r="K194" s="1650" t="s">
        <v>883</v>
      </c>
      <c r="L194" s="1650" t="s">
        <v>884</v>
      </c>
      <c r="M194" s="1650" t="s">
        <v>885</v>
      </c>
      <c r="N194" s="1650" t="s">
        <v>2001</v>
      </c>
      <c r="O194" s="1652">
        <v>45664.44930555556</v>
      </c>
      <c r="P194" s="1652" t="str">
        <f>IFERROR(__xludf.DUMMYFUNCTION("IFERROR(
  TEXT(
    DATE(
      INDEX(SPLIT(O194,"" ""),3),
      VLOOKUP(INDEX(SPLIT(O194,"" ""),1),{""jan."",1;""Feb"",2;""mar."",3;""Apr"",4;""May"",5;""jun."",6;""jul."",7;""Aug"",8;""Sep"",9;""Oct"",10;""nov."",11;""Dec"",12},2,FALSE),
      INDEX(S"&amp;"PLIT(O194,"" ""),2)
    ),
    ""dd/mm/yyyy""
  ),
"""")"),"07/01/2025")</f>
        <v>07/01/2025</v>
      </c>
    </row>
    <row r="195">
      <c r="A195" s="1649" t="s">
        <v>2002</v>
      </c>
      <c r="B195" s="1649" t="s">
        <v>2003</v>
      </c>
      <c r="C195" s="1653"/>
      <c r="D195" s="1653"/>
      <c r="E195" s="1651"/>
      <c r="F195" s="1650" t="s">
        <v>470</v>
      </c>
      <c r="G195" s="1650" t="s">
        <v>882</v>
      </c>
      <c r="H195" s="1651"/>
      <c r="I195" s="1651"/>
      <c r="J195" s="1650" t="s">
        <v>882</v>
      </c>
      <c r="K195" s="1650" t="s">
        <v>883</v>
      </c>
      <c r="L195" s="1650" t="s">
        <v>884</v>
      </c>
      <c r="M195" s="1650" t="s">
        <v>885</v>
      </c>
      <c r="N195" s="1650" t="s">
        <v>2004</v>
      </c>
      <c r="O195" s="1652">
        <v>45664.44861111111</v>
      </c>
      <c r="P195" s="1652" t="str">
        <f>IFERROR(__xludf.DUMMYFUNCTION("IFERROR(
  TEXT(
    DATE(
      INDEX(SPLIT(O195,"" ""),3),
      VLOOKUP(INDEX(SPLIT(O195,"" ""),1),{""jan."",1;""Feb"",2;""mar."",3;""Apr"",4;""May"",5;""jun."",6;""jul."",7;""Aug"",8;""Sep"",9;""Oct"",10;""nov."",11;""Dec"",12},2,FALSE),
      INDEX(S"&amp;"PLIT(O195,"" ""),2)
    ),
    ""dd/mm/yyyy""
  ),
"""")"),"07/01/2025")</f>
        <v>07/01/2025</v>
      </c>
    </row>
    <row r="196">
      <c r="A196" s="1649" t="s">
        <v>2005</v>
      </c>
      <c r="B196" s="1649" t="s">
        <v>2006</v>
      </c>
      <c r="C196" s="1653"/>
      <c r="D196" s="1653"/>
      <c r="E196" s="1651"/>
      <c r="F196" s="1650" t="s">
        <v>470</v>
      </c>
      <c r="G196" s="1650" t="s">
        <v>882</v>
      </c>
      <c r="H196" s="1651"/>
      <c r="I196" s="1651"/>
      <c r="J196" s="1650" t="s">
        <v>882</v>
      </c>
      <c r="K196" s="1650" t="s">
        <v>883</v>
      </c>
      <c r="L196" s="1650" t="s">
        <v>884</v>
      </c>
      <c r="M196" s="1650" t="s">
        <v>885</v>
      </c>
      <c r="N196" s="1650" t="s">
        <v>2004</v>
      </c>
      <c r="O196" s="1652">
        <v>45664.44861111111</v>
      </c>
      <c r="P196" s="1652" t="str">
        <f>IFERROR(__xludf.DUMMYFUNCTION("IFERROR(
  TEXT(
    DATE(
      INDEX(SPLIT(O196,"" ""),3),
      VLOOKUP(INDEX(SPLIT(O196,"" ""),1),{""jan."",1;""Feb"",2;""mar."",3;""Apr"",4;""May"",5;""jun."",6;""jul."",7;""Aug"",8;""Sep"",9;""Oct"",10;""nov."",11;""Dec"",12},2,FALSE),
      INDEX(S"&amp;"PLIT(O196,"" ""),2)
    ),
    ""dd/mm/yyyy""
  ),
"""")"),"07/01/2025")</f>
        <v>07/01/2025</v>
      </c>
    </row>
    <row r="197">
      <c r="A197" s="1649" t="s">
        <v>2007</v>
      </c>
      <c r="B197" s="1649" t="s">
        <v>2008</v>
      </c>
      <c r="C197" s="1653"/>
      <c r="D197" s="1653"/>
      <c r="E197" s="1651"/>
      <c r="F197" s="1650" t="s">
        <v>470</v>
      </c>
      <c r="G197" s="1650" t="s">
        <v>882</v>
      </c>
      <c r="H197" s="1651"/>
      <c r="I197" s="1651"/>
      <c r="J197" s="1650" t="s">
        <v>882</v>
      </c>
      <c r="K197" s="1650" t="s">
        <v>883</v>
      </c>
      <c r="L197" s="1650" t="s">
        <v>884</v>
      </c>
      <c r="M197" s="1650" t="s">
        <v>885</v>
      </c>
      <c r="N197" s="1650" t="s">
        <v>2009</v>
      </c>
      <c r="O197" s="1652">
        <v>45664.44930555556</v>
      </c>
      <c r="P197" s="1652" t="str">
        <f>IFERROR(__xludf.DUMMYFUNCTION("IFERROR(
  TEXT(
    DATE(
      INDEX(SPLIT(O197,"" ""),3),
      VLOOKUP(INDEX(SPLIT(O197,"" ""),1),{""jan."",1;""Feb"",2;""mar."",3;""Apr"",4;""May"",5;""jun."",6;""jul."",7;""Aug"",8;""Sep"",9;""Oct"",10;""nov."",11;""Dec"",12},2,FALSE),
      INDEX(S"&amp;"PLIT(O197,"" ""),2)
    ),
    ""dd/mm/yyyy""
  ),
"""")"),"07/01/2025")</f>
        <v>07/01/2025</v>
      </c>
    </row>
    <row r="198">
      <c r="A198" s="1649" t="s">
        <v>2010</v>
      </c>
      <c r="B198" s="1649" t="s">
        <v>2011</v>
      </c>
      <c r="C198" s="1653"/>
      <c r="D198" s="1653"/>
      <c r="E198" s="1651"/>
      <c r="F198" s="1650" t="s">
        <v>470</v>
      </c>
      <c r="G198" s="1650" t="s">
        <v>882</v>
      </c>
      <c r="H198" s="1651"/>
      <c r="I198" s="1651"/>
      <c r="J198" s="1650" t="s">
        <v>882</v>
      </c>
      <c r="K198" s="1650" t="s">
        <v>883</v>
      </c>
      <c r="L198" s="1650" t="s">
        <v>884</v>
      </c>
      <c r="M198" s="1650" t="s">
        <v>885</v>
      </c>
      <c r="N198" s="1650" t="s">
        <v>2012</v>
      </c>
      <c r="O198" s="1652">
        <v>45664.44930555556</v>
      </c>
      <c r="P198" s="1652" t="str">
        <f>IFERROR(__xludf.DUMMYFUNCTION("IFERROR(
  TEXT(
    DATE(
      INDEX(SPLIT(O198,"" ""),3),
      VLOOKUP(INDEX(SPLIT(O198,"" ""),1),{""jan."",1;""Feb"",2;""mar."",3;""Apr"",4;""May"",5;""jun."",6;""jul."",7;""Aug"",8;""Sep"",9;""Oct"",10;""nov."",11;""Dec"",12},2,FALSE),
      INDEX(S"&amp;"PLIT(O198,"" ""),2)
    ),
    ""dd/mm/yyyy""
  ),
"""")"),"07/01/2025")</f>
        <v>07/01/2025</v>
      </c>
    </row>
    <row r="199">
      <c r="A199" s="1649" t="s">
        <v>2013</v>
      </c>
      <c r="B199" s="1649" t="s">
        <v>2014</v>
      </c>
      <c r="C199" s="1653"/>
      <c r="D199" s="1653"/>
      <c r="E199" s="1651"/>
      <c r="F199" s="1650" t="s">
        <v>596</v>
      </c>
      <c r="G199" s="1650" t="s">
        <v>882</v>
      </c>
      <c r="H199" s="1651"/>
      <c r="I199" s="1651"/>
      <c r="J199" s="1650" t="s">
        <v>882</v>
      </c>
      <c r="K199" s="1650" t="s">
        <v>883</v>
      </c>
      <c r="L199" s="1650" t="s">
        <v>884</v>
      </c>
      <c r="M199" s="1650" t="s">
        <v>885</v>
      </c>
      <c r="N199" s="1650" t="s">
        <v>2015</v>
      </c>
      <c r="O199" s="1650" t="s">
        <v>1996</v>
      </c>
      <c r="P199" s="1652" t="str">
        <f>IFERROR(__xludf.DUMMYFUNCTION("IFERROR(
  TEXT(
    DATE(
      INDEX(SPLIT(O199,"" ""),3),
      VLOOKUP(INDEX(SPLIT(O199,"" ""),1),{""jan."",1;""Feb"",2;""mar."",3;""Apr"",4;""May"",5;""jun."",6;""jul."",7;""Aug"",8;""Sep"",9;""Oct"",10;""nov."",11;""Dec"",12},2,FALSE),
      INDEX(S"&amp;"PLIT(O199,"" ""),2)
    ),
    ""dd/mm/yyyy""
  ),
"""")"),"18/12/2024")</f>
        <v>18/12/2024</v>
      </c>
    </row>
    <row r="200">
      <c r="A200" s="1649" t="s">
        <v>2016</v>
      </c>
      <c r="B200" s="1649" t="s">
        <v>2017</v>
      </c>
      <c r="C200" s="1653"/>
      <c r="D200" s="1653"/>
      <c r="E200" s="1651"/>
      <c r="F200" s="1650" t="s">
        <v>470</v>
      </c>
      <c r="G200" s="1650" t="s">
        <v>882</v>
      </c>
      <c r="H200" s="1651"/>
      <c r="I200" s="1651"/>
      <c r="J200" s="1650" t="s">
        <v>882</v>
      </c>
      <c r="K200" s="1650" t="s">
        <v>883</v>
      </c>
      <c r="L200" s="1650" t="s">
        <v>884</v>
      </c>
      <c r="M200" s="1650" t="s">
        <v>885</v>
      </c>
      <c r="N200" s="1650" t="s">
        <v>2018</v>
      </c>
      <c r="O200" s="1650" t="s">
        <v>1996</v>
      </c>
      <c r="P200" s="1652" t="str">
        <f>IFERROR(__xludf.DUMMYFUNCTION("IFERROR(
  TEXT(
    DATE(
      INDEX(SPLIT(O200,"" ""),3),
      VLOOKUP(INDEX(SPLIT(O200,"" ""),1),{""jan."",1;""Feb"",2;""mar."",3;""Apr"",4;""May"",5;""jun."",6;""jul."",7;""Aug"",8;""Sep"",9;""Oct"",10;""nov."",11;""Dec"",12},2,FALSE),
      INDEX(S"&amp;"PLIT(O200,"" ""),2)
    ),
    ""dd/mm/yyyy""
  ),
"""")"),"18/12/2024")</f>
        <v>18/12/2024</v>
      </c>
    </row>
    <row r="201">
      <c r="A201" s="1649" t="s">
        <v>2019</v>
      </c>
      <c r="B201" s="1649" t="s">
        <v>2020</v>
      </c>
      <c r="C201" s="1653"/>
      <c r="D201" s="1653"/>
      <c r="E201" s="1651"/>
      <c r="F201" s="1650" t="s">
        <v>470</v>
      </c>
      <c r="G201" s="1650" t="s">
        <v>882</v>
      </c>
      <c r="H201" s="1651"/>
      <c r="I201" s="1651"/>
      <c r="J201" s="1650" t="s">
        <v>882</v>
      </c>
      <c r="K201" s="1650" t="s">
        <v>883</v>
      </c>
      <c r="L201" s="1650" t="s">
        <v>884</v>
      </c>
      <c r="M201" s="1650" t="s">
        <v>885</v>
      </c>
      <c r="N201" s="1650" t="s">
        <v>2021</v>
      </c>
      <c r="O201" s="1650" t="s">
        <v>1996</v>
      </c>
      <c r="P201" s="1652" t="str">
        <f>IFERROR(__xludf.DUMMYFUNCTION("IFERROR(
  TEXT(
    DATE(
      INDEX(SPLIT(O201,"" ""),3),
      VLOOKUP(INDEX(SPLIT(O201,"" ""),1),{""jan."",1;""Feb"",2;""mar."",3;""Apr"",4;""May"",5;""jun."",6;""jul."",7;""Aug"",8;""Sep"",9;""Oct"",10;""nov."",11;""Dec"",12},2,FALSE),
      INDEX(S"&amp;"PLIT(O201,"" ""),2)
    ),
    ""dd/mm/yyyy""
  ),
"""")"),"18/12/2024")</f>
        <v>18/12/2024</v>
      </c>
    </row>
    <row r="202">
      <c r="A202" s="1649" t="s">
        <v>2022</v>
      </c>
      <c r="B202" s="1649" t="s">
        <v>2023</v>
      </c>
      <c r="C202" s="1653"/>
      <c r="D202" s="1653"/>
      <c r="E202" s="1651"/>
      <c r="F202" s="1650" t="s">
        <v>470</v>
      </c>
      <c r="G202" s="1650" t="s">
        <v>882</v>
      </c>
      <c r="H202" s="1651"/>
      <c r="I202" s="1651"/>
      <c r="J202" s="1650" t="s">
        <v>882</v>
      </c>
      <c r="K202" s="1650" t="s">
        <v>883</v>
      </c>
      <c r="L202" s="1650" t="s">
        <v>884</v>
      </c>
      <c r="M202" s="1650" t="s">
        <v>885</v>
      </c>
      <c r="N202" s="1650" t="s">
        <v>1792</v>
      </c>
      <c r="O202" s="1650" t="s">
        <v>1996</v>
      </c>
      <c r="P202" s="1652" t="str">
        <f>IFERROR(__xludf.DUMMYFUNCTION("IFERROR(
  TEXT(
    DATE(
      INDEX(SPLIT(O202,"" ""),3),
      VLOOKUP(INDEX(SPLIT(O202,"" ""),1),{""jan."",1;""Feb"",2;""mar."",3;""Apr"",4;""May"",5;""jun."",6;""jul."",7;""Aug"",8;""Sep"",9;""Oct"",10;""nov."",11;""Dec"",12},2,FALSE),
      INDEX(S"&amp;"PLIT(O202,"" ""),2)
    ),
    ""dd/mm/yyyy""
  ),
"""")"),"18/12/2024")</f>
        <v>18/12/2024</v>
      </c>
    </row>
    <row r="203">
      <c r="A203" s="1649" t="s">
        <v>2024</v>
      </c>
      <c r="B203" s="1649" t="s">
        <v>2025</v>
      </c>
      <c r="C203" s="1653"/>
      <c r="D203" s="1653"/>
      <c r="E203" s="1651"/>
      <c r="F203" s="1650" t="s">
        <v>470</v>
      </c>
      <c r="G203" s="1650" t="s">
        <v>882</v>
      </c>
      <c r="H203" s="1651"/>
      <c r="I203" s="1651"/>
      <c r="J203" s="1650" t="s">
        <v>882</v>
      </c>
      <c r="K203" s="1650" t="s">
        <v>883</v>
      </c>
      <c r="L203" s="1650" t="s">
        <v>884</v>
      </c>
      <c r="M203" s="1650" t="s">
        <v>885</v>
      </c>
      <c r="N203" s="1650" t="s">
        <v>1767</v>
      </c>
      <c r="O203" s="1650" t="s">
        <v>1996</v>
      </c>
      <c r="P203" s="1652" t="str">
        <f>IFERROR(__xludf.DUMMYFUNCTION("IFERROR(
  TEXT(
    DATE(
      INDEX(SPLIT(O203,"" ""),3),
      VLOOKUP(INDEX(SPLIT(O203,"" ""),1),{""jan."",1;""Feb"",2;""mar."",3;""Apr"",4;""May"",5;""jun."",6;""jul."",7;""Aug"",8;""Sep"",9;""Oct"",10;""nov."",11;""Dec"",12},2,FALSE),
      INDEX(S"&amp;"PLIT(O203,"" ""),2)
    ),
    ""dd/mm/yyyy""
  ),
"""")"),"18/12/2024")</f>
        <v>18/12/2024</v>
      </c>
    </row>
    <row r="204">
      <c r="A204" s="1649" t="s">
        <v>2026</v>
      </c>
      <c r="B204" s="1649" t="s">
        <v>2027</v>
      </c>
      <c r="C204" s="1650" t="s">
        <v>1428</v>
      </c>
      <c r="D204" s="1650" t="s">
        <v>881</v>
      </c>
      <c r="E204" s="1651"/>
      <c r="F204" s="1650" t="s">
        <v>490</v>
      </c>
      <c r="G204" s="1650" t="s">
        <v>882</v>
      </c>
      <c r="H204" s="1651"/>
      <c r="I204" s="1651"/>
      <c r="J204" s="1650" t="s">
        <v>882</v>
      </c>
      <c r="K204" s="1650" t="s">
        <v>883</v>
      </c>
      <c r="L204" s="1650" t="s">
        <v>884</v>
      </c>
      <c r="M204" s="1650" t="s">
        <v>885</v>
      </c>
      <c r="N204" s="1650" t="s">
        <v>2028</v>
      </c>
      <c r="O204" s="1652">
        <v>45965.61388888889</v>
      </c>
      <c r="P204" s="1652" t="str">
        <f>IFERROR(__xludf.DUMMYFUNCTION("IFERROR(
  TEXT(
    DATE(
      INDEX(SPLIT(O204,"" ""),3),
      VLOOKUP(INDEX(SPLIT(O204,"" ""),1),{""jan."",1;""Feb"",2;""mar."",3;""Apr"",4;""May"",5;""jun."",6;""jul."",7;""Aug"",8;""Sep"",9;""Oct"",10;""nov."",11;""Dec"",12},2,FALSE),
      INDEX(S"&amp;"PLIT(O204,"" ""),2)
    ),
    ""dd/mm/yyyy""
  ),
"""")"),"04/11/2025")</f>
        <v>04/11/2025</v>
      </c>
    </row>
    <row r="205">
      <c r="A205" s="1649" t="s">
        <v>2029</v>
      </c>
      <c r="B205" s="1649" t="s">
        <v>2030</v>
      </c>
      <c r="C205" s="1650" t="s">
        <v>1428</v>
      </c>
      <c r="D205" s="1650" t="s">
        <v>881</v>
      </c>
      <c r="E205" s="1651"/>
      <c r="F205" s="1650" t="s">
        <v>508</v>
      </c>
      <c r="G205" s="1650" t="s">
        <v>882</v>
      </c>
      <c r="H205" s="1651"/>
      <c r="I205" s="1651"/>
      <c r="J205" s="1650" t="s">
        <v>882</v>
      </c>
      <c r="K205" s="1650" t="s">
        <v>883</v>
      </c>
      <c r="L205" s="1650" t="s">
        <v>884</v>
      </c>
      <c r="M205" s="1650" t="s">
        <v>885</v>
      </c>
      <c r="N205" s="1650" t="s">
        <v>2031</v>
      </c>
      <c r="O205" s="1652">
        <v>45973.62222222222</v>
      </c>
      <c r="P205" s="1652" t="str">
        <f>IFERROR(__xludf.DUMMYFUNCTION("IFERROR(
  TEXT(
    DATE(
      INDEX(SPLIT(O205,"" ""),3),
      VLOOKUP(INDEX(SPLIT(O205,"" ""),1),{""jan."",1;""Feb"",2;""mar."",3;""Apr"",4;""May"",5;""jun."",6;""jul."",7;""Aug"",8;""Sep"",9;""Oct"",10;""nov."",11;""Dec"",12},2,FALSE),
      INDEX(S"&amp;"PLIT(O205,"" ""),2)
    ),
    ""dd/mm/yyyy""
  ),
"""")"),"12/11/2025")</f>
        <v>12/11/2025</v>
      </c>
    </row>
    <row r="206">
      <c r="A206" s="1649" t="s">
        <v>2032</v>
      </c>
      <c r="B206" s="1649" t="s">
        <v>2033</v>
      </c>
      <c r="C206" s="1650" t="s">
        <v>1428</v>
      </c>
      <c r="D206" s="1650" t="s">
        <v>881</v>
      </c>
      <c r="E206" s="1651"/>
      <c r="F206" s="1650" t="s">
        <v>490</v>
      </c>
      <c r="G206" s="1650" t="s">
        <v>882</v>
      </c>
      <c r="H206" s="1651"/>
      <c r="I206" s="1651"/>
      <c r="J206" s="1650" t="s">
        <v>882</v>
      </c>
      <c r="K206" s="1650" t="s">
        <v>883</v>
      </c>
      <c r="L206" s="1650" t="s">
        <v>884</v>
      </c>
      <c r="M206" s="1650" t="s">
        <v>885</v>
      </c>
      <c r="N206" s="1650" t="s">
        <v>2034</v>
      </c>
      <c r="O206" s="1652">
        <v>45973.63125</v>
      </c>
      <c r="P206" s="1652" t="str">
        <f>IFERROR(__xludf.DUMMYFUNCTION("IFERROR(
  TEXT(
    DATE(
      INDEX(SPLIT(O206,"" ""),3),
      VLOOKUP(INDEX(SPLIT(O206,"" ""),1),{""jan."",1;""Feb"",2;""mar."",3;""Apr"",4;""May"",5;""jun."",6;""jul."",7;""Aug"",8;""Sep"",9;""Oct"",10;""nov."",11;""Dec"",12},2,FALSE),
      INDEX(S"&amp;"PLIT(O206,"" ""),2)
    ),
    ""dd/mm/yyyy""
  ),
"""")"),"12/11/2025")</f>
        <v>12/11/2025</v>
      </c>
    </row>
    <row r="207">
      <c r="A207" s="1649" t="s">
        <v>2035</v>
      </c>
      <c r="B207" s="1649" t="s">
        <v>2036</v>
      </c>
      <c r="C207" s="1650" t="s">
        <v>1428</v>
      </c>
      <c r="D207" s="1650" t="s">
        <v>881</v>
      </c>
      <c r="E207" s="1651"/>
      <c r="F207" s="1650" t="s">
        <v>490</v>
      </c>
      <c r="G207" s="1650" t="s">
        <v>882</v>
      </c>
      <c r="H207" s="1651"/>
      <c r="I207" s="1651"/>
      <c r="J207" s="1650" t="s">
        <v>882</v>
      </c>
      <c r="K207" s="1650" t="s">
        <v>883</v>
      </c>
      <c r="L207" s="1650" t="s">
        <v>884</v>
      </c>
      <c r="M207" s="1650" t="s">
        <v>885</v>
      </c>
      <c r="N207" s="1650" t="s">
        <v>2037</v>
      </c>
      <c r="O207" s="1652">
        <v>45973.62847222222</v>
      </c>
      <c r="P207" s="1652" t="str">
        <f>IFERROR(__xludf.DUMMYFUNCTION("IFERROR(
  TEXT(
    DATE(
      INDEX(SPLIT(O207,"" ""),3),
      VLOOKUP(INDEX(SPLIT(O207,"" ""),1),{""jan."",1;""Feb"",2;""mar."",3;""Apr"",4;""May"",5;""jun."",6;""jul."",7;""Aug"",8;""Sep"",9;""Oct"",10;""nov."",11;""Dec"",12},2,FALSE),
      INDEX(S"&amp;"PLIT(O207,"" ""),2)
    ),
    ""dd/mm/yyyy""
  ),
"""")"),"12/11/2025")</f>
        <v>12/11/2025</v>
      </c>
    </row>
    <row r="208">
      <c r="A208" s="1649" t="s">
        <v>2038</v>
      </c>
      <c r="B208" s="1649" t="s">
        <v>2039</v>
      </c>
      <c r="C208" s="1650" t="s">
        <v>1428</v>
      </c>
      <c r="D208" s="1650" t="s">
        <v>881</v>
      </c>
      <c r="E208" s="1651"/>
      <c r="F208" s="1650" t="s">
        <v>508</v>
      </c>
      <c r="G208" s="1650" t="s">
        <v>882</v>
      </c>
      <c r="H208" s="1651"/>
      <c r="I208" s="1651"/>
      <c r="J208" s="1650" t="s">
        <v>882</v>
      </c>
      <c r="K208" s="1650" t="s">
        <v>883</v>
      </c>
      <c r="L208" s="1650" t="s">
        <v>884</v>
      </c>
      <c r="M208" s="1650" t="s">
        <v>885</v>
      </c>
      <c r="N208" s="1650" t="s">
        <v>2040</v>
      </c>
      <c r="O208" s="1650" t="s">
        <v>2041</v>
      </c>
      <c r="P208" s="1652" t="str">
        <f>IFERROR(__xludf.DUMMYFUNCTION("IFERROR(
  TEXT(
    DATE(
      INDEX(SPLIT(O208,"" ""),3),
      VLOOKUP(INDEX(SPLIT(O208,"" ""),1),{""jan."",1;""Feb"",2;""mar."",3;""Apr"",4;""May"",5;""jun."",6;""jul."",7;""Aug"",8;""Sep"",9;""Oct"",10;""nov."",11;""Dec"",12},2,FALSE),
      INDEX(S"&amp;"PLIT(O208,"" ""),2)
    ),
    ""dd/mm/yyyy""
  ),
"""")"),"17/12/2025")</f>
        <v>17/12/2025</v>
      </c>
    </row>
    <row r="209">
      <c r="A209" s="1649" t="s">
        <v>2042</v>
      </c>
      <c r="B209" s="1649" t="s">
        <v>2043</v>
      </c>
      <c r="C209" s="1650" t="s">
        <v>1428</v>
      </c>
      <c r="D209" s="1650" t="s">
        <v>881</v>
      </c>
      <c r="E209" s="1651"/>
      <c r="F209" s="1650" t="s">
        <v>490</v>
      </c>
      <c r="G209" s="1650" t="s">
        <v>882</v>
      </c>
      <c r="H209" s="1651"/>
      <c r="I209" s="1651"/>
      <c r="J209" s="1650" t="s">
        <v>882</v>
      </c>
      <c r="K209" s="1650" t="s">
        <v>883</v>
      </c>
      <c r="L209" s="1650" t="s">
        <v>884</v>
      </c>
      <c r="M209" s="1650" t="s">
        <v>885</v>
      </c>
      <c r="N209" s="1650" t="s">
        <v>2044</v>
      </c>
      <c r="O209" s="1652">
        <v>45973.63402777778</v>
      </c>
      <c r="P209" s="1652" t="str">
        <f>IFERROR(__xludf.DUMMYFUNCTION("IFERROR(
  TEXT(
    DATE(
      INDEX(SPLIT(O209,"" ""),3),
      VLOOKUP(INDEX(SPLIT(O209,"" ""),1),{""jan."",1;""Feb"",2;""mar."",3;""Apr"",4;""May"",5;""jun."",6;""jul."",7;""Aug"",8;""Sep"",9;""Oct"",10;""nov."",11;""Dec"",12},2,FALSE),
      INDEX(S"&amp;"PLIT(O209,"" ""),2)
    ),
    ""dd/mm/yyyy""
  ),
"""")"),"12/11/2025")</f>
        <v>12/11/2025</v>
      </c>
    </row>
    <row r="210">
      <c r="A210" s="1649" t="s">
        <v>2045</v>
      </c>
      <c r="B210" s="1649" t="s">
        <v>2046</v>
      </c>
      <c r="C210" s="1650" t="s">
        <v>1428</v>
      </c>
      <c r="D210" s="1650" t="s">
        <v>881</v>
      </c>
      <c r="E210" s="1651"/>
      <c r="F210" s="1650" t="s">
        <v>508</v>
      </c>
      <c r="G210" s="1650" t="s">
        <v>882</v>
      </c>
      <c r="H210" s="1651"/>
      <c r="I210" s="1651"/>
      <c r="J210" s="1650" t="s">
        <v>882</v>
      </c>
      <c r="K210" s="1650" t="s">
        <v>883</v>
      </c>
      <c r="L210" s="1650" t="s">
        <v>884</v>
      </c>
      <c r="M210" s="1650" t="s">
        <v>885</v>
      </c>
      <c r="N210" s="1650" t="s">
        <v>2047</v>
      </c>
      <c r="O210" s="1652">
        <v>45965.60972222222</v>
      </c>
      <c r="P210" s="1652" t="str">
        <f>IFERROR(__xludf.DUMMYFUNCTION("IFERROR(
  TEXT(
    DATE(
      INDEX(SPLIT(O210,"" ""),3),
      VLOOKUP(INDEX(SPLIT(O210,"" ""),1),{""jan."",1;""Feb"",2;""mar."",3;""Apr"",4;""May"",5;""jun."",6;""jul."",7;""Aug"",8;""Sep"",9;""Oct"",10;""nov."",11;""Dec"",12},2,FALSE),
      INDEX(S"&amp;"PLIT(O210,"" ""),2)
    ),
    ""dd/mm/yyyy""
  ),
"""")"),"04/11/2025")</f>
        <v>04/11/2025</v>
      </c>
    </row>
    <row r="211">
      <c r="A211" s="1649" t="s">
        <v>2048</v>
      </c>
      <c r="B211" s="1649" t="s">
        <v>2049</v>
      </c>
      <c r="C211" s="1650" t="s">
        <v>1428</v>
      </c>
      <c r="D211" s="1650" t="s">
        <v>881</v>
      </c>
      <c r="E211" s="1651"/>
      <c r="F211" s="1650" t="s">
        <v>486</v>
      </c>
      <c r="G211" s="1650" t="s">
        <v>882</v>
      </c>
      <c r="H211" s="1651"/>
      <c r="I211" s="1651"/>
      <c r="J211" s="1650" t="s">
        <v>882</v>
      </c>
      <c r="K211" s="1650" t="s">
        <v>883</v>
      </c>
      <c r="L211" s="1650" t="s">
        <v>884</v>
      </c>
      <c r="M211" s="1650" t="s">
        <v>885</v>
      </c>
      <c r="N211" s="1650" t="s">
        <v>2050</v>
      </c>
      <c r="O211" s="1652">
        <v>45965.61111111111</v>
      </c>
      <c r="P211" s="1652" t="str">
        <f>IFERROR(__xludf.DUMMYFUNCTION("IFERROR(
  TEXT(
    DATE(
      INDEX(SPLIT(O211,"" ""),3),
      VLOOKUP(INDEX(SPLIT(O211,"" ""),1),{""jan."",1;""Feb"",2;""mar."",3;""Apr"",4;""May"",5;""jun."",6;""jul."",7;""Aug"",8;""Sep"",9;""Oct"",10;""nov."",11;""Dec"",12},2,FALSE),
      INDEX(S"&amp;"PLIT(O211,"" ""),2)
    ),
    ""dd/mm/yyyy""
  ),
"""")"),"04/11/2025")</f>
        <v>04/11/2025</v>
      </c>
    </row>
    <row r="212">
      <c r="A212" s="1649" t="s">
        <v>2051</v>
      </c>
      <c r="B212" s="1649" t="s">
        <v>2052</v>
      </c>
      <c r="C212" s="1650" t="s">
        <v>1428</v>
      </c>
      <c r="D212" s="1650" t="s">
        <v>881</v>
      </c>
      <c r="E212" s="1651"/>
      <c r="F212" s="1650" t="s">
        <v>489</v>
      </c>
      <c r="G212" s="1650" t="s">
        <v>882</v>
      </c>
      <c r="H212" s="1651"/>
      <c r="I212" s="1651"/>
      <c r="J212" s="1650" t="s">
        <v>882</v>
      </c>
      <c r="K212" s="1650" t="s">
        <v>883</v>
      </c>
      <c r="L212" s="1650" t="s">
        <v>884</v>
      </c>
      <c r="M212" s="1650" t="s">
        <v>885</v>
      </c>
      <c r="N212" s="1650" t="s">
        <v>2053</v>
      </c>
      <c r="O212" s="1650" t="s">
        <v>2054</v>
      </c>
      <c r="P212" s="1652" t="str">
        <f>IFERROR(__xludf.DUMMYFUNCTION("IFERROR(
  TEXT(
    DATE(
      INDEX(SPLIT(O212,"" ""),3),
      VLOOKUP(INDEX(SPLIT(O212,"" ""),1),{""jan."",1;""Feb"",2;""mar."",3;""Apr"",4;""May"",5;""jun."",6;""jul."",7;""Aug"",8;""Sep"",9;""Oct"",10;""nov."",11;""Dec"",12},2,FALSE),
      INDEX(S"&amp;"PLIT(O212,"" ""),2)
    ),
    ""dd/mm/yyyy""
  ),
"""")"),"13/02/2026")</f>
        <v>13/02/2026</v>
      </c>
    </row>
    <row r="213">
      <c r="A213" s="1649" t="s">
        <v>2055</v>
      </c>
      <c r="B213" s="1649" t="s">
        <v>2056</v>
      </c>
      <c r="C213" s="1653"/>
      <c r="D213" s="1653"/>
      <c r="E213" s="1651"/>
      <c r="F213" s="1650" t="s">
        <v>489</v>
      </c>
      <c r="G213" s="1650" t="s">
        <v>882</v>
      </c>
      <c r="H213" s="1651"/>
      <c r="I213" s="1651"/>
      <c r="J213" s="1650" t="s">
        <v>882</v>
      </c>
      <c r="K213" s="1650" t="s">
        <v>883</v>
      </c>
      <c r="L213" s="1650" t="s">
        <v>884</v>
      </c>
      <c r="M213" s="1650" t="s">
        <v>885</v>
      </c>
      <c r="N213" s="1650" t="s">
        <v>2057</v>
      </c>
      <c r="O213" s="1650" t="s">
        <v>2058</v>
      </c>
      <c r="P213" s="1652" t="str">
        <f>IFERROR(__xludf.DUMMYFUNCTION("IFERROR(
  TEXT(
    DATE(
      INDEX(SPLIT(O213,"" ""),3),
      VLOOKUP(INDEX(SPLIT(O213,"" ""),1),{""jan."",1;""Feb"",2;""mar."",3;""Apr"",4;""May"",5;""jun."",6;""jul."",7;""Aug"",8;""Sep"",9;""Oct"",10;""nov."",11;""Dec"",12},2,FALSE),
      INDEX(S"&amp;"PLIT(O213,"" ""),2)
    ),
    ""dd/mm/yyyy""
  ),
"""")"),"22/04/2026")</f>
        <v>22/04/2026</v>
      </c>
    </row>
    <row r="214">
      <c r="A214" s="1649" t="s">
        <v>2059</v>
      </c>
      <c r="B214" s="1649" t="s">
        <v>2060</v>
      </c>
      <c r="C214" s="1653"/>
      <c r="D214" s="1653"/>
      <c r="E214" s="1651"/>
      <c r="F214" s="1650" t="s">
        <v>724</v>
      </c>
      <c r="G214" s="1650" t="s">
        <v>882</v>
      </c>
      <c r="H214" s="1651"/>
      <c r="I214" s="1651"/>
      <c r="J214" s="1650" t="s">
        <v>882</v>
      </c>
      <c r="K214" s="1650" t="s">
        <v>883</v>
      </c>
      <c r="L214" s="1650" t="s">
        <v>884</v>
      </c>
      <c r="M214" s="1650" t="s">
        <v>885</v>
      </c>
      <c r="N214" s="1650" t="s">
        <v>2061</v>
      </c>
      <c r="O214" s="1650" t="s">
        <v>2062</v>
      </c>
      <c r="P214" s="1652" t="str">
        <f>IFERROR(__xludf.DUMMYFUNCTION("IFERROR(
  TEXT(
    DATE(
      INDEX(SPLIT(O214,"" ""),3),
      VLOOKUP(INDEX(SPLIT(O214,"" ""),1),{""jan."",1;""Feb"",2;""mar."",3;""Apr"",4;""May"",5;""jun."",6;""jul."",7;""Aug"",8;""Sep"",9;""Oct"",10;""nov."",11;""Dec"",12},2,FALSE),
      INDEX(S"&amp;"PLIT(O214,"" ""),2)
    ),
    ""dd/mm/yyyy""
  ),
"""")"),"12/05/2026")</f>
        <v>12/05/2026</v>
      </c>
    </row>
    <row r="215">
      <c r="A215" s="1649" t="s">
        <v>2063</v>
      </c>
      <c r="B215" s="1649" t="s">
        <v>2064</v>
      </c>
      <c r="C215" s="1653"/>
      <c r="D215" s="1653"/>
      <c r="E215" s="1651"/>
      <c r="F215" s="1650" t="s">
        <v>500</v>
      </c>
      <c r="G215" s="1650" t="s">
        <v>882</v>
      </c>
      <c r="H215" s="1651"/>
      <c r="I215" s="1651"/>
      <c r="J215" s="1650" t="s">
        <v>882</v>
      </c>
      <c r="K215" s="1650" t="s">
        <v>883</v>
      </c>
      <c r="L215" s="1650" t="s">
        <v>884</v>
      </c>
      <c r="M215" s="1650" t="s">
        <v>885</v>
      </c>
      <c r="N215" s="1650" t="s">
        <v>2065</v>
      </c>
      <c r="O215" s="1650" t="s">
        <v>2066</v>
      </c>
      <c r="P215" s="1652" t="str">
        <f>IFERROR(__xludf.DUMMYFUNCTION("IFERROR(
  TEXT(
    DATE(
      INDEX(SPLIT(O215,"" ""),3),
      VLOOKUP(INDEX(SPLIT(O215,"" ""),1),{""jan."",1;""Feb"",2;""mar."",3;""Apr"",4;""May"",5;""jun."",6;""jul."",7;""Aug"",8;""Sep"",9;""Oct"",10;""nov."",11;""Dec"",12},2,FALSE),
      INDEX(S"&amp;"PLIT(O215,"" ""),2)
    ),
    ""dd/mm/yyyy""
  ),
"""")"),"28/04/2026")</f>
        <v>28/04/2026</v>
      </c>
    </row>
    <row r="216">
      <c r="A216" s="1649" t="s">
        <v>2067</v>
      </c>
      <c r="B216" s="1649" t="s">
        <v>2068</v>
      </c>
      <c r="C216" s="1653"/>
      <c r="D216" s="1653"/>
      <c r="E216" s="1651"/>
      <c r="F216" s="1650" t="s">
        <v>492</v>
      </c>
      <c r="G216" s="1650" t="s">
        <v>882</v>
      </c>
      <c r="H216" s="1651"/>
      <c r="I216" s="1651"/>
      <c r="J216" s="1650" t="s">
        <v>882</v>
      </c>
      <c r="K216" s="1650" t="s">
        <v>883</v>
      </c>
      <c r="L216" s="1650" t="s">
        <v>884</v>
      </c>
      <c r="M216" s="1650" t="s">
        <v>885</v>
      </c>
      <c r="N216" s="1650" t="s">
        <v>1159</v>
      </c>
      <c r="O216" s="1650" t="s">
        <v>2062</v>
      </c>
      <c r="P216" s="1652" t="str">
        <f>IFERROR(__xludf.DUMMYFUNCTION("IFERROR(
  TEXT(
    DATE(
      INDEX(SPLIT(O216,"" ""),3),
      VLOOKUP(INDEX(SPLIT(O216,"" ""),1),{""jan."",1;""Feb"",2;""mar."",3;""Apr"",4;""May"",5;""jun."",6;""jul."",7;""Aug"",8;""Sep"",9;""Oct"",10;""nov."",11;""Dec"",12},2,FALSE),
      INDEX(S"&amp;"PLIT(O216,"" ""),2)
    ),
    ""dd/mm/yyyy""
  ),
"""")"),"12/05/2026")</f>
        <v>12/05/2026</v>
      </c>
    </row>
    <row r="217">
      <c r="A217" s="1649" t="s">
        <v>2069</v>
      </c>
      <c r="B217" s="1649" t="s">
        <v>2070</v>
      </c>
      <c r="C217" s="1653"/>
      <c r="D217" s="1653"/>
      <c r="E217" s="1651"/>
      <c r="F217" s="1650" t="s">
        <v>470</v>
      </c>
      <c r="G217" s="1650" t="s">
        <v>882</v>
      </c>
      <c r="H217" s="1651"/>
      <c r="I217" s="1651"/>
      <c r="J217" s="1650" t="s">
        <v>882</v>
      </c>
      <c r="K217" s="1650" t="s">
        <v>883</v>
      </c>
      <c r="L217" s="1650" t="s">
        <v>884</v>
      </c>
      <c r="M217" s="1650" t="s">
        <v>885</v>
      </c>
      <c r="N217" s="1650" t="s">
        <v>2071</v>
      </c>
      <c r="O217" s="1650" t="s">
        <v>2072</v>
      </c>
      <c r="P217" s="1652" t="str">
        <f>IFERROR(__xludf.DUMMYFUNCTION("IFERROR(
  TEXT(
    DATE(
      INDEX(SPLIT(O217,"" ""),3),
      VLOOKUP(INDEX(SPLIT(O217,"" ""),1),{""jan."",1;""Feb"",2;""mar."",3;""Apr"",4;""May"",5;""jun."",6;""jul."",7;""Aug"",8;""Sep"",9;""Oct"",10;""nov."",11;""Dec"",12},2,FALSE),
      INDEX(S"&amp;"PLIT(O217,"" ""),2)
    ),
    ""dd/mm/yyyy""
  ),
"""")"),"05/05/2026")</f>
        <v>05/05/2026</v>
      </c>
    </row>
    <row r="218">
      <c r="A218" s="1649" t="s">
        <v>2073</v>
      </c>
      <c r="B218" s="1649" t="s">
        <v>2074</v>
      </c>
      <c r="C218" s="1653"/>
      <c r="D218" s="1653"/>
      <c r="E218" s="1651"/>
      <c r="F218" s="1650" t="s">
        <v>470</v>
      </c>
      <c r="G218" s="1650" t="s">
        <v>882</v>
      </c>
      <c r="H218" s="1651"/>
      <c r="I218" s="1651"/>
      <c r="J218" s="1650" t="s">
        <v>882</v>
      </c>
      <c r="K218" s="1650" t="s">
        <v>883</v>
      </c>
      <c r="L218" s="1650" t="s">
        <v>884</v>
      </c>
      <c r="M218" s="1650" t="s">
        <v>885</v>
      </c>
      <c r="N218" s="1650" t="s">
        <v>2075</v>
      </c>
      <c r="O218" s="1650" t="s">
        <v>2076</v>
      </c>
      <c r="P218" s="1652" t="str">
        <f>IFERROR(__xludf.DUMMYFUNCTION("IFERROR(
  TEXT(
    DATE(
      INDEX(SPLIT(O218,"" ""),3),
      VLOOKUP(INDEX(SPLIT(O218,"" ""),1),{""jan."",1;""Feb"",2;""mar."",3;""Apr"",4;""May"",5;""jun."",6;""jul."",7;""Aug"",8;""Sep"",9;""Oct"",10;""nov."",11;""Dec"",12},2,FALSE),
      INDEX(S"&amp;"PLIT(O218,"" ""),2)
    ),
    ""dd/mm/yyyy""
  ),
"""")"),"05/05/2026")</f>
        <v>05/05/2026</v>
      </c>
    </row>
    <row r="219">
      <c r="A219" s="1649" t="s">
        <v>2077</v>
      </c>
      <c r="B219" s="1649" t="s">
        <v>2078</v>
      </c>
      <c r="C219" s="1650" t="s">
        <v>1428</v>
      </c>
      <c r="D219" s="1650" t="s">
        <v>881</v>
      </c>
      <c r="E219" s="1651"/>
      <c r="F219" s="1650" t="s">
        <v>489</v>
      </c>
      <c r="G219" s="1650" t="s">
        <v>882</v>
      </c>
      <c r="H219" s="1651"/>
      <c r="I219" s="1651"/>
      <c r="J219" s="1650" t="s">
        <v>882</v>
      </c>
      <c r="K219" s="1650" t="s">
        <v>883</v>
      </c>
      <c r="L219" s="1650" t="s">
        <v>884</v>
      </c>
      <c r="M219" s="1650" t="s">
        <v>885</v>
      </c>
      <c r="N219" s="1650" t="s">
        <v>2079</v>
      </c>
      <c r="O219" s="1650" t="s">
        <v>2080</v>
      </c>
      <c r="P219" s="1652" t="str">
        <f>IFERROR(__xludf.DUMMYFUNCTION("IFERROR(
  TEXT(
    DATE(
      INDEX(SPLIT(O219,"" ""),3),
      VLOOKUP(INDEX(SPLIT(O219,"" ""),1),{""jan."",1;""Feb"",2;""mar."",3;""Apr"",4;""May"",5;""jun."",6;""jul."",7;""Aug"",8;""Sep"",9;""Oct"",10;""nov."",11;""Dec"",12},2,FALSE),
      INDEX(S"&amp;"PLIT(O219,"" ""),2)
    ),
    ""dd/mm/yyyy""
  ),
"""")"),"22/04/2026")</f>
        <v>22/04/2026</v>
      </c>
    </row>
    <row r="220">
      <c r="A220" s="1649" t="s">
        <v>2081</v>
      </c>
      <c r="B220" s="1649" t="s">
        <v>2082</v>
      </c>
      <c r="C220" s="1650" t="s">
        <v>1428</v>
      </c>
      <c r="D220" s="1650" t="s">
        <v>881</v>
      </c>
      <c r="E220" s="1651"/>
      <c r="F220" s="1650" t="s">
        <v>724</v>
      </c>
      <c r="G220" s="1650" t="s">
        <v>882</v>
      </c>
      <c r="H220" s="1651"/>
      <c r="I220" s="1651"/>
      <c r="J220" s="1650" t="s">
        <v>882</v>
      </c>
      <c r="K220" s="1650" t="s">
        <v>883</v>
      </c>
      <c r="L220" s="1650" t="s">
        <v>884</v>
      </c>
      <c r="M220" s="1650" t="s">
        <v>885</v>
      </c>
      <c r="N220" s="1650" t="s">
        <v>1091</v>
      </c>
      <c r="O220" s="1650" t="s">
        <v>2083</v>
      </c>
      <c r="P220" s="1652" t="str">
        <f>IFERROR(__xludf.DUMMYFUNCTION("IFERROR(
  TEXT(
    DATE(
      INDEX(SPLIT(O220,"" ""),3),
      VLOOKUP(INDEX(SPLIT(O220,"" ""),1),{""jan."",1;""Feb"",2;""mar."",3;""Apr"",4;""May"",5;""jun."",6;""jul."",7;""Aug"",8;""Sep"",9;""Oct"",10;""nov."",11;""Dec"",12},2,FALSE),
      INDEX(S"&amp;"PLIT(O220,"" ""),2)
    ),
    ""dd/mm/yyyy""
  ),
"""")"),"12/05/2026")</f>
        <v>12/05/2026</v>
      </c>
    </row>
    <row r="221">
      <c r="A221" s="1649" t="s">
        <v>2084</v>
      </c>
      <c r="B221" s="1649" t="s">
        <v>2085</v>
      </c>
      <c r="C221" s="1650" t="s">
        <v>1428</v>
      </c>
      <c r="D221" s="1650" t="s">
        <v>881</v>
      </c>
      <c r="E221" s="1651"/>
      <c r="F221" s="1650" t="s">
        <v>500</v>
      </c>
      <c r="G221" s="1650" t="s">
        <v>882</v>
      </c>
      <c r="H221" s="1651"/>
      <c r="I221" s="1651"/>
      <c r="J221" s="1650" t="s">
        <v>882</v>
      </c>
      <c r="K221" s="1650" t="s">
        <v>883</v>
      </c>
      <c r="L221" s="1650" t="s">
        <v>884</v>
      </c>
      <c r="M221" s="1650" t="s">
        <v>885</v>
      </c>
      <c r="N221" s="1650" t="s">
        <v>957</v>
      </c>
      <c r="O221" s="1650" t="s">
        <v>2086</v>
      </c>
      <c r="P221" s="1652" t="str">
        <f>IFERROR(__xludf.DUMMYFUNCTION("IFERROR(
  TEXT(
    DATE(
      INDEX(SPLIT(O221,"" ""),3),
      VLOOKUP(INDEX(SPLIT(O221,"" ""),1),{""jan."",1;""Feb"",2;""mar."",3;""Apr"",4;""May"",5;""jun."",6;""jul."",7;""Aug"",8;""Sep"",9;""Oct"",10;""nov."",11;""Dec"",12},2,FALSE),
      INDEX(S"&amp;"PLIT(O221,"" ""),2)
    ),
    ""dd/mm/yyyy""
  ),
"""")"),"28/04/2026")</f>
        <v>28/04/2026</v>
      </c>
    </row>
    <row r="222">
      <c r="A222" s="1649" t="s">
        <v>2087</v>
      </c>
      <c r="B222" s="1649" t="s">
        <v>2088</v>
      </c>
      <c r="C222" s="1650" t="s">
        <v>1428</v>
      </c>
      <c r="D222" s="1650" t="s">
        <v>881</v>
      </c>
      <c r="E222" s="1651"/>
      <c r="F222" s="1650" t="s">
        <v>492</v>
      </c>
      <c r="G222" s="1650" t="s">
        <v>882</v>
      </c>
      <c r="H222" s="1651"/>
      <c r="I222" s="1651"/>
      <c r="J222" s="1650" t="s">
        <v>882</v>
      </c>
      <c r="K222" s="1650" t="s">
        <v>883</v>
      </c>
      <c r="L222" s="1650" t="s">
        <v>884</v>
      </c>
      <c r="M222" s="1650" t="s">
        <v>885</v>
      </c>
      <c r="N222" s="1650" t="s">
        <v>2089</v>
      </c>
      <c r="O222" s="1650" t="s">
        <v>2062</v>
      </c>
      <c r="P222" s="1652" t="str">
        <f>IFERROR(__xludf.DUMMYFUNCTION("IFERROR(
  TEXT(
    DATE(
      INDEX(SPLIT(O222,"" ""),3),
      VLOOKUP(INDEX(SPLIT(O222,"" ""),1),{""jan."",1;""Feb"",2;""mar."",3;""Apr"",4;""May"",5;""jun."",6;""jul."",7;""Aug"",8;""Sep"",9;""Oct"",10;""nov."",11;""Dec"",12},2,FALSE),
      INDEX(S"&amp;"PLIT(O222,"" ""),2)
    ),
    ""dd/mm/yyyy""
  ),
"""")"),"12/05/2026")</f>
        <v>12/05/2026</v>
      </c>
    </row>
    <row r="223">
      <c r="A223" s="1649" t="s">
        <v>2090</v>
      </c>
      <c r="B223" s="1649" t="s">
        <v>2091</v>
      </c>
      <c r="C223" s="1650" t="s">
        <v>1428</v>
      </c>
      <c r="D223" s="1650" t="s">
        <v>881</v>
      </c>
      <c r="E223" s="1651"/>
      <c r="F223" s="1650" t="s">
        <v>470</v>
      </c>
      <c r="G223" s="1650" t="s">
        <v>882</v>
      </c>
      <c r="H223" s="1651"/>
      <c r="I223" s="1651"/>
      <c r="J223" s="1650" t="s">
        <v>882</v>
      </c>
      <c r="K223" s="1650" t="s">
        <v>883</v>
      </c>
      <c r="L223" s="1650" t="s">
        <v>884</v>
      </c>
      <c r="M223" s="1650" t="s">
        <v>885</v>
      </c>
      <c r="N223" s="1650" t="s">
        <v>2092</v>
      </c>
      <c r="O223" s="1650" t="s">
        <v>2093</v>
      </c>
      <c r="P223" s="1652" t="str">
        <f>IFERROR(__xludf.DUMMYFUNCTION("IFERROR(
  TEXT(
    DATE(
      INDEX(SPLIT(O223,"" ""),3),
      VLOOKUP(INDEX(SPLIT(O223,"" ""),1),{""jan."",1;""Feb"",2;""mar."",3;""Apr"",4;""May"",5;""jun."",6;""jul."",7;""Aug"",8;""Sep"",9;""Oct"",10;""nov."",11;""Dec"",12},2,FALSE),
      INDEX(S"&amp;"PLIT(O223,"" ""),2)
    ),
    ""dd/mm/yyyy""
  ),
"""")"),"05/05/2026")</f>
        <v>05/05/2026</v>
      </c>
    </row>
    <row r="224">
      <c r="A224" s="1649" t="s">
        <v>2094</v>
      </c>
      <c r="B224" s="1649" t="s">
        <v>2095</v>
      </c>
      <c r="C224" s="1650" t="s">
        <v>1428</v>
      </c>
      <c r="D224" s="1650" t="s">
        <v>881</v>
      </c>
      <c r="E224" s="1651"/>
      <c r="F224" s="1650" t="s">
        <v>470</v>
      </c>
      <c r="G224" s="1650" t="s">
        <v>882</v>
      </c>
      <c r="H224" s="1651"/>
      <c r="I224" s="1651"/>
      <c r="J224" s="1650" t="s">
        <v>882</v>
      </c>
      <c r="K224" s="1650" t="s">
        <v>883</v>
      </c>
      <c r="L224" s="1650" t="s">
        <v>884</v>
      </c>
      <c r="M224" s="1650" t="s">
        <v>885</v>
      </c>
      <c r="N224" s="1650" t="s">
        <v>2096</v>
      </c>
      <c r="O224" s="1650" t="s">
        <v>2076</v>
      </c>
      <c r="P224" s="1652" t="str">
        <f>IFERROR(__xludf.DUMMYFUNCTION("IFERROR(
  TEXT(
    DATE(
      INDEX(SPLIT(O224,"" ""),3),
      VLOOKUP(INDEX(SPLIT(O224,"" ""),1),{""jan."",1;""Feb"",2;""mar."",3;""Apr"",4;""May"",5;""jun."",6;""jul."",7;""Aug"",8;""Sep"",9;""Oct"",10;""nov."",11;""Dec"",12},2,FALSE),
      INDEX(S"&amp;"PLIT(O224,"" ""),2)
    ),
    ""dd/mm/yyyy""
  ),
"""")"),"05/05/2026")</f>
        <v>05/05/2026</v>
      </c>
    </row>
    <row r="225">
      <c r="A225" s="1654"/>
      <c r="B225" s="1654"/>
      <c r="C225" s="1653"/>
      <c r="D225" s="1653"/>
      <c r="E225" s="1651"/>
      <c r="F225" s="1650"/>
      <c r="G225" s="1650"/>
      <c r="H225" s="1651"/>
      <c r="I225" s="1651"/>
      <c r="J225" s="1650"/>
      <c r="K225" s="1650"/>
      <c r="L225" s="1650"/>
      <c r="M225" s="1650"/>
      <c r="N225" s="1650"/>
      <c r="O225" s="1650"/>
      <c r="P225" s="1652" t="str">
        <f>IFERROR(__xludf.DUMMYFUNCTION("IFERROR(
  TEXT(
    DATE(
      INDEX(SPLIT(O225,"" ""),3),
      VLOOKUP(INDEX(SPLIT(O225,"" ""),1),{""jan."",1;""Feb"",2;""mar."",3;""Apr"",4;""May"",5;""jun."",6;""jul."",7;""Aug"",8;""Sep"",9;""Oct"",10;""nov."",11;""Dec"",12},2,FALSE),
      INDEX(S"&amp;"PLIT(O225,"" ""),2)
    ),
    ""dd/mm/yyyy""
  ),
"""")"),"")</f>
        <v/>
      </c>
    </row>
    <row r="226">
      <c r="A226" s="1654"/>
      <c r="B226" s="1654"/>
      <c r="C226" s="1651"/>
      <c r="D226" s="1651"/>
      <c r="E226" s="1651"/>
      <c r="F226" s="1650"/>
      <c r="G226" s="1650"/>
      <c r="H226" s="1651"/>
      <c r="I226" s="1651"/>
      <c r="J226" s="1650"/>
      <c r="K226" s="1650"/>
      <c r="L226" s="1650"/>
      <c r="M226" s="1650"/>
      <c r="N226" s="1650"/>
      <c r="O226" s="1650"/>
      <c r="P226" s="1652" t="str">
        <f>IFERROR(__xludf.DUMMYFUNCTION("IFERROR(
  TEXT(
    DATE(
      INDEX(SPLIT(O226,"" ""),3),
      VLOOKUP(INDEX(SPLIT(O226,"" ""),1),{""jan."",1;""Feb"",2;""mar."",3;""Apr"",4;""May"",5;""jun."",6;""jul."",7;""Aug"",8;""Sep"",9;""Oct"",10;""nov."",11;""Dec"",12},2,FALSE),
      INDEX(S"&amp;"PLIT(O226,"" ""),2)
    ),
    ""dd/mm/yyyy""
  ),
"""")"),"")</f>
        <v/>
      </c>
    </row>
    <row r="227">
      <c r="A227" s="1654"/>
      <c r="B227" s="1654"/>
      <c r="C227" s="1651"/>
      <c r="D227" s="1651"/>
      <c r="E227" s="1651"/>
      <c r="F227" s="1650"/>
      <c r="G227" s="1650"/>
      <c r="H227" s="1651"/>
      <c r="I227" s="1651"/>
      <c r="J227" s="1650"/>
      <c r="K227" s="1650"/>
      <c r="L227" s="1650"/>
      <c r="M227" s="1650"/>
      <c r="N227" s="1650"/>
      <c r="O227" s="1650"/>
      <c r="P227" s="1652" t="str">
        <f>IFERROR(__xludf.DUMMYFUNCTION("IFERROR(
  TEXT(
    DATE(
      INDEX(SPLIT(O227,"" ""),3),
      VLOOKUP(INDEX(SPLIT(O227,"" ""),1),{""jan."",1;""Feb"",2;""mar."",3;""Apr"",4;""May"",5;""jun."",6;""jul."",7;""Aug"",8;""Sep"",9;""Oct"",10;""nov."",11;""Dec"",12},2,FALSE),
      INDEX(S"&amp;"PLIT(O227,"" ""),2)
    ),
    ""dd/mm/yyyy""
  ),
"""")"),"")</f>
        <v/>
      </c>
    </row>
    <row r="228">
      <c r="A228" s="1654"/>
      <c r="B228" s="1654"/>
      <c r="C228" s="1651"/>
      <c r="D228" s="1651"/>
      <c r="E228" s="1651"/>
      <c r="F228" s="1650"/>
      <c r="G228" s="1650"/>
      <c r="H228" s="1651"/>
      <c r="I228" s="1651"/>
      <c r="J228" s="1650"/>
      <c r="K228" s="1650"/>
      <c r="L228" s="1650"/>
      <c r="M228" s="1650"/>
      <c r="N228" s="1650"/>
      <c r="O228" s="1650"/>
      <c r="P228" s="1652" t="str">
        <f>IFERROR(__xludf.DUMMYFUNCTION("IFERROR(
  TEXT(
    DATE(
      INDEX(SPLIT(O228,"" ""),3),
      VLOOKUP(INDEX(SPLIT(O228,"" ""),1),{""jan."",1;""Feb"",2;""mar."",3;""Apr"",4;""May"",5;""jun."",6;""jul."",7;""Aug"",8;""Sep"",9;""Oct"",10;""nov."",11;""Dec"",12},2,FALSE),
      INDEX(S"&amp;"PLIT(O228,"" ""),2)
    ),
    ""dd/mm/yyyy""
  ),
"""")"),"")</f>
        <v/>
      </c>
    </row>
    <row r="229">
      <c r="A229" s="1654"/>
      <c r="B229" s="1654"/>
      <c r="C229" s="1651"/>
      <c r="D229" s="1651"/>
      <c r="E229" s="1651"/>
      <c r="F229" s="1650"/>
      <c r="G229" s="1650"/>
      <c r="H229" s="1651"/>
      <c r="I229" s="1651"/>
      <c r="J229" s="1650"/>
      <c r="K229" s="1650"/>
      <c r="L229" s="1650"/>
      <c r="M229" s="1650"/>
      <c r="N229" s="1650"/>
      <c r="O229" s="1650"/>
      <c r="P229" s="1652" t="str">
        <f>IFERROR(__xludf.DUMMYFUNCTION("IFERROR(
  TEXT(
    DATE(
      INDEX(SPLIT(O229,"" ""),3),
      VLOOKUP(INDEX(SPLIT(O229,"" ""),1),{""jan."",1;""Feb"",2;""mar."",3;""Apr"",4;""May"",5;""jun."",6;""jul."",7;""Aug"",8;""Sep"",9;""Oct"",10;""nov."",11;""Dec"",12},2,FALSE),
      INDEX(S"&amp;"PLIT(O229,"" ""),2)
    ),
    ""dd/mm/yyyy""
  ),
"""")"),"")</f>
        <v/>
      </c>
    </row>
    <row r="230">
      <c r="A230" s="1654"/>
      <c r="B230" s="1654"/>
      <c r="C230" s="1651"/>
      <c r="D230" s="1651"/>
      <c r="E230" s="1651"/>
      <c r="F230" s="1650"/>
      <c r="G230" s="1650"/>
      <c r="H230" s="1651"/>
      <c r="I230" s="1651"/>
      <c r="J230" s="1650"/>
      <c r="K230" s="1650"/>
      <c r="L230" s="1650"/>
      <c r="M230" s="1650"/>
      <c r="N230" s="1650"/>
      <c r="O230" s="1650"/>
      <c r="P230" s="1652" t="str">
        <f>IFERROR(__xludf.DUMMYFUNCTION("IFERROR(
  TEXT(
    DATE(
      INDEX(SPLIT(O230,"" ""),3),
      VLOOKUP(INDEX(SPLIT(O230,"" ""),1),{""jan."",1;""Feb"",2;""mar."",3;""Apr"",4;""May"",5;""jun."",6;""jul."",7;""Aug"",8;""Sep"",9;""Oct"",10;""nov."",11;""Dec"",12},2,FALSE),
      INDEX(S"&amp;"PLIT(O230,"" ""),2)
    ),
    ""dd/mm/yyyy""
  ),
"""")"),"")</f>
        <v/>
      </c>
    </row>
    <row r="231">
      <c r="A231" s="1654"/>
      <c r="B231" s="1654"/>
      <c r="C231" s="1650"/>
      <c r="D231" s="1650"/>
      <c r="E231" s="1651"/>
      <c r="F231" s="1650"/>
      <c r="G231" s="1650"/>
      <c r="H231" s="1651"/>
      <c r="I231" s="1651"/>
      <c r="J231" s="1650"/>
      <c r="K231" s="1650"/>
      <c r="L231" s="1650"/>
      <c r="M231" s="1650"/>
      <c r="N231" s="1650"/>
      <c r="O231" s="1650"/>
      <c r="P231" s="1652" t="str">
        <f>IFERROR(__xludf.DUMMYFUNCTION("IFERROR(
  TEXT(
    DATE(
      INDEX(SPLIT(O231,"" ""),3),
      VLOOKUP(INDEX(SPLIT(O231,"" ""),1),{""jan."",1;""Feb"",2;""mar."",3;""Apr"",4;""May"",5;""jun."",6;""jul."",7;""Aug"",8;""Sep"",9;""Oct"",10;""nov."",11;""Dec"",12},2,FALSE),
      INDEX(S"&amp;"PLIT(O231,"" ""),2)
    ),
    ""dd/mm/yyyy""
  ),
"""")"),"")</f>
        <v/>
      </c>
    </row>
    <row r="232">
      <c r="A232" s="1654"/>
      <c r="B232" s="1654"/>
      <c r="C232" s="1650"/>
      <c r="D232" s="1650"/>
      <c r="E232" s="1651"/>
      <c r="F232" s="1650"/>
      <c r="G232" s="1650"/>
      <c r="H232" s="1651"/>
      <c r="I232" s="1651"/>
      <c r="J232" s="1650"/>
      <c r="K232" s="1650"/>
      <c r="L232" s="1650"/>
      <c r="M232" s="1650"/>
      <c r="N232" s="1650"/>
      <c r="O232" s="1650"/>
      <c r="P232" s="1652" t="str">
        <f>IFERROR(__xludf.DUMMYFUNCTION("IFERROR(
  TEXT(
    DATE(
      INDEX(SPLIT(O232,"" ""),3),
      VLOOKUP(INDEX(SPLIT(O232,"" ""),1),{""jan."",1;""Feb"",2;""mar."",3;""Apr"",4;""May"",5;""jun."",6;""jul."",7;""Aug"",8;""Sep"",9;""Oct"",10;""nov."",11;""Dec"",12},2,FALSE),
      INDEX(S"&amp;"PLIT(O232,"" ""),2)
    ),
    ""dd/mm/yyyy""
  ),
"""")"),"")</f>
        <v/>
      </c>
    </row>
    <row r="233">
      <c r="A233" s="1654"/>
      <c r="B233" s="1654"/>
      <c r="C233" s="1650"/>
      <c r="D233" s="1650"/>
      <c r="E233" s="1651"/>
      <c r="F233" s="1650"/>
      <c r="G233" s="1650"/>
      <c r="H233" s="1651"/>
      <c r="I233" s="1651"/>
      <c r="J233" s="1650"/>
      <c r="K233" s="1650"/>
      <c r="L233" s="1650"/>
      <c r="M233" s="1650"/>
      <c r="N233" s="1650"/>
      <c r="O233" s="1650"/>
      <c r="P233" s="1652" t="str">
        <f>IFERROR(__xludf.DUMMYFUNCTION("IFERROR(
  TEXT(
    DATE(
      INDEX(SPLIT(O233,"" ""),3),
      VLOOKUP(INDEX(SPLIT(O233,"" ""),1),{""jan."",1;""Feb"",2;""mar."",3;""Apr"",4;""May"",5;""jun."",6;""jul."",7;""Aug"",8;""Sep"",9;""Oct"",10;""nov."",11;""Dec"",12},2,FALSE),
      INDEX(S"&amp;"PLIT(O233,"" ""),2)
    ),
    ""dd/mm/yyyy""
  ),
"""")"),"")</f>
        <v/>
      </c>
    </row>
    <row r="234">
      <c r="A234" s="1654"/>
      <c r="B234" s="1654"/>
      <c r="C234" s="1650"/>
      <c r="D234" s="1650"/>
      <c r="E234" s="1651"/>
      <c r="F234" s="1650"/>
      <c r="G234" s="1650"/>
      <c r="H234" s="1651"/>
      <c r="I234" s="1651"/>
      <c r="J234" s="1650"/>
      <c r="K234" s="1650"/>
      <c r="L234" s="1650"/>
      <c r="M234" s="1650"/>
      <c r="N234" s="1650"/>
      <c r="O234" s="1650"/>
      <c r="P234" s="1652" t="str">
        <f>IFERROR(__xludf.DUMMYFUNCTION("IFERROR(
  TEXT(
    DATE(
      INDEX(SPLIT(O234,"" ""),3),
      VLOOKUP(INDEX(SPLIT(O234,"" ""),1),{""jan."",1;""Feb"",2;""mar."",3;""Apr"",4;""May"",5;""jun."",6;""jul."",7;""Aug"",8;""Sep"",9;""Oct"",10;""nov."",11;""Dec"",12},2,FALSE),
      INDEX(S"&amp;"PLIT(O234,"" ""),2)
    ),
    ""dd/mm/yyyy""
  ),
"""")"),"")</f>
        <v/>
      </c>
    </row>
    <row r="235">
      <c r="A235" s="1654"/>
      <c r="B235" s="1654"/>
      <c r="C235" s="1650"/>
      <c r="D235" s="1650"/>
      <c r="E235" s="1651"/>
      <c r="F235" s="1650"/>
      <c r="G235" s="1650"/>
      <c r="H235" s="1651"/>
      <c r="I235" s="1651"/>
      <c r="J235" s="1650"/>
      <c r="K235" s="1650"/>
      <c r="L235" s="1650"/>
      <c r="M235" s="1650"/>
      <c r="N235" s="1650"/>
      <c r="O235" s="1650"/>
      <c r="P235" s="1652" t="str">
        <f>IFERROR(__xludf.DUMMYFUNCTION("IFERROR(
  TEXT(
    DATE(
      INDEX(SPLIT(O235,"" ""),3),
      VLOOKUP(INDEX(SPLIT(O235,"" ""),1),{""jan."",1;""Feb"",2;""mar."",3;""Apr"",4;""May"",5;""jun."",6;""jul."",7;""Aug"",8;""Sep"",9;""Oct"",10;""nov."",11;""Dec"",12},2,FALSE),
      INDEX(S"&amp;"PLIT(O235,"" ""),2)
    ),
    ""dd/mm/yyyy""
  ),
"""")"),"")</f>
        <v/>
      </c>
    </row>
    <row r="236">
      <c r="A236" s="1654"/>
      <c r="B236" s="1654"/>
      <c r="C236" s="1650"/>
      <c r="D236" s="1650"/>
      <c r="E236" s="1651"/>
      <c r="F236" s="1650"/>
      <c r="G236" s="1650"/>
      <c r="H236" s="1651"/>
      <c r="I236" s="1651"/>
      <c r="J236" s="1650"/>
      <c r="K236" s="1650"/>
      <c r="L236" s="1650"/>
      <c r="M236" s="1650"/>
      <c r="N236" s="1650"/>
      <c r="O236" s="1650"/>
      <c r="P236" s="1652" t="str">
        <f>IFERROR(__xludf.DUMMYFUNCTION("IFERROR(
  TEXT(
    DATE(
      INDEX(SPLIT(O236,"" ""),3),
      VLOOKUP(INDEX(SPLIT(O236,"" ""),1),{""jan."",1;""Feb"",2;""mar."",3;""Apr"",4;""May"",5;""jun."",6;""jul."",7;""Aug"",8;""Sep"",9;""Oct"",10;""nov."",11;""Dec"",12},2,FALSE),
      INDEX(S"&amp;"PLIT(O236,"" ""),2)
    ),
    ""dd/mm/yyyy""
  ),
"""")"),"")</f>
        <v/>
      </c>
    </row>
  </sheetData>
  <autoFilter ref="$A$1:$W$236">
    <sortState ref="A1:W236">
      <sortCondition descending="1" sortBy="cellColor" ref="B1:B236" dxfId="20"/>
    </sortState>
  </autoFilter>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s>
  <drawing r:id="rId4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5.38"/>
    <col customWidth="1" min="2" max="2" width="52.25"/>
    <col customWidth="1" min="3" max="3" width="23.5"/>
    <col customWidth="1" min="4" max="6" width="17.25"/>
    <col customWidth="1" min="7" max="7" width="16.75"/>
    <col customWidth="1" min="10" max="10" width="9.38"/>
    <col customWidth="1" min="11" max="11" width="13.5"/>
    <col customWidth="1" min="12" max="12" width="16.38"/>
    <col customWidth="1" min="14" max="14" width="21.38"/>
    <col customWidth="1" min="15" max="15" width="20.0"/>
    <col customWidth="1" min="16" max="16" width="14.88"/>
    <col customWidth="1" min="17" max="17" width="22.75"/>
    <col customWidth="1" min="18" max="18" width="15.63"/>
    <col customWidth="1" min="20" max="20" width="24.63"/>
    <col customWidth="1" min="21" max="21" width="22.25"/>
    <col customWidth="1" min="22" max="22" width="15.63"/>
    <col customWidth="1" min="23" max="23" width="23.38"/>
    <col customWidth="1" min="24" max="24" width="31.13"/>
    <col customWidth="1" min="25" max="25" width="19.75"/>
  </cols>
  <sheetData>
    <row r="1">
      <c r="A1" s="578"/>
      <c r="B1" s="1655" t="s">
        <v>331</v>
      </c>
      <c r="C1" s="1656" t="s">
        <v>332</v>
      </c>
      <c r="D1" s="697" t="s">
        <v>3</v>
      </c>
      <c r="E1" s="697" t="s">
        <v>4</v>
      </c>
      <c r="F1" s="697" t="s">
        <v>5</v>
      </c>
      <c r="G1" s="1657" t="s">
        <v>8</v>
      </c>
      <c r="I1" s="20" t="s">
        <v>2097</v>
      </c>
      <c r="J1" s="1658"/>
      <c r="K1" s="1658"/>
      <c r="L1" s="1658"/>
      <c r="M1" s="1658"/>
      <c r="N1" s="1658"/>
      <c r="O1" s="1658"/>
      <c r="P1" s="1658"/>
      <c r="Q1" s="1658"/>
      <c r="R1" s="1658"/>
      <c r="S1" s="1658"/>
      <c r="T1" s="1658"/>
      <c r="U1" s="1658"/>
      <c r="V1" s="1658"/>
      <c r="W1" s="1658"/>
      <c r="X1" s="1658"/>
      <c r="Y1" s="1659"/>
    </row>
    <row r="2" ht="30.75" customHeight="1">
      <c r="A2" s="60">
        <v>1.0</v>
      </c>
      <c r="B2" s="61" t="s">
        <v>82</v>
      </c>
      <c r="C2" s="62"/>
      <c r="D2" s="1660"/>
      <c r="E2" s="1660"/>
      <c r="F2" s="1660"/>
      <c r="G2" s="1661"/>
      <c r="J2" s="1662" t="s">
        <v>2098</v>
      </c>
      <c r="K2" s="1662" t="s">
        <v>2099</v>
      </c>
      <c r="L2" s="1662" t="s">
        <v>2100</v>
      </c>
      <c r="M2" s="1662" t="s">
        <v>2101</v>
      </c>
      <c r="N2" s="1662" t="s">
        <v>2102</v>
      </c>
      <c r="O2" s="1662" t="s">
        <v>2103</v>
      </c>
      <c r="P2" s="1662" t="s">
        <v>2104</v>
      </c>
      <c r="Q2" s="1662" t="s">
        <v>2102</v>
      </c>
      <c r="R2" s="1662" t="s">
        <v>2105</v>
      </c>
      <c r="S2" s="1662" t="s">
        <v>2106</v>
      </c>
      <c r="T2" s="1662" t="s">
        <v>2107</v>
      </c>
      <c r="U2" s="1662" t="s">
        <v>2108</v>
      </c>
      <c r="V2" s="1662" t="s">
        <v>2109</v>
      </c>
      <c r="W2" s="1662" t="s">
        <v>2110</v>
      </c>
      <c r="X2" s="1662" t="s">
        <v>2111</v>
      </c>
      <c r="Y2" s="1662" t="s">
        <v>2112</v>
      </c>
    </row>
    <row r="3">
      <c r="A3" s="60">
        <v>2.0</v>
      </c>
      <c r="B3" s="1663" t="s">
        <v>84</v>
      </c>
      <c r="C3" s="593" t="str">
        <f>VLOOKUP(B3,'LOD 300 - CONTROL'!B:M,9,FALSE)</f>
        <v>#N/A</v>
      </c>
      <c r="D3" s="1664" t="str">
        <f>VLOOKUP(B3,'LOD 300 - CONTROL'!B:BJ,35,FALSE)</f>
        <v>#N/A</v>
      </c>
      <c r="E3" s="676" t="str">
        <f>VLOOKUP(B3,'LOD 300 - CONTROL'!B:CX,59,FALSE)</f>
        <v>#N/A</v>
      </c>
      <c r="F3" s="676" t="str">
        <f>VLOOKUP(B3,'LOD 300 - CONTROL'!B:EH,79,FALSE)</f>
        <v>#N/A</v>
      </c>
      <c r="G3" s="1665" t="str">
        <f>VLOOKUP(B3,'LOD 300 - CONTROL'!B:GM,101,FALSE)</f>
        <v>#N/A</v>
      </c>
      <c r="I3" s="1666" t="s">
        <v>2113</v>
      </c>
      <c r="J3" s="676">
        <f>COUNTIF(A2:B109, "CPQ11-*")</f>
        <v>88</v>
      </c>
      <c r="K3" s="1667">
        <f>COUNTIFS(B2:B109, "CPQ11-*", C2:C109, "&lt;&gt;NOT PUBLISHED")</f>
        <v>88</v>
      </c>
      <c r="L3" s="1667">
        <f>COUNTIFS(B2:B109, "CPQ11-*", D2:D109, "&lt;&gt;NOT PUBLISHED", D2:D109, "&lt;&gt;N/A")</f>
        <v>80</v>
      </c>
      <c r="M3" s="1667">
        <f>COUNTIFS(B2:B109, "CPQ11-*", D2:D109, "100%")</f>
        <v>1</v>
      </c>
      <c r="N3" s="1667">
        <f>L3-M3</f>
        <v>79</v>
      </c>
      <c r="O3" s="1667">
        <f>COUNTIFS(B2:B109, "CPQ11-*", E2:E109, "&lt;&gt;NOT PUBLISHED", E2:E109, "&lt;&gt;N/A")</f>
        <v>80</v>
      </c>
      <c r="P3" s="1667">
        <f>COUNTIFS(B2:B109, "CPQ11-*", E2:E109, "100%")</f>
        <v>1</v>
      </c>
      <c r="Q3" s="1667">
        <f>O3-P3</f>
        <v>79</v>
      </c>
      <c r="R3" s="1667">
        <f>COUNTIFS(B2:B109, "CPQ11-*", F2:F109, "&lt;&gt;NOT PUBLISHED", F2:F109, "&lt;&gt;N/A")</f>
        <v>80</v>
      </c>
      <c r="S3" s="1667">
        <f>COUNTIFS(B2:B109, "CPQ11-*", F2:F109, "100%")</f>
        <v>1</v>
      </c>
      <c r="T3" s="1667">
        <f>R3-S3</f>
        <v>79</v>
      </c>
      <c r="U3" s="1667">
        <f>COUNTIFS(B2:B109, "CPQ11-*", G2:G109, "&lt;&gt;NOT PUBLISHED", G2:G109, "&lt;&gt;N/A")</f>
        <v>80</v>
      </c>
      <c r="V3" s="1667">
        <f>COUNTIFS(B2:B109, "CPQ11-*", G2:G109, "100%")</f>
        <v>1</v>
      </c>
      <c r="W3" s="1667">
        <f>U3-V3</f>
        <v>79</v>
      </c>
      <c r="X3" s="1667">
        <f t="shared" ref="X3:Y3" si="1">L3+U3</f>
        <v>160</v>
      </c>
      <c r="Y3" s="1667">
        <f t="shared" si="1"/>
        <v>2</v>
      </c>
    </row>
    <row r="4">
      <c r="A4" s="60">
        <v>3.0</v>
      </c>
      <c r="B4" s="1668" t="s">
        <v>89</v>
      </c>
      <c r="C4" s="593" t="str">
        <f>VLOOKUP(B4,'LOD 300 - CONTROL'!B:M,9,FALSE)</f>
        <v>#N/A</v>
      </c>
      <c r="D4" s="1664" t="str">
        <f>VLOOKUP(B4,'LOD 300 - CONTROL'!B:BJ,35,FALSE)</f>
        <v>#N/A</v>
      </c>
      <c r="E4" s="676" t="str">
        <f>VLOOKUP(B4,'LOD 300 - CONTROL'!B:CX,59,FALSE)</f>
        <v>#N/A</v>
      </c>
      <c r="F4" s="676" t="str">
        <f>VLOOKUP(B4,'LOD 300 - CONTROL'!B:EH,79,FALSE)</f>
        <v>#N/A</v>
      </c>
      <c r="G4" s="1665" t="str">
        <f>VLOOKUP(B4,'LOD 300 - CONTROL'!B:GM,101,FALSE)</f>
        <v>#N/A</v>
      </c>
      <c r="I4" s="1666" t="s">
        <v>2114</v>
      </c>
    </row>
    <row r="5">
      <c r="A5" s="60">
        <v>9.0</v>
      </c>
      <c r="B5" s="747" t="s">
        <v>93</v>
      </c>
      <c r="C5" s="593" t="str">
        <f>VLOOKUP(B5,'LOD 300 - CONTROL'!B:M,9,FALSE)</f>
        <v>#N/A</v>
      </c>
      <c r="D5" s="1664" t="str">
        <f>VLOOKUP(B5,'LOD 300 - CONTROL'!B:BJ,35,FALSE)</f>
        <v>#N/A</v>
      </c>
      <c r="E5" s="676" t="str">
        <f>VLOOKUP(B5,'LOD 300 - CONTROL'!B:CX,59,FALSE)</f>
        <v>#N/A</v>
      </c>
      <c r="F5" s="676" t="str">
        <f>VLOOKUP(B5,'LOD 300 - CONTROL'!B:EH,79,FALSE)</f>
        <v>#N/A</v>
      </c>
      <c r="G5" s="1665" t="str">
        <f>VLOOKUP(B5,'LOD 300 - CONTROL'!B:GM,101,FALSE)</f>
        <v>#N/A</v>
      </c>
    </row>
    <row r="6">
      <c r="A6" s="60">
        <v>10.0</v>
      </c>
      <c r="B6" s="747" t="s">
        <v>96</v>
      </c>
      <c r="C6" s="593" t="str">
        <f>VLOOKUP(B6,'LOD 300 - CONTROL'!B:M,9,FALSE)</f>
        <v>#N/A</v>
      </c>
      <c r="D6" s="1664" t="str">
        <f>VLOOKUP(B6,'LOD 300 - CONTROL'!B:BJ,35,FALSE)</f>
        <v>#N/A</v>
      </c>
      <c r="E6" s="676" t="str">
        <f>VLOOKUP(B6,'LOD 300 - CONTROL'!B:CX,59,FALSE)</f>
        <v>#N/A</v>
      </c>
      <c r="F6" s="676" t="str">
        <f>VLOOKUP(B6,'LOD 300 - CONTROL'!B:EH,79,FALSE)</f>
        <v>#N/A</v>
      </c>
      <c r="G6" s="1665" t="str">
        <f>VLOOKUP(B6,'LOD 300 - CONTROL'!B:GM,101,FALSE)</f>
        <v>#N/A</v>
      </c>
    </row>
    <row r="7">
      <c r="A7" s="60">
        <v>11.0</v>
      </c>
      <c r="B7" s="747" t="s">
        <v>99</v>
      </c>
      <c r="C7" s="593" t="str">
        <f>VLOOKUP(B7,'LOD 300 - CONTROL'!B:M,9,FALSE)</f>
        <v>#N/A</v>
      </c>
      <c r="D7" s="1664" t="str">
        <f>VLOOKUP(B7,'LOD 300 - CONTROL'!B:BJ,35,FALSE)</f>
        <v>#N/A</v>
      </c>
      <c r="E7" s="676" t="str">
        <f>VLOOKUP(B7,'LOD 300 - CONTROL'!B:CX,59,FALSE)</f>
        <v>#N/A</v>
      </c>
      <c r="F7" s="676" t="str">
        <f>VLOOKUP(B7,'LOD 300 - CONTROL'!B:EH,79,FALSE)</f>
        <v>#N/A</v>
      </c>
      <c r="G7" s="1665" t="str">
        <f>VLOOKUP(B7,'LOD 300 - CONTROL'!B:GM,101,FALSE)</f>
        <v>#N/A</v>
      </c>
    </row>
    <row r="8">
      <c r="A8" s="60">
        <v>12.0</v>
      </c>
      <c r="B8" s="747" t="s">
        <v>104</v>
      </c>
      <c r="C8" s="593" t="str">
        <f>VLOOKUP(B8,'LOD 300 - CONTROL'!B:M,9,FALSE)</f>
        <v>#N/A</v>
      </c>
      <c r="D8" s="1664" t="str">
        <f>VLOOKUP(B8,'LOD 300 - CONTROL'!B:BJ,35,FALSE)</f>
        <v>#N/A</v>
      </c>
      <c r="E8" s="676" t="str">
        <f>VLOOKUP(B8,'LOD 300 - CONTROL'!B:CX,59,FALSE)</f>
        <v>#N/A</v>
      </c>
      <c r="F8" s="676" t="str">
        <f>VLOOKUP(B8,'LOD 300 - CONTROL'!B:EH,79,FALSE)</f>
        <v>#N/A</v>
      </c>
      <c r="G8" s="1665" t="str">
        <f>VLOOKUP(B8,'LOD 300 - CONTROL'!B:GM,101,FALSE)</f>
        <v>#N/A</v>
      </c>
    </row>
    <row r="9">
      <c r="A9" s="60">
        <v>13.0</v>
      </c>
      <c r="B9" s="747" t="s">
        <v>106</v>
      </c>
      <c r="C9" s="593" t="str">
        <f>VLOOKUP(B9,'LOD 300 - CONTROL'!B:M,9,FALSE)</f>
        <v>#N/A</v>
      </c>
      <c r="D9" s="1664" t="str">
        <f>VLOOKUP(B9,'LOD 300 - CONTROL'!B:BJ,35,FALSE)</f>
        <v>#N/A</v>
      </c>
      <c r="E9" s="676" t="str">
        <f>VLOOKUP(B9,'LOD 300 - CONTROL'!B:CX,59,FALSE)</f>
        <v>#N/A</v>
      </c>
      <c r="F9" s="676" t="str">
        <f>VLOOKUP(B9,'LOD 300 - CONTROL'!B:EH,79,FALSE)</f>
        <v>#N/A</v>
      </c>
      <c r="G9" s="1665" t="str">
        <f>VLOOKUP(B9,'LOD 300 - CONTROL'!B:GM,101,FALSE)</f>
        <v>#N/A</v>
      </c>
    </row>
    <row r="10">
      <c r="A10" s="60">
        <v>14.0</v>
      </c>
      <c r="B10" s="747" t="s">
        <v>109</v>
      </c>
      <c r="C10" s="593" t="str">
        <f>VLOOKUP(B10,'LOD 300 - CONTROL'!B:M,9,FALSE)</f>
        <v>#N/A</v>
      </c>
      <c r="D10" s="1664" t="str">
        <f>VLOOKUP(B10,'LOD 300 - CONTROL'!B:BJ,35,FALSE)</f>
        <v>#N/A</v>
      </c>
      <c r="E10" s="676" t="str">
        <f>VLOOKUP(B10,'LOD 300 - CONTROL'!B:CX,59,FALSE)</f>
        <v>#N/A</v>
      </c>
      <c r="F10" s="676" t="str">
        <f>VLOOKUP(B10,'LOD 300 - CONTROL'!B:EH,79,FALSE)</f>
        <v>#N/A</v>
      </c>
      <c r="G10" s="1665" t="str">
        <f>VLOOKUP(B10,'LOD 300 - CONTROL'!B:GM,101,FALSE)</f>
        <v>#N/A</v>
      </c>
    </row>
    <row r="11">
      <c r="A11" s="60">
        <v>15.0</v>
      </c>
      <c r="B11" s="747" t="s">
        <v>111</v>
      </c>
      <c r="C11" s="593" t="str">
        <f>VLOOKUP(B11,'LOD 300 - CONTROL'!B:M,9,FALSE)</f>
        <v>#N/A</v>
      </c>
      <c r="D11" s="1664" t="str">
        <f>VLOOKUP(B11,'LOD 300 - CONTROL'!B:BJ,35,FALSE)</f>
        <v>#N/A</v>
      </c>
      <c r="E11" s="676" t="str">
        <f>VLOOKUP(B11,'LOD 300 - CONTROL'!B:CX,59,FALSE)</f>
        <v>#N/A</v>
      </c>
      <c r="F11" s="676" t="str">
        <f>VLOOKUP(B11,'LOD 300 - CONTROL'!B:EH,79,FALSE)</f>
        <v>#N/A</v>
      </c>
      <c r="G11" s="1665" t="str">
        <f>VLOOKUP(B11,'LOD 300 - CONTROL'!B:GM,101,FALSE)</f>
        <v>#N/A</v>
      </c>
    </row>
    <row r="12">
      <c r="A12" s="60">
        <v>16.0</v>
      </c>
      <c r="B12" s="747" t="s">
        <v>113</v>
      </c>
      <c r="C12" s="593" t="str">
        <f>VLOOKUP(B12,'LOD 300 - CONTROL'!B:M,9,FALSE)</f>
        <v>#N/A</v>
      </c>
      <c r="D12" s="1664" t="str">
        <f>VLOOKUP(B12,'LOD 300 - CONTROL'!B:BJ,35,FALSE)</f>
        <v>#N/A</v>
      </c>
      <c r="E12" s="676" t="str">
        <f>VLOOKUP(B12,'LOD 300 - CONTROL'!B:CX,59,FALSE)</f>
        <v>#N/A</v>
      </c>
      <c r="F12" s="676" t="str">
        <f>VLOOKUP(B12,'LOD 300 - CONTROL'!B:EH,79,FALSE)</f>
        <v>#N/A</v>
      </c>
      <c r="G12" s="1665" t="str">
        <f>VLOOKUP(B12,'LOD 300 - CONTROL'!B:GM,101,FALSE)</f>
        <v>#N/A</v>
      </c>
    </row>
    <row r="13">
      <c r="A13" s="60">
        <v>18.0</v>
      </c>
      <c r="B13" s="747" t="s">
        <v>117</v>
      </c>
      <c r="C13" s="593" t="str">
        <f>VLOOKUP(B13,'LOD 300 - CONTROL'!B:M,9,FALSE)</f>
        <v>#N/A</v>
      </c>
      <c r="D13" s="1664" t="str">
        <f>VLOOKUP(B13,'LOD 300 - CONTROL'!B:BJ,35,FALSE)</f>
        <v>#N/A</v>
      </c>
      <c r="E13" s="676" t="str">
        <f>VLOOKUP(B13,'LOD 300 - CONTROL'!B:CX,59,FALSE)</f>
        <v>#N/A</v>
      </c>
      <c r="F13" s="676" t="str">
        <f>VLOOKUP(B13,'LOD 300 - CONTROL'!B:EH,79,FALSE)</f>
        <v>#N/A</v>
      </c>
      <c r="G13" s="1665" t="str">
        <f>VLOOKUP(B13,'LOD 300 - CONTROL'!B:GM,101,FALSE)</f>
        <v>#N/A</v>
      </c>
    </row>
    <row r="14" hidden="1">
      <c r="A14" s="60">
        <v>19.0</v>
      </c>
      <c r="B14" s="747" t="s">
        <v>121</v>
      </c>
      <c r="C14" s="593" t="str">
        <f>VLOOKUP(B14,'LOD 300 - CONTROL'!B:M,9,FALSE)</f>
        <v>#N/A</v>
      </c>
      <c r="D14" s="1664" t="str">
        <f>VLOOKUP(B14,'LOD 300 - CONTROL'!B:BJ,35,FALSE)</f>
        <v>#N/A</v>
      </c>
      <c r="E14" s="676" t="str">
        <f>VLOOKUP(B14,'LOD 300 - CONTROL'!B:CX,59,FALSE)</f>
        <v>#N/A</v>
      </c>
      <c r="F14" s="676" t="str">
        <f>VLOOKUP(B14,'LOD 300 - CONTROL'!B:EH,79,FALSE)</f>
        <v>#N/A</v>
      </c>
      <c r="G14" s="1665" t="str">
        <f>VLOOKUP(B14,'LOD 300 - CONTROL'!B:GM,101,FALSE)</f>
        <v>#N/A</v>
      </c>
    </row>
    <row r="15">
      <c r="A15" s="60">
        <v>20.0</v>
      </c>
      <c r="B15" s="747" t="s">
        <v>123</v>
      </c>
      <c r="C15" s="593" t="str">
        <f>VLOOKUP(B15,'LOD 300 - CONTROL'!B:M,9,FALSE)</f>
        <v>#N/A</v>
      </c>
      <c r="D15" s="1664" t="str">
        <f>VLOOKUP(B15,'LOD 300 - CONTROL'!B:BJ,35,FALSE)</f>
        <v>#N/A</v>
      </c>
      <c r="E15" s="676" t="str">
        <f>VLOOKUP(B15,'LOD 300 - CONTROL'!B:CX,59,FALSE)</f>
        <v>#N/A</v>
      </c>
      <c r="F15" s="676" t="str">
        <f>VLOOKUP(B15,'LOD 300 - CONTROL'!B:EH,79,FALSE)</f>
        <v>#N/A</v>
      </c>
      <c r="G15" s="1665" t="str">
        <f>VLOOKUP(B15,'LOD 300 - CONTROL'!B:GM,101,FALSE)</f>
        <v>#N/A</v>
      </c>
    </row>
    <row r="16">
      <c r="A16" s="60">
        <v>21.0</v>
      </c>
      <c r="B16" s="747" t="s">
        <v>126</v>
      </c>
      <c r="C16" s="593" t="str">
        <f>VLOOKUP(B16,'LOD 300 - CONTROL'!B:M,9,FALSE)</f>
        <v>#N/A</v>
      </c>
      <c r="D16" s="1664" t="str">
        <f>VLOOKUP(B16,'LOD 300 - CONTROL'!B:BJ,35,FALSE)</f>
        <v>#N/A</v>
      </c>
      <c r="E16" s="676" t="str">
        <f>VLOOKUP(B16,'LOD 300 - CONTROL'!B:CX,59,FALSE)</f>
        <v>#N/A</v>
      </c>
      <c r="F16" s="676" t="str">
        <f>VLOOKUP(B16,'LOD 300 - CONTROL'!B:EH,79,FALSE)</f>
        <v>#N/A</v>
      </c>
      <c r="G16" s="1665" t="str">
        <f>VLOOKUP(B16,'LOD 300 - CONTROL'!B:GM,101,FALSE)</f>
        <v>#N/A</v>
      </c>
    </row>
    <row r="17">
      <c r="A17" s="60">
        <v>22.0</v>
      </c>
      <c r="B17" s="747" t="s">
        <v>131</v>
      </c>
      <c r="C17" s="593" t="str">
        <f>VLOOKUP(B17,'LOD 300 - CONTROL'!B:M,9,FALSE)</f>
        <v>#N/A</v>
      </c>
      <c r="D17" s="1664" t="str">
        <f>VLOOKUP(B17,'LOD 300 - CONTROL'!B:BJ,35,FALSE)</f>
        <v>#N/A</v>
      </c>
      <c r="E17" s="676" t="str">
        <f>VLOOKUP(B17,'LOD 300 - CONTROL'!B:CX,59,FALSE)</f>
        <v>#N/A</v>
      </c>
      <c r="F17" s="676" t="str">
        <f>VLOOKUP(B17,'LOD 300 - CONTROL'!B:EH,79,FALSE)</f>
        <v>#N/A</v>
      </c>
      <c r="G17" s="1665" t="str">
        <f>VLOOKUP(B17,'LOD 300 - CONTROL'!B:GM,101,FALSE)</f>
        <v>#N/A</v>
      </c>
    </row>
    <row r="18">
      <c r="A18" s="60">
        <v>23.0</v>
      </c>
      <c r="B18" s="747" t="s">
        <v>135</v>
      </c>
      <c r="C18" s="593" t="str">
        <f>VLOOKUP(B18,'LOD 300 - CONTROL'!B:M,9,FALSE)</f>
        <v>#N/A</v>
      </c>
      <c r="D18" s="1664" t="str">
        <f>VLOOKUP(B18,'LOD 300 - CONTROL'!B:BJ,35,FALSE)</f>
        <v>#N/A</v>
      </c>
      <c r="E18" s="676" t="str">
        <f>VLOOKUP(B18,'LOD 300 - CONTROL'!B:CX,59,FALSE)</f>
        <v>#N/A</v>
      </c>
      <c r="F18" s="676" t="str">
        <f>VLOOKUP(B18,'LOD 300 - CONTROL'!B:EH,79,FALSE)</f>
        <v>#N/A</v>
      </c>
      <c r="G18" s="1665" t="str">
        <f>VLOOKUP(B18,'LOD 300 - CONTROL'!B:GM,101,FALSE)</f>
        <v>#N/A</v>
      </c>
    </row>
    <row r="19">
      <c r="A19" s="60">
        <v>24.0</v>
      </c>
      <c r="B19" s="747" t="s">
        <v>137</v>
      </c>
      <c r="C19" s="593" t="str">
        <f>VLOOKUP(B19,'LOD 300 - CONTROL'!B:M,9,FALSE)</f>
        <v>#N/A</v>
      </c>
      <c r="D19" s="1664" t="str">
        <f>VLOOKUP(B19,'LOD 300 - CONTROL'!B:BJ,35,FALSE)</f>
        <v>#N/A</v>
      </c>
      <c r="E19" s="676" t="str">
        <f>VLOOKUP(B19,'LOD 300 - CONTROL'!B:CX,59,FALSE)</f>
        <v>#N/A</v>
      </c>
      <c r="F19" s="676" t="str">
        <f>VLOOKUP(B19,'LOD 300 - CONTROL'!B:EH,79,FALSE)</f>
        <v>#N/A</v>
      </c>
      <c r="G19" s="1665" t="str">
        <f>VLOOKUP(B19,'LOD 300 - CONTROL'!B:GM,101,FALSE)</f>
        <v>#N/A</v>
      </c>
    </row>
    <row r="20">
      <c r="A20" s="60">
        <v>25.0</v>
      </c>
      <c r="B20" s="747" t="s">
        <v>141</v>
      </c>
      <c r="C20" s="593" t="str">
        <f>VLOOKUP(B20,'LOD 300 - CONTROL'!B:M,9,FALSE)</f>
        <v>#N/A</v>
      </c>
      <c r="D20" s="1664" t="str">
        <f>VLOOKUP(B20,'LOD 300 - CONTROL'!B:BJ,35,FALSE)</f>
        <v>#N/A</v>
      </c>
      <c r="E20" s="676" t="str">
        <f>VLOOKUP(B20,'LOD 300 - CONTROL'!B:CX,59,FALSE)</f>
        <v>#N/A</v>
      </c>
      <c r="F20" s="676" t="str">
        <f>VLOOKUP(B20,'LOD 300 - CONTROL'!B:EH,79,FALSE)</f>
        <v>#N/A</v>
      </c>
      <c r="G20" s="1665" t="str">
        <f>VLOOKUP(B20,'LOD 300 - CONTROL'!B:GM,101,FALSE)</f>
        <v>#N/A</v>
      </c>
    </row>
    <row r="21">
      <c r="A21" s="60">
        <v>26.0</v>
      </c>
      <c r="B21" s="747" t="s">
        <v>144</v>
      </c>
      <c r="C21" s="593" t="str">
        <f>VLOOKUP(B21,'LOD 300 - CONTROL'!B:M,9,FALSE)</f>
        <v>#N/A</v>
      </c>
      <c r="D21" s="1664" t="str">
        <f>VLOOKUP(B21,'LOD 300 - CONTROL'!B:BJ,35,FALSE)</f>
        <v>#N/A</v>
      </c>
      <c r="E21" s="676" t="str">
        <f>VLOOKUP(B21,'LOD 300 - CONTROL'!B:CX,59,FALSE)</f>
        <v>#N/A</v>
      </c>
      <c r="F21" s="676" t="str">
        <f>VLOOKUP(B21,'LOD 300 - CONTROL'!B:EH,79,FALSE)</f>
        <v>#N/A</v>
      </c>
      <c r="G21" s="1665" t="str">
        <f>VLOOKUP(B21,'LOD 300 - CONTROL'!B:GM,101,FALSE)</f>
        <v>#N/A</v>
      </c>
    </row>
    <row r="22">
      <c r="A22" s="60">
        <v>27.0</v>
      </c>
      <c r="B22" s="747" t="s">
        <v>148</v>
      </c>
      <c r="C22" s="593" t="str">
        <f>VLOOKUP(B22,'LOD 300 - CONTROL'!B:M,9,FALSE)</f>
        <v>#N/A</v>
      </c>
      <c r="D22" s="1664" t="str">
        <f>VLOOKUP(B22,'LOD 300 - CONTROL'!B:BJ,35,FALSE)</f>
        <v>#N/A</v>
      </c>
      <c r="E22" s="676" t="str">
        <f>VLOOKUP(B22,'LOD 300 - CONTROL'!B:CX,59,FALSE)</f>
        <v>#N/A</v>
      </c>
      <c r="F22" s="676" t="str">
        <f>VLOOKUP(B22,'LOD 300 - CONTROL'!B:EH,79,FALSE)</f>
        <v>#N/A</v>
      </c>
      <c r="G22" s="1665" t="str">
        <f>VLOOKUP(B22,'LOD 300 - CONTROL'!B:GM,101,FALSE)</f>
        <v>#N/A</v>
      </c>
    </row>
    <row r="23" hidden="1">
      <c r="A23" s="60">
        <v>28.0</v>
      </c>
      <c r="B23" s="747" t="s">
        <v>150</v>
      </c>
      <c r="C23" s="593" t="str">
        <f>VLOOKUP(B23,'LOD 300 - CONTROL'!B:M,9,FALSE)</f>
        <v>#N/A</v>
      </c>
      <c r="D23" s="1664" t="str">
        <f>VLOOKUP(B23,'LOD 300 - CONTROL'!B:BJ,35,FALSE)</f>
        <v>#N/A</v>
      </c>
      <c r="E23" s="676" t="str">
        <f>VLOOKUP(B23,'LOD 300 - CONTROL'!B:CX,59,FALSE)</f>
        <v>#N/A</v>
      </c>
      <c r="F23" s="676" t="str">
        <f>VLOOKUP(B23,'LOD 300 - CONTROL'!B:EH,79,FALSE)</f>
        <v>#N/A</v>
      </c>
      <c r="G23" s="1665" t="str">
        <f>VLOOKUP(B23,'LOD 300 - CONTROL'!B:GM,101,FALSE)</f>
        <v>#N/A</v>
      </c>
    </row>
    <row r="24" hidden="1">
      <c r="A24" s="60">
        <v>29.0</v>
      </c>
      <c r="B24" s="747" t="s">
        <v>153</v>
      </c>
      <c r="C24" s="593" t="str">
        <f>VLOOKUP(B24,'LOD 300 - CONTROL'!B:M,9,FALSE)</f>
        <v>#N/A</v>
      </c>
      <c r="D24" s="1664" t="str">
        <f>VLOOKUP(B24,'LOD 300 - CONTROL'!B:BJ,35,FALSE)</f>
        <v>#N/A</v>
      </c>
      <c r="E24" s="676" t="str">
        <f>VLOOKUP(B24,'LOD 300 - CONTROL'!B:CX,59,FALSE)</f>
        <v>#N/A</v>
      </c>
      <c r="F24" s="676" t="str">
        <f>VLOOKUP(B24,'LOD 300 - CONTROL'!B:EH,79,FALSE)</f>
        <v>#N/A</v>
      </c>
      <c r="G24" s="1665" t="str">
        <f>VLOOKUP(B24,'LOD 300 - CONTROL'!B:GM,101,FALSE)</f>
        <v>#N/A</v>
      </c>
    </row>
    <row r="25">
      <c r="A25" s="60">
        <v>30.0</v>
      </c>
      <c r="B25" s="747" t="s">
        <v>155</v>
      </c>
      <c r="C25" s="593" t="str">
        <f>VLOOKUP(B25,'LOD 300 - CONTROL'!B:M,9,FALSE)</f>
        <v>#N/A</v>
      </c>
      <c r="D25" s="1664" t="str">
        <f>VLOOKUP(B25,'LOD 300 - CONTROL'!B:BJ,35,FALSE)</f>
        <v>#N/A</v>
      </c>
      <c r="E25" s="676" t="str">
        <f>VLOOKUP(B25,'LOD 300 - CONTROL'!B:CX,59,FALSE)</f>
        <v>#N/A</v>
      </c>
      <c r="F25" s="676" t="str">
        <f>VLOOKUP(B25,'LOD 300 - CONTROL'!B:EH,79,FALSE)</f>
        <v>#N/A</v>
      </c>
      <c r="G25" s="1665" t="str">
        <f>VLOOKUP(B25,'LOD 300 - CONTROL'!B:GM,101,FALSE)</f>
        <v>#N/A</v>
      </c>
    </row>
    <row r="26" hidden="1">
      <c r="A26" s="60">
        <v>31.0</v>
      </c>
      <c r="B26" s="747" t="s">
        <v>159</v>
      </c>
      <c r="C26" s="593" t="str">
        <f>VLOOKUP(B26,'LOD 300 - CONTROL'!B:M,9,FALSE)</f>
        <v>#N/A</v>
      </c>
      <c r="D26" s="1664" t="str">
        <f>VLOOKUP(B26,'LOD 300 - CONTROL'!B:BJ,35,FALSE)</f>
        <v>#N/A</v>
      </c>
      <c r="E26" s="676" t="str">
        <f>VLOOKUP(B26,'LOD 300 - CONTROL'!B:CX,59,FALSE)</f>
        <v>#N/A</v>
      </c>
      <c r="F26" s="676" t="str">
        <f>VLOOKUP(B26,'LOD 300 - CONTROL'!B:EH,79,FALSE)</f>
        <v>#N/A</v>
      </c>
      <c r="G26" s="1665" t="str">
        <f>VLOOKUP(B26,'LOD 300 - CONTROL'!B:GM,101,FALSE)</f>
        <v>#N/A</v>
      </c>
    </row>
    <row r="27">
      <c r="A27" s="60">
        <v>32.0</v>
      </c>
      <c r="B27" s="747" t="s">
        <v>161</v>
      </c>
      <c r="C27" s="593" t="str">
        <f>VLOOKUP(B27,'LOD 300 - CONTROL'!B:M,9,FALSE)</f>
        <v>#N/A</v>
      </c>
      <c r="D27" s="1664" t="str">
        <f>VLOOKUP(B27,'LOD 300 - CONTROL'!B:BJ,35,FALSE)</f>
        <v>#N/A</v>
      </c>
      <c r="E27" s="676" t="str">
        <f>VLOOKUP(B27,'LOD 300 - CONTROL'!B:CX,59,FALSE)</f>
        <v>#N/A</v>
      </c>
      <c r="F27" s="676" t="str">
        <f>VLOOKUP(B27,'LOD 300 - CONTROL'!B:EH,79,FALSE)</f>
        <v>#N/A</v>
      </c>
      <c r="G27" s="1665" t="str">
        <f>VLOOKUP(B27,'LOD 300 - CONTROL'!B:GM,101,FALSE)</f>
        <v>#N/A</v>
      </c>
    </row>
    <row r="28" hidden="1">
      <c r="A28" s="60">
        <v>33.0</v>
      </c>
      <c r="B28" s="747" t="s">
        <v>164</v>
      </c>
      <c r="C28" s="593" t="str">
        <f>VLOOKUP(B28,'LOD 300 - CONTROL'!B:M,9,FALSE)</f>
        <v>#N/A</v>
      </c>
      <c r="D28" s="1664" t="str">
        <f>VLOOKUP(B28,'LOD 300 - CONTROL'!B:BJ,35,FALSE)</f>
        <v>#N/A</v>
      </c>
      <c r="E28" s="676" t="str">
        <f>VLOOKUP(B28,'LOD 300 - CONTROL'!B:CX,59,FALSE)</f>
        <v>#N/A</v>
      </c>
      <c r="F28" s="676" t="str">
        <f>VLOOKUP(B28,'LOD 300 - CONTROL'!B:EH,79,FALSE)</f>
        <v>#N/A</v>
      </c>
      <c r="G28" s="1665" t="str">
        <f>VLOOKUP(B28,'LOD 300 - CONTROL'!B:GM,101,FALSE)</f>
        <v>#N/A</v>
      </c>
    </row>
    <row r="29">
      <c r="A29" s="60">
        <v>34.0</v>
      </c>
      <c r="B29" s="816" t="s">
        <v>166</v>
      </c>
      <c r="C29" s="603"/>
      <c r="D29" s="604"/>
      <c r="E29" s="604"/>
      <c r="F29" s="604"/>
      <c r="G29" s="1669"/>
    </row>
    <row r="30">
      <c r="A30" s="60">
        <v>35.0</v>
      </c>
      <c r="B30" s="747" t="s">
        <v>168</v>
      </c>
      <c r="C30" s="593" t="str">
        <f>VLOOKUP(B30,'LOD 300 - CONTROL'!B:M,9,FALSE)</f>
        <v>#N/A</v>
      </c>
      <c r="D30" s="1664" t="str">
        <f>VLOOKUP(B30,'LOD 300 - CONTROL'!B:BJ,35,FALSE)</f>
        <v>#N/A</v>
      </c>
      <c r="E30" s="676" t="str">
        <f>VLOOKUP(B30,'LOD 300 - CONTROL'!B:CX,59,FALSE)</f>
        <v>#N/A</v>
      </c>
      <c r="F30" s="676" t="str">
        <f>VLOOKUP(B30,'LOD 300 - CONTROL'!B:EH,79,FALSE)</f>
        <v>#N/A</v>
      </c>
      <c r="G30" s="1665" t="str">
        <f>VLOOKUP(B30,'LOD 300 - CONTROL'!B:GM,101,FALSE)</f>
        <v>#N/A</v>
      </c>
    </row>
    <row r="31">
      <c r="A31" s="60">
        <v>36.0</v>
      </c>
      <c r="B31" s="747" t="s">
        <v>172</v>
      </c>
      <c r="C31" s="593" t="str">
        <f>VLOOKUP(B31,'LOD 300 - CONTROL'!B:M,9,FALSE)</f>
        <v>#N/A</v>
      </c>
      <c r="D31" s="1664" t="str">
        <f>VLOOKUP(B31,'LOD 300 - CONTROL'!B:BJ,35,FALSE)</f>
        <v>#N/A</v>
      </c>
      <c r="E31" s="676" t="str">
        <f>VLOOKUP(B31,'LOD 300 - CONTROL'!B:CX,59,FALSE)</f>
        <v>#N/A</v>
      </c>
      <c r="F31" s="676" t="str">
        <f>VLOOKUP(B31,'LOD 300 - CONTROL'!B:EH,79,FALSE)</f>
        <v>#N/A</v>
      </c>
      <c r="G31" s="1665" t="str">
        <f>VLOOKUP(B31,'LOD 300 - CONTROL'!B:GM,101,FALSE)</f>
        <v>#N/A</v>
      </c>
    </row>
    <row r="32">
      <c r="A32" s="60">
        <v>37.0</v>
      </c>
      <c r="B32" s="895" t="s">
        <v>173</v>
      </c>
      <c r="C32" s="609"/>
      <c r="D32" s="610"/>
      <c r="E32" s="610"/>
      <c r="F32" s="610"/>
      <c r="G32" s="1670"/>
    </row>
    <row r="33">
      <c r="A33" s="60">
        <v>38.0</v>
      </c>
      <c r="B33" s="747" t="s">
        <v>175</v>
      </c>
      <c r="C33" s="593" t="str">
        <f>VLOOKUP(B33,'LOD 300 - CONTROL'!B:M,9,FALSE)</f>
        <v>#N/A</v>
      </c>
      <c r="D33" s="1664" t="str">
        <f>VLOOKUP(B33,'LOD 300 - CONTROL'!B:BJ,35,FALSE)</f>
        <v>#N/A</v>
      </c>
      <c r="E33" s="676" t="str">
        <f>VLOOKUP(B33,'LOD 300 - CONTROL'!B:CX,59,FALSE)</f>
        <v>#N/A</v>
      </c>
      <c r="F33" s="676" t="str">
        <f>VLOOKUP(B33,'LOD 300 - CONTROL'!B:EH,79,FALSE)</f>
        <v>#N/A</v>
      </c>
      <c r="G33" s="1665" t="str">
        <f>VLOOKUP(B33,'LOD 300 - CONTROL'!B:GM,101,FALSE)</f>
        <v>#N/A</v>
      </c>
    </row>
    <row r="34">
      <c r="A34" s="60">
        <v>39.0</v>
      </c>
      <c r="B34" s="895" t="s">
        <v>177</v>
      </c>
      <c r="C34" s="609"/>
      <c r="D34" s="610"/>
      <c r="E34" s="610"/>
      <c r="F34" s="610"/>
      <c r="G34" s="1670"/>
    </row>
    <row r="35">
      <c r="A35" s="60">
        <v>40.0</v>
      </c>
      <c r="B35" s="747" t="s">
        <v>179</v>
      </c>
      <c r="C35" s="593" t="str">
        <f>VLOOKUP(B35,'LOD 300 - CONTROL'!B:M,9,FALSE)</f>
        <v>#N/A</v>
      </c>
      <c r="D35" s="1664" t="str">
        <f>VLOOKUP(B35,'LOD 300 - CONTROL'!B:BJ,35,FALSE)</f>
        <v>#N/A</v>
      </c>
      <c r="E35" s="676" t="str">
        <f>VLOOKUP(B35,'LOD 300 - CONTROL'!B:CX,59,FALSE)</f>
        <v>#N/A</v>
      </c>
      <c r="F35" s="676" t="str">
        <f>VLOOKUP(B35,'LOD 300 - CONTROL'!B:EH,79,FALSE)</f>
        <v>#N/A</v>
      </c>
      <c r="G35" s="1665" t="str">
        <f>VLOOKUP(B35,'LOD 300 - CONTROL'!B:GM,101,FALSE)</f>
        <v>#N/A</v>
      </c>
    </row>
    <row r="36">
      <c r="A36" s="60">
        <v>41.0</v>
      </c>
      <c r="B36" s="747" t="s">
        <v>182</v>
      </c>
      <c r="C36" s="593" t="str">
        <f>VLOOKUP(B36,'LOD 300 - CONTROL'!B:M,9,FALSE)</f>
        <v>#N/A</v>
      </c>
      <c r="D36" s="1664" t="str">
        <f>VLOOKUP(B36,'LOD 300 - CONTROL'!B:BJ,35,FALSE)</f>
        <v>#N/A</v>
      </c>
      <c r="E36" s="676" t="str">
        <f>VLOOKUP(B36,'LOD 300 - CONTROL'!B:CX,59,FALSE)</f>
        <v>#N/A</v>
      </c>
      <c r="F36" s="676" t="str">
        <f>VLOOKUP(B36,'LOD 300 - CONTROL'!B:EH,79,FALSE)</f>
        <v>#N/A</v>
      </c>
      <c r="G36" s="1665" t="str">
        <f>VLOOKUP(B36,'LOD 300 - CONTROL'!B:GM,101,FALSE)</f>
        <v>#N/A</v>
      </c>
    </row>
    <row r="37">
      <c r="A37" s="60">
        <v>42.0</v>
      </c>
      <c r="B37" s="895" t="s">
        <v>183</v>
      </c>
      <c r="C37" s="609"/>
      <c r="D37" s="610"/>
      <c r="E37" s="610"/>
      <c r="F37" s="610"/>
      <c r="G37" s="1670"/>
    </row>
    <row r="38">
      <c r="A38" s="60">
        <v>43.0</v>
      </c>
      <c r="B38" s="747" t="s">
        <v>185</v>
      </c>
      <c r="C38" s="593" t="str">
        <f>VLOOKUP(B38,'LOD 300 - CONTROL'!B:M,9,FALSE)</f>
        <v>#N/A</v>
      </c>
      <c r="D38" s="1664" t="str">
        <f>VLOOKUP(B38,'LOD 300 - CONTROL'!B:BJ,35,FALSE)</f>
        <v>#N/A</v>
      </c>
      <c r="E38" s="676" t="str">
        <f>VLOOKUP(B38,'LOD 300 - CONTROL'!B:CX,59,FALSE)</f>
        <v>#N/A</v>
      </c>
      <c r="F38" s="676" t="str">
        <f>VLOOKUP(B38,'LOD 300 - CONTROL'!B:EH,79,FALSE)</f>
        <v>#N/A</v>
      </c>
      <c r="G38" s="1665" t="str">
        <f>VLOOKUP(B38,'LOD 300 - CONTROL'!B:GM,101,FALSE)</f>
        <v>#N/A</v>
      </c>
    </row>
    <row r="39">
      <c r="A39" s="60">
        <v>44.0</v>
      </c>
      <c r="B39" s="747" t="s">
        <v>188</v>
      </c>
      <c r="C39" s="593" t="str">
        <f>VLOOKUP(B39,'LOD 300 - CONTROL'!B:M,9,FALSE)</f>
        <v>#N/A</v>
      </c>
      <c r="D39" s="1664" t="str">
        <f>VLOOKUP(B39,'LOD 300 - CONTROL'!B:BJ,35,FALSE)</f>
        <v>#N/A</v>
      </c>
      <c r="E39" s="676" t="str">
        <f>VLOOKUP(B39,'LOD 300 - CONTROL'!B:CX,59,FALSE)</f>
        <v>#N/A</v>
      </c>
      <c r="F39" s="676" t="str">
        <f>VLOOKUP(B39,'LOD 300 - CONTROL'!B:EH,79,FALSE)</f>
        <v>#N/A</v>
      </c>
      <c r="G39" s="1665" t="str">
        <f>VLOOKUP(B39,'LOD 300 - CONTROL'!B:GM,101,FALSE)</f>
        <v>#N/A</v>
      </c>
    </row>
    <row r="40">
      <c r="A40" s="60">
        <v>45.0</v>
      </c>
      <c r="B40" s="895" t="s">
        <v>189</v>
      </c>
      <c r="C40" s="609"/>
      <c r="D40" s="610"/>
      <c r="E40" s="610"/>
      <c r="F40" s="610"/>
      <c r="G40" s="1670"/>
    </row>
    <row r="41">
      <c r="A41" s="60">
        <v>46.0</v>
      </c>
      <c r="B41" s="747" t="s">
        <v>191</v>
      </c>
      <c r="C41" s="593" t="str">
        <f>VLOOKUP(B41,'LOD 300 - CONTROL'!B:M,9,FALSE)</f>
        <v>#N/A</v>
      </c>
      <c r="D41" s="1664" t="str">
        <f>VLOOKUP(B41,'LOD 300 - CONTROL'!B:BJ,35,FALSE)</f>
        <v>#N/A</v>
      </c>
      <c r="E41" s="676" t="str">
        <f>VLOOKUP(B41,'LOD 300 - CONTROL'!B:CX,59,FALSE)</f>
        <v>#N/A</v>
      </c>
      <c r="F41" s="676" t="str">
        <f>VLOOKUP(B41,'LOD 300 - CONTROL'!B:EH,79,FALSE)</f>
        <v>#N/A</v>
      </c>
      <c r="G41" s="1665" t="str">
        <f>VLOOKUP(B41,'LOD 300 - CONTROL'!B:GM,101,FALSE)</f>
        <v>#N/A</v>
      </c>
    </row>
    <row r="42">
      <c r="A42" s="60">
        <v>47.0</v>
      </c>
      <c r="B42" s="747" t="s">
        <v>193</v>
      </c>
      <c r="C42" s="593" t="str">
        <f>VLOOKUP(B42,'LOD 300 - CONTROL'!B:M,9,FALSE)</f>
        <v>#N/A</v>
      </c>
      <c r="D42" s="1664" t="str">
        <f>VLOOKUP(B42,'LOD 300 - CONTROL'!B:BJ,35,FALSE)</f>
        <v>#N/A</v>
      </c>
      <c r="E42" s="676" t="str">
        <f>VLOOKUP(B42,'LOD 300 - CONTROL'!B:CX,59,FALSE)</f>
        <v>#N/A</v>
      </c>
      <c r="F42" s="676" t="str">
        <f>VLOOKUP(B42,'LOD 300 - CONTROL'!B:EH,79,FALSE)</f>
        <v>#N/A</v>
      </c>
      <c r="G42" s="1665" t="str">
        <f>VLOOKUP(B42,'LOD 300 - CONTROL'!B:GM,101,FALSE)</f>
        <v>#N/A</v>
      </c>
    </row>
    <row r="43">
      <c r="A43" s="60">
        <v>48.0</v>
      </c>
      <c r="B43" s="816" t="s">
        <v>195</v>
      </c>
      <c r="C43" s="603"/>
      <c r="D43" s="604"/>
      <c r="E43" s="604"/>
      <c r="F43" s="604"/>
      <c r="G43" s="1669"/>
    </row>
    <row r="44">
      <c r="A44" s="60">
        <v>49.0</v>
      </c>
      <c r="B44" s="747" t="s">
        <v>197</v>
      </c>
      <c r="C44" s="593" t="str">
        <f>VLOOKUP(B44,'LOD 300 - CONTROL'!B:M,9,FALSE)</f>
        <v>#N/A</v>
      </c>
      <c r="D44" s="1664" t="str">
        <f>VLOOKUP(B44,'LOD 300 - CONTROL'!B:BJ,35,FALSE)</f>
        <v>#N/A</v>
      </c>
      <c r="E44" s="676" t="str">
        <f>VLOOKUP(B44,'LOD 300 - CONTROL'!B:CX,59,FALSE)</f>
        <v>#N/A</v>
      </c>
      <c r="F44" s="676" t="str">
        <f>VLOOKUP(B44,'LOD 300 - CONTROL'!B:EH,79,FALSE)</f>
        <v>#N/A</v>
      </c>
      <c r="G44" s="1665" t="str">
        <f>VLOOKUP(B44,'LOD 300 - CONTROL'!B:GM,101,FALSE)</f>
        <v>#N/A</v>
      </c>
    </row>
    <row r="45">
      <c r="A45" s="60">
        <v>50.0</v>
      </c>
      <c r="B45" s="747" t="s">
        <v>199</v>
      </c>
      <c r="C45" s="593" t="str">
        <f>VLOOKUP(B45,'LOD 300 - CONTROL'!B:M,9,FALSE)</f>
        <v>#N/A</v>
      </c>
      <c r="D45" s="1664" t="str">
        <f>VLOOKUP(B45,'LOD 300 - CONTROL'!B:BJ,35,FALSE)</f>
        <v>#N/A</v>
      </c>
      <c r="E45" s="676" t="str">
        <f>VLOOKUP(B45,'LOD 300 - CONTROL'!B:CX,59,FALSE)</f>
        <v>#N/A</v>
      </c>
      <c r="F45" s="676" t="str">
        <f>VLOOKUP(B45,'LOD 300 - CONTROL'!B:EH,79,FALSE)</f>
        <v>#N/A</v>
      </c>
      <c r="G45" s="1665" t="str">
        <f>VLOOKUP(B45,'LOD 300 - CONTROL'!B:GM,101,FALSE)</f>
        <v>#N/A</v>
      </c>
    </row>
    <row r="46">
      <c r="A46" s="60">
        <v>51.0</v>
      </c>
      <c r="B46" s="895" t="s">
        <v>201</v>
      </c>
      <c r="C46" s="609"/>
      <c r="D46" s="610"/>
      <c r="E46" s="610"/>
      <c r="F46" s="610"/>
      <c r="G46" s="1670"/>
    </row>
    <row r="47">
      <c r="A47" s="60">
        <v>52.0</v>
      </c>
      <c r="B47" s="747" t="s">
        <v>203</v>
      </c>
      <c r="C47" s="593" t="str">
        <f>VLOOKUP(B47,'LOD 300 - CONTROL'!B:M,9,FALSE)</f>
        <v>#N/A</v>
      </c>
      <c r="D47" s="1664" t="str">
        <f>VLOOKUP(B47,'LOD 300 - CONTROL'!B:BJ,35,FALSE)</f>
        <v>#N/A</v>
      </c>
      <c r="E47" s="676" t="str">
        <f>VLOOKUP(B47,'LOD 300 - CONTROL'!B:CX,59,FALSE)</f>
        <v>#N/A</v>
      </c>
      <c r="F47" s="676" t="str">
        <f>VLOOKUP(B47,'LOD 300 - CONTROL'!B:EH,79,FALSE)</f>
        <v>#N/A</v>
      </c>
      <c r="G47" s="1665" t="str">
        <f>VLOOKUP(B47,'LOD 300 - CONTROL'!B:GM,101,FALSE)</f>
        <v>#N/A</v>
      </c>
    </row>
    <row r="48">
      <c r="A48" s="60">
        <v>53.0</v>
      </c>
      <c r="B48" s="747" t="s">
        <v>205</v>
      </c>
      <c r="C48" s="593" t="str">
        <f>VLOOKUP(B48,'LOD 300 - CONTROL'!B:M,9,FALSE)</f>
        <v>#N/A</v>
      </c>
      <c r="D48" s="1664" t="str">
        <f>VLOOKUP(B48,'LOD 300 - CONTROL'!B:BJ,35,FALSE)</f>
        <v>#N/A</v>
      </c>
      <c r="E48" s="676" t="str">
        <f>VLOOKUP(B48,'LOD 300 - CONTROL'!B:CX,59,FALSE)</f>
        <v>#N/A</v>
      </c>
      <c r="F48" s="676" t="str">
        <f>VLOOKUP(B48,'LOD 300 - CONTROL'!B:EH,79,FALSE)</f>
        <v>#N/A</v>
      </c>
      <c r="G48" s="1665" t="str">
        <f>VLOOKUP(B48,'LOD 300 - CONTROL'!B:GM,101,FALSE)</f>
        <v>#N/A</v>
      </c>
    </row>
    <row r="49">
      <c r="A49" s="60">
        <v>54.0</v>
      </c>
      <c r="B49" s="816" t="s">
        <v>206</v>
      </c>
      <c r="C49" s="603"/>
      <c r="D49" s="604"/>
      <c r="E49" s="604"/>
      <c r="F49" s="604"/>
      <c r="G49" s="1669"/>
    </row>
    <row r="50">
      <c r="A50" s="60">
        <v>55.0</v>
      </c>
      <c r="B50" s="747" t="s">
        <v>208</v>
      </c>
      <c r="C50" s="593" t="str">
        <f>VLOOKUP(B50,'LOD 300 - CONTROL'!B:M,9,FALSE)</f>
        <v>#N/A</v>
      </c>
      <c r="D50" s="1664" t="str">
        <f>VLOOKUP(B50,'LOD 300 - CONTROL'!B:BJ,35,FALSE)</f>
        <v>#N/A</v>
      </c>
      <c r="E50" s="676" t="str">
        <f>VLOOKUP(B50,'LOD 300 - CONTROL'!B:CX,59,FALSE)</f>
        <v>#N/A</v>
      </c>
      <c r="F50" s="676" t="str">
        <f>VLOOKUP(B50,'LOD 300 - CONTROL'!B:EH,79,FALSE)</f>
        <v>#N/A</v>
      </c>
      <c r="G50" s="1665" t="str">
        <f>VLOOKUP(B50,'LOD 300 - CONTROL'!B:GM,101,FALSE)</f>
        <v>#N/A</v>
      </c>
    </row>
    <row r="51">
      <c r="A51" s="60">
        <v>56.0</v>
      </c>
      <c r="B51" s="747" t="s">
        <v>210</v>
      </c>
      <c r="C51" s="593" t="str">
        <f>VLOOKUP(B51,'LOD 300 - CONTROL'!B:M,9,FALSE)</f>
        <v>#N/A</v>
      </c>
      <c r="D51" s="1664" t="str">
        <f>VLOOKUP(B51,'LOD 300 - CONTROL'!B:BJ,35,FALSE)</f>
        <v>#N/A</v>
      </c>
      <c r="E51" s="676" t="str">
        <f>VLOOKUP(B51,'LOD 300 - CONTROL'!B:CX,59,FALSE)</f>
        <v>#N/A</v>
      </c>
      <c r="F51" s="676" t="str">
        <f>VLOOKUP(B51,'LOD 300 - CONTROL'!B:EH,79,FALSE)</f>
        <v>#N/A</v>
      </c>
      <c r="G51" s="1665" t="str">
        <f>VLOOKUP(B51,'LOD 300 - CONTROL'!B:GM,101,FALSE)</f>
        <v>#N/A</v>
      </c>
    </row>
    <row r="52">
      <c r="A52" s="60">
        <v>57.0</v>
      </c>
      <c r="B52" s="895" t="s">
        <v>211</v>
      </c>
      <c r="C52" s="609"/>
      <c r="D52" s="610"/>
      <c r="E52" s="610"/>
      <c r="F52" s="610"/>
      <c r="G52" s="1670"/>
    </row>
    <row r="53">
      <c r="A53" s="60">
        <v>58.0</v>
      </c>
      <c r="B53" s="747" t="s">
        <v>213</v>
      </c>
      <c r="C53" s="593" t="str">
        <f>VLOOKUP(B53,'LOD 300 - CONTROL'!B:M,9,FALSE)</f>
        <v>#N/A</v>
      </c>
      <c r="D53" s="1664" t="str">
        <f>VLOOKUP(B53,'LOD 300 - CONTROL'!B:BJ,35,FALSE)</f>
        <v>#N/A</v>
      </c>
      <c r="E53" s="676" t="str">
        <f>VLOOKUP(B53,'LOD 300 - CONTROL'!B:CX,59,FALSE)</f>
        <v>#N/A</v>
      </c>
      <c r="F53" s="676" t="str">
        <f>VLOOKUP(B53,'LOD 300 - CONTROL'!B:EH,79,FALSE)</f>
        <v>#N/A</v>
      </c>
      <c r="G53" s="1665" t="str">
        <f>VLOOKUP(B53,'LOD 300 - CONTROL'!B:GM,101,FALSE)</f>
        <v>#N/A</v>
      </c>
    </row>
    <row r="54">
      <c r="A54" s="60">
        <v>59.0</v>
      </c>
      <c r="B54" s="747" t="s">
        <v>216</v>
      </c>
      <c r="C54" s="593" t="str">
        <f>VLOOKUP(B54,'LOD 300 - CONTROL'!B:M,9,FALSE)</f>
        <v>#N/A</v>
      </c>
      <c r="D54" s="1664" t="str">
        <f>VLOOKUP(B54,'LOD 300 - CONTROL'!B:BJ,35,FALSE)</f>
        <v>#N/A</v>
      </c>
      <c r="E54" s="676" t="str">
        <f>VLOOKUP(B54,'LOD 300 - CONTROL'!B:CX,59,FALSE)</f>
        <v>#N/A</v>
      </c>
      <c r="F54" s="676" t="str">
        <f>VLOOKUP(B54,'LOD 300 - CONTROL'!B:EH,79,FALSE)</f>
        <v>#N/A</v>
      </c>
      <c r="G54" s="1665" t="str">
        <f>VLOOKUP(B54,'LOD 300 - CONTROL'!B:GM,101,FALSE)</f>
        <v>#N/A</v>
      </c>
    </row>
    <row r="55">
      <c r="A55" s="60">
        <v>60.0</v>
      </c>
      <c r="B55" s="881" t="s">
        <v>219</v>
      </c>
      <c r="C55" s="615"/>
      <c r="D55" s="616"/>
      <c r="E55" s="616"/>
      <c r="F55" s="616"/>
      <c r="G55" s="1671"/>
    </row>
    <row r="56">
      <c r="A56" s="60">
        <v>61.0</v>
      </c>
      <c r="B56" s="747" t="s">
        <v>221</v>
      </c>
      <c r="C56" s="593" t="str">
        <f>VLOOKUP(B56,'LOD 300 - CONTROL'!B:M,9,FALSE)</f>
        <v>#N/A</v>
      </c>
      <c r="D56" s="1664" t="str">
        <f>VLOOKUP(B56,'LOD 300 - CONTROL'!B:BJ,35,FALSE)</f>
        <v>#N/A</v>
      </c>
      <c r="E56" s="676" t="str">
        <f>VLOOKUP(B56,'LOD 300 - CONTROL'!B:CX,59,FALSE)</f>
        <v>#N/A</v>
      </c>
      <c r="F56" s="676" t="str">
        <f>VLOOKUP(B56,'LOD 300 - CONTROL'!B:EH,79,FALSE)</f>
        <v>#N/A</v>
      </c>
      <c r="G56" s="1665" t="str">
        <f>VLOOKUP(B56,'LOD 300 - CONTROL'!B:GM,101,FALSE)</f>
        <v>#N/A</v>
      </c>
    </row>
    <row r="57">
      <c r="A57" s="60">
        <v>62.0</v>
      </c>
      <c r="B57" s="747" t="s">
        <v>223</v>
      </c>
      <c r="C57" s="593" t="str">
        <f>VLOOKUP(B57,'LOD 300 - CONTROL'!B:M,9,FALSE)</f>
        <v>#N/A</v>
      </c>
      <c r="D57" s="1664" t="str">
        <f>VLOOKUP(B57,'LOD 300 - CONTROL'!B:BJ,35,FALSE)</f>
        <v>#N/A</v>
      </c>
      <c r="E57" s="676" t="str">
        <f>VLOOKUP(B57,'LOD 300 - CONTROL'!B:CX,59,FALSE)</f>
        <v>#N/A</v>
      </c>
      <c r="F57" s="676" t="str">
        <f>VLOOKUP(B57,'LOD 300 - CONTROL'!B:EH,79,FALSE)</f>
        <v>#N/A</v>
      </c>
      <c r="G57" s="1665" t="str">
        <f>VLOOKUP(B57,'LOD 300 - CONTROL'!B:GM,101,FALSE)</f>
        <v>#N/A</v>
      </c>
    </row>
    <row r="58">
      <c r="A58" s="60">
        <v>63.0</v>
      </c>
      <c r="B58" s="862" t="s">
        <v>224</v>
      </c>
      <c r="C58" s="621"/>
      <c r="D58" s="622"/>
      <c r="E58" s="622"/>
      <c r="F58" s="622"/>
      <c r="G58" s="1672"/>
    </row>
    <row r="59">
      <c r="A59" s="60">
        <v>64.0</v>
      </c>
      <c r="B59" s="747" t="s">
        <v>226</v>
      </c>
      <c r="C59" s="593" t="str">
        <f>VLOOKUP(B59,'LOD 300 - CONTROL'!B:M,9,FALSE)</f>
        <v>#N/A</v>
      </c>
      <c r="D59" s="1664" t="str">
        <f>VLOOKUP(B59,'LOD 300 - CONTROL'!B:BJ,35,FALSE)</f>
        <v>#N/A</v>
      </c>
      <c r="E59" s="676" t="str">
        <f>VLOOKUP(B59,'LOD 300 - CONTROL'!B:CX,59,FALSE)</f>
        <v>#N/A</v>
      </c>
      <c r="F59" s="676" t="str">
        <f>VLOOKUP(B59,'LOD 300 - CONTROL'!B:EH,79,FALSE)</f>
        <v>#N/A</v>
      </c>
      <c r="G59" s="1665" t="str">
        <f>VLOOKUP(B59,'LOD 300 - CONTROL'!B:GM,101,FALSE)</f>
        <v>#N/A</v>
      </c>
    </row>
    <row r="60">
      <c r="A60" s="60">
        <v>65.0</v>
      </c>
      <c r="B60" s="747" t="s">
        <v>228</v>
      </c>
      <c r="C60" s="593" t="str">
        <f>VLOOKUP(B60,'LOD 300 - CONTROL'!B:M,9,FALSE)</f>
        <v>#N/A</v>
      </c>
      <c r="D60" s="1664" t="str">
        <f>VLOOKUP(B60,'LOD 300 - CONTROL'!B:BJ,35,FALSE)</f>
        <v>#N/A</v>
      </c>
      <c r="E60" s="676" t="str">
        <f>VLOOKUP(B60,'LOD 300 - CONTROL'!B:CX,59,FALSE)</f>
        <v>#N/A</v>
      </c>
      <c r="F60" s="676" t="str">
        <f>VLOOKUP(B60,'LOD 300 - CONTROL'!B:EH,79,FALSE)</f>
        <v>#N/A</v>
      </c>
      <c r="G60" s="1665" t="str">
        <f>VLOOKUP(B60,'LOD 300 - CONTROL'!B:GM,101,FALSE)</f>
        <v>#N/A</v>
      </c>
    </row>
    <row r="61">
      <c r="A61" s="60">
        <v>66.0</v>
      </c>
      <c r="B61" s="862" t="s">
        <v>229</v>
      </c>
      <c r="C61" s="621"/>
      <c r="D61" s="622"/>
      <c r="E61" s="622"/>
      <c r="F61" s="622"/>
      <c r="G61" s="1672"/>
    </row>
    <row r="62">
      <c r="A62" s="60">
        <v>67.0</v>
      </c>
      <c r="B62" s="747" t="s">
        <v>231</v>
      </c>
      <c r="C62" s="593" t="str">
        <f>VLOOKUP(B62,'LOD 300 - CONTROL'!B:M,9,FALSE)</f>
        <v>#N/A</v>
      </c>
      <c r="D62" s="1664" t="str">
        <f>VLOOKUP(B62,'LOD 300 - CONTROL'!B:BJ,35,FALSE)</f>
        <v>#N/A</v>
      </c>
      <c r="E62" s="676" t="str">
        <f>VLOOKUP(B62,'LOD 300 - CONTROL'!B:CX,59,FALSE)</f>
        <v>#N/A</v>
      </c>
      <c r="F62" s="676" t="str">
        <f>VLOOKUP(B62,'LOD 300 - CONTROL'!B:EH,79,FALSE)</f>
        <v>#N/A</v>
      </c>
      <c r="G62" s="1665" t="str">
        <f>VLOOKUP(B62,'LOD 300 - CONTROL'!B:GM,101,FALSE)</f>
        <v>#N/A</v>
      </c>
    </row>
    <row r="63">
      <c r="A63" s="60">
        <v>68.0</v>
      </c>
      <c r="B63" s="899" t="s">
        <v>233</v>
      </c>
      <c r="C63" s="627"/>
      <c r="D63" s="628"/>
      <c r="E63" s="628"/>
      <c r="F63" s="628"/>
      <c r="G63" s="1673"/>
    </row>
    <row r="64" hidden="1">
      <c r="A64" s="60">
        <v>69.0</v>
      </c>
      <c r="B64" s="747" t="s">
        <v>235</v>
      </c>
      <c r="C64" s="593" t="str">
        <f>VLOOKUP(B64,'LOD 300 - CONTROL'!B:M,9,FALSE)</f>
        <v>#N/A</v>
      </c>
      <c r="D64" s="1664" t="str">
        <f>VLOOKUP(B64,'LOD 300 - CONTROL'!B:BJ,35,FALSE)</f>
        <v>#N/A</v>
      </c>
      <c r="E64" s="676" t="str">
        <f>VLOOKUP(B64,'LOD 300 - CONTROL'!B:CX,59,FALSE)</f>
        <v>#N/A</v>
      </c>
      <c r="F64" s="676" t="str">
        <f>VLOOKUP(B64,'LOD 300 - CONTROL'!B:EH,79,FALSE)</f>
        <v>#N/A</v>
      </c>
      <c r="G64" s="1665" t="str">
        <f>VLOOKUP(B64,'LOD 300 - CONTROL'!B:GM,101,FALSE)</f>
        <v>#N/A</v>
      </c>
    </row>
    <row r="65">
      <c r="A65" s="60">
        <v>70.0</v>
      </c>
      <c r="B65" s="747" t="s">
        <v>237</v>
      </c>
      <c r="C65" s="593" t="str">
        <f>VLOOKUP(B65,'LOD 300 - CONTROL'!B:M,9,FALSE)</f>
        <v>#N/A</v>
      </c>
      <c r="D65" s="1664" t="str">
        <f>VLOOKUP(B65,'LOD 300 - CONTROL'!B:BJ,35,FALSE)</f>
        <v>#N/A</v>
      </c>
      <c r="E65" s="676" t="str">
        <f>VLOOKUP(B65,'LOD 300 - CONTROL'!B:CX,59,FALSE)</f>
        <v>#N/A</v>
      </c>
      <c r="F65" s="676" t="str">
        <f>VLOOKUP(B65,'LOD 300 - CONTROL'!B:EH,79,FALSE)</f>
        <v>#N/A</v>
      </c>
      <c r="G65" s="1665" t="str">
        <f>VLOOKUP(B65,'LOD 300 - CONTROL'!B:GM,101,FALSE)</f>
        <v>#N/A</v>
      </c>
    </row>
    <row r="66">
      <c r="A66" s="60">
        <v>71.0</v>
      </c>
      <c r="B66" s="1097" t="s">
        <v>238</v>
      </c>
      <c r="C66" s="633"/>
      <c r="D66" s="634"/>
      <c r="E66" s="634"/>
      <c r="F66" s="634"/>
      <c r="G66" s="1674"/>
    </row>
    <row r="67" hidden="1">
      <c r="A67" s="60">
        <v>72.0</v>
      </c>
      <c r="B67" s="747" t="s">
        <v>240</v>
      </c>
      <c r="C67" s="593" t="str">
        <f>VLOOKUP(B67,'LOD 300 - CONTROL'!B:M,9,FALSE)</f>
        <v>#N/A</v>
      </c>
      <c r="D67" s="1664" t="str">
        <f>VLOOKUP(B67,'LOD 300 - CONTROL'!B:BJ,35,FALSE)</f>
        <v>#N/A</v>
      </c>
      <c r="E67" s="676" t="str">
        <f>VLOOKUP(B67,'LOD 300 - CONTROL'!B:CX,59,FALSE)</f>
        <v>#N/A</v>
      </c>
      <c r="F67" s="676" t="str">
        <f>VLOOKUP(B67,'LOD 300 - CONTROL'!B:EH,79,FALSE)</f>
        <v>#N/A</v>
      </c>
      <c r="G67" s="1665" t="str">
        <f>VLOOKUP(B67,'LOD 300 - CONTROL'!B:GM,101,FALSE)</f>
        <v>#N/A</v>
      </c>
    </row>
    <row r="68">
      <c r="A68" s="60">
        <v>73.0</v>
      </c>
      <c r="B68" s="747" t="s">
        <v>242</v>
      </c>
      <c r="C68" s="593" t="str">
        <f>VLOOKUP(B68,'LOD 300 - CONTROL'!B:M,9,FALSE)</f>
        <v>#N/A</v>
      </c>
      <c r="D68" s="1664" t="str">
        <f>VLOOKUP(B68,'LOD 300 - CONTROL'!B:BJ,35,FALSE)</f>
        <v>#N/A</v>
      </c>
      <c r="E68" s="676" t="str">
        <f>VLOOKUP(B68,'LOD 300 - CONTROL'!B:CX,59,FALSE)</f>
        <v>#N/A</v>
      </c>
      <c r="F68" s="676" t="str">
        <f>VLOOKUP(B68,'LOD 300 - CONTROL'!B:EH,79,FALSE)</f>
        <v>#N/A</v>
      </c>
      <c r="G68" s="1665" t="str">
        <f>VLOOKUP(B68,'LOD 300 - CONTROL'!B:GM,101,FALSE)</f>
        <v>#N/A</v>
      </c>
    </row>
    <row r="69">
      <c r="A69" s="60">
        <v>74.0</v>
      </c>
      <c r="B69" s="747" t="s">
        <v>244</v>
      </c>
      <c r="C69" s="593" t="str">
        <f>VLOOKUP(B69,'LOD 300 - CONTROL'!B:M,9,FALSE)</f>
        <v>#N/A</v>
      </c>
      <c r="D69" s="1664" t="str">
        <f>VLOOKUP(B69,'LOD 300 - CONTROL'!B:BJ,35,FALSE)</f>
        <v>#N/A</v>
      </c>
      <c r="E69" s="676" t="str">
        <f>VLOOKUP(B69,'LOD 300 - CONTROL'!B:CX,59,FALSE)</f>
        <v>#N/A</v>
      </c>
      <c r="F69" s="676" t="str">
        <f>VLOOKUP(B69,'LOD 300 - CONTROL'!B:EH,79,FALSE)</f>
        <v>#N/A</v>
      </c>
      <c r="G69" s="1665" t="str">
        <f>VLOOKUP(B69,'LOD 300 - CONTROL'!B:GM,101,FALSE)</f>
        <v>#N/A</v>
      </c>
    </row>
    <row r="70">
      <c r="A70" s="60">
        <v>75.0</v>
      </c>
      <c r="B70" s="1103" t="s">
        <v>247</v>
      </c>
      <c r="C70" s="639"/>
      <c r="D70" s="640"/>
      <c r="E70" s="640"/>
      <c r="F70" s="640"/>
      <c r="G70" s="1675"/>
    </row>
    <row r="71">
      <c r="A71" s="60">
        <v>76.0</v>
      </c>
      <c r="B71" s="747" t="s">
        <v>249</v>
      </c>
      <c r="C71" s="593" t="str">
        <f>VLOOKUP(B71,'LOD 300 - CONTROL'!B:M,9,FALSE)</f>
        <v>#N/A</v>
      </c>
      <c r="D71" s="1664" t="str">
        <f>VLOOKUP(B71,'LOD 300 - CONTROL'!B:BJ,35,FALSE)</f>
        <v>#N/A</v>
      </c>
      <c r="E71" s="676" t="str">
        <f>VLOOKUP(B71,'LOD 300 - CONTROL'!B:CX,59,FALSE)</f>
        <v>#N/A</v>
      </c>
      <c r="F71" s="676" t="str">
        <f>VLOOKUP(B71,'LOD 300 - CONTROL'!B:EH,79,FALSE)</f>
        <v>#N/A</v>
      </c>
      <c r="G71" s="1665" t="str">
        <f>VLOOKUP(B71,'LOD 300 - CONTROL'!B:GM,101,FALSE)</f>
        <v>#N/A</v>
      </c>
    </row>
    <row r="72">
      <c r="A72" s="60">
        <v>77.0</v>
      </c>
      <c r="B72" s="747" t="s">
        <v>251</v>
      </c>
      <c r="C72" s="593" t="str">
        <f>VLOOKUP(B72,'LOD 300 - CONTROL'!B:M,9,FALSE)</f>
        <v>#N/A</v>
      </c>
      <c r="D72" s="1664" t="str">
        <f>VLOOKUP(B72,'LOD 300 - CONTROL'!B:BJ,35,FALSE)</f>
        <v>#N/A</v>
      </c>
      <c r="E72" s="676" t="str">
        <f>VLOOKUP(B72,'LOD 300 - CONTROL'!B:CX,59,FALSE)</f>
        <v>#N/A</v>
      </c>
      <c r="F72" s="676" t="str">
        <f>VLOOKUP(B72,'LOD 300 - CONTROL'!B:EH,79,FALSE)</f>
        <v>#N/A</v>
      </c>
      <c r="G72" s="1665" t="str">
        <f>VLOOKUP(B72,'LOD 300 - CONTROL'!B:GM,101,FALSE)</f>
        <v>#N/A</v>
      </c>
    </row>
    <row r="73">
      <c r="A73" s="60">
        <v>78.0</v>
      </c>
      <c r="B73" s="747" t="s">
        <v>253</v>
      </c>
      <c r="C73" s="593" t="str">
        <f>VLOOKUP(B73,'LOD 300 - CONTROL'!B:M,9,FALSE)</f>
        <v>#N/A</v>
      </c>
      <c r="D73" s="1664" t="str">
        <f>VLOOKUP(B73,'LOD 300 - CONTROL'!B:BJ,35,FALSE)</f>
        <v>#N/A</v>
      </c>
      <c r="E73" s="676" t="str">
        <f>VLOOKUP(B73,'LOD 300 - CONTROL'!B:CX,59,FALSE)</f>
        <v>#N/A</v>
      </c>
      <c r="F73" s="676" t="str">
        <f>VLOOKUP(B73,'LOD 300 - CONTROL'!B:EH,79,FALSE)</f>
        <v>#N/A</v>
      </c>
      <c r="G73" s="1665" t="str">
        <f>VLOOKUP(B73,'LOD 300 - CONTROL'!B:GM,101,FALSE)</f>
        <v>#N/A</v>
      </c>
    </row>
    <row r="74">
      <c r="A74" s="60">
        <v>79.0</v>
      </c>
      <c r="B74" s="747" t="s">
        <v>255</v>
      </c>
      <c r="C74" s="593" t="str">
        <f>VLOOKUP(B74,'LOD 300 - CONTROL'!B:M,9,FALSE)</f>
        <v>#N/A</v>
      </c>
      <c r="D74" s="1664" t="str">
        <f>VLOOKUP(B74,'LOD 300 - CONTROL'!B:BJ,35,FALSE)</f>
        <v>#N/A</v>
      </c>
      <c r="E74" s="676" t="str">
        <f>VLOOKUP(B74,'LOD 300 - CONTROL'!B:CX,59,FALSE)</f>
        <v>#N/A</v>
      </c>
      <c r="F74" s="676" t="str">
        <f>VLOOKUP(B74,'LOD 300 - CONTROL'!B:EH,79,FALSE)</f>
        <v>#N/A</v>
      </c>
      <c r="G74" s="1665" t="str">
        <f>VLOOKUP(B74,'LOD 300 - CONTROL'!B:GM,101,FALSE)</f>
        <v>#N/A</v>
      </c>
    </row>
    <row r="75">
      <c r="A75" s="60">
        <v>80.0</v>
      </c>
      <c r="B75" s="747" t="s">
        <v>258</v>
      </c>
      <c r="C75" s="593" t="str">
        <f>VLOOKUP(B75,'LOD 300 - CONTROL'!B:M,9,FALSE)</f>
        <v>#N/A</v>
      </c>
      <c r="D75" s="1664" t="str">
        <f>VLOOKUP(B75,'LOD 300 - CONTROL'!B:BJ,35,FALSE)</f>
        <v>#N/A</v>
      </c>
      <c r="E75" s="676" t="str">
        <f>VLOOKUP(B75,'LOD 300 - CONTROL'!B:CX,59,FALSE)</f>
        <v>#N/A</v>
      </c>
      <c r="F75" s="676" t="str">
        <f>VLOOKUP(B75,'LOD 300 - CONTROL'!B:EH,79,FALSE)</f>
        <v>#N/A</v>
      </c>
      <c r="G75" s="1665" t="str">
        <f>VLOOKUP(B75,'LOD 300 - CONTROL'!B:GM,101,FALSE)</f>
        <v>#N/A</v>
      </c>
    </row>
    <row r="76">
      <c r="A76" s="60">
        <v>81.0</v>
      </c>
      <c r="B76" s="747" t="s">
        <v>260</v>
      </c>
      <c r="C76" s="593" t="str">
        <f>VLOOKUP(B76,'LOD 300 - CONTROL'!B:M,9,FALSE)</f>
        <v>#N/A</v>
      </c>
      <c r="D76" s="1664" t="str">
        <f>VLOOKUP(B76,'LOD 300 - CONTROL'!B:BJ,35,FALSE)</f>
        <v>#N/A</v>
      </c>
      <c r="E76" s="676" t="str">
        <f>VLOOKUP(B76,'LOD 300 - CONTROL'!B:CX,59,FALSE)</f>
        <v>#N/A</v>
      </c>
      <c r="F76" s="676" t="str">
        <f>VLOOKUP(B76,'LOD 300 - CONTROL'!B:EH,79,FALSE)</f>
        <v>#N/A</v>
      </c>
      <c r="G76" s="1665" t="str">
        <f>VLOOKUP(B76,'LOD 300 - CONTROL'!B:GM,101,FALSE)</f>
        <v>#N/A</v>
      </c>
    </row>
    <row r="77">
      <c r="A77" s="60">
        <v>82.0</v>
      </c>
      <c r="B77" s="1112" t="s">
        <v>261</v>
      </c>
      <c r="C77" s="645"/>
      <c r="D77" s="646"/>
      <c r="E77" s="646"/>
      <c r="F77" s="646"/>
      <c r="G77" s="1676"/>
    </row>
    <row r="78">
      <c r="A78" s="60">
        <v>83.0</v>
      </c>
      <c r="B78" s="747" t="s">
        <v>263</v>
      </c>
      <c r="C78" s="593" t="str">
        <f>VLOOKUP(B78,'LOD 300 - CONTROL'!B:M,9,FALSE)</f>
        <v>#N/A</v>
      </c>
      <c r="D78" s="1664" t="str">
        <f>VLOOKUP(B78,'LOD 300 - CONTROL'!B:BJ,35,FALSE)</f>
        <v>#N/A</v>
      </c>
      <c r="E78" s="676" t="str">
        <f>VLOOKUP(B78,'LOD 300 - CONTROL'!B:CX,59,FALSE)</f>
        <v>#N/A</v>
      </c>
      <c r="F78" s="676" t="str">
        <f>VLOOKUP(B78,'LOD 300 - CONTROL'!B:EH,79,FALSE)</f>
        <v>#N/A</v>
      </c>
      <c r="G78" s="1665" t="str">
        <f>VLOOKUP(B78,'LOD 300 - CONTROL'!B:GM,101,FALSE)</f>
        <v>#N/A</v>
      </c>
    </row>
    <row r="79">
      <c r="A79" s="60">
        <v>84.0</v>
      </c>
      <c r="B79" s="747" t="s">
        <v>265</v>
      </c>
      <c r="C79" s="593" t="str">
        <f>VLOOKUP(B79,'LOD 300 - CONTROL'!B:M,9,FALSE)</f>
        <v>#N/A</v>
      </c>
      <c r="D79" s="1664" t="str">
        <f>VLOOKUP(B79,'LOD 300 - CONTROL'!B:BJ,35,FALSE)</f>
        <v>#N/A</v>
      </c>
      <c r="E79" s="676" t="str">
        <f>VLOOKUP(B79,'LOD 300 - CONTROL'!B:CX,59,FALSE)</f>
        <v>#N/A</v>
      </c>
      <c r="F79" s="676" t="str">
        <f>VLOOKUP(B79,'LOD 300 - CONTROL'!B:EH,79,FALSE)</f>
        <v>#N/A</v>
      </c>
      <c r="G79" s="1665" t="str">
        <f>VLOOKUP(B79,'LOD 300 - CONTROL'!B:GM,101,FALSE)</f>
        <v>#N/A</v>
      </c>
    </row>
    <row r="80">
      <c r="A80" s="60">
        <v>85.0</v>
      </c>
      <c r="B80" s="1120" t="s">
        <v>266</v>
      </c>
      <c r="C80" s="651"/>
      <c r="D80" s="652"/>
      <c r="E80" s="652"/>
      <c r="F80" s="652"/>
      <c r="G80" s="1677"/>
    </row>
    <row r="81" hidden="1">
      <c r="A81" s="60">
        <v>86.0</v>
      </c>
      <c r="B81" s="747" t="s">
        <v>268</v>
      </c>
      <c r="C81" s="593" t="str">
        <f>VLOOKUP(B81,'LOD 300 - CONTROL'!B:M,9,FALSE)</f>
        <v>#N/A</v>
      </c>
      <c r="D81" s="1664" t="str">
        <f>VLOOKUP(B81,'LOD 300 - CONTROL'!B:BJ,35,FALSE)</f>
        <v>#N/A</v>
      </c>
      <c r="E81" s="676" t="str">
        <f>VLOOKUP(B81,'LOD 300 - CONTROL'!B:CX,59,FALSE)</f>
        <v>#N/A</v>
      </c>
      <c r="F81" s="676" t="str">
        <f>VLOOKUP(B81,'LOD 300 - CONTROL'!B:EH,79,FALSE)</f>
        <v>#N/A</v>
      </c>
      <c r="G81" s="1665" t="str">
        <f>VLOOKUP(B81,'LOD 300 - CONTROL'!B:GM,101,FALSE)</f>
        <v>#N/A</v>
      </c>
    </row>
    <row r="82">
      <c r="A82" s="60">
        <v>87.0</v>
      </c>
      <c r="B82" s="1130" t="s">
        <v>270</v>
      </c>
      <c r="C82" s="657"/>
      <c r="D82" s="658"/>
      <c r="E82" s="658"/>
      <c r="F82" s="658"/>
      <c r="G82" s="1678"/>
    </row>
    <row r="83">
      <c r="A83" s="60">
        <v>88.0</v>
      </c>
      <c r="B83" s="747" t="s">
        <v>272</v>
      </c>
      <c r="C83" s="593" t="str">
        <f>VLOOKUP(B83,'LOD 300 - CONTROL'!B:M,9,FALSE)</f>
        <v>#N/A</v>
      </c>
      <c r="D83" s="1664" t="str">
        <f>VLOOKUP(B83,'LOD 300 - CONTROL'!B:BJ,35,FALSE)</f>
        <v>#N/A</v>
      </c>
      <c r="E83" s="676" t="str">
        <f>VLOOKUP(B83,'LOD 300 - CONTROL'!B:CX,59,FALSE)</f>
        <v>#N/A</v>
      </c>
      <c r="F83" s="676" t="str">
        <f>VLOOKUP(B83,'LOD 300 - CONTROL'!B:EH,79,FALSE)</f>
        <v>#N/A</v>
      </c>
      <c r="G83" s="1665" t="str">
        <f>VLOOKUP(B83,'LOD 300 - CONTROL'!B:GM,101,FALSE)</f>
        <v>#N/A</v>
      </c>
    </row>
    <row r="84">
      <c r="A84" s="60">
        <v>89.0</v>
      </c>
      <c r="B84" s="747" t="s">
        <v>275</v>
      </c>
      <c r="C84" s="593" t="str">
        <f>VLOOKUP(B84,'LOD 300 - CONTROL'!B:M,9,FALSE)</f>
        <v>#N/A</v>
      </c>
      <c r="D84" s="1664" t="str">
        <f>VLOOKUP(B84,'LOD 300 - CONTROL'!B:BJ,35,FALSE)</f>
        <v>#N/A</v>
      </c>
      <c r="E84" s="676" t="str">
        <f>VLOOKUP(B84,'LOD 300 - CONTROL'!B:CX,59,FALSE)</f>
        <v>#N/A</v>
      </c>
      <c r="F84" s="676" t="str">
        <f>VLOOKUP(B84,'LOD 300 - CONTROL'!B:EH,79,FALSE)</f>
        <v>#N/A</v>
      </c>
      <c r="G84" s="1665" t="str">
        <f>VLOOKUP(B84,'LOD 300 - CONTROL'!B:GM,101,FALSE)</f>
        <v>#N/A</v>
      </c>
    </row>
    <row r="85">
      <c r="A85" s="60">
        <v>90.0</v>
      </c>
      <c r="B85" s="747" t="s">
        <v>277</v>
      </c>
      <c r="C85" s="593" t="str">
        <f>VLOOKUP(B85,'LOD 300 - CONTROL'!B:M,9,FALSE)</f>
        <v>#N/A</v>
      </c>
      <c r="D85" s="1664" t="str">
        <f>VLOOKUP(B85,'LOD 300 - CONTROL'!B:BJ,35,FALSE)</f>
        <v>#N/A</v>
      </c>
      <c r="E85" s="676" t="str">
        <f>VLOOKUP(B85,'LOD 300 - CONTROL'!B:CX,59,FALSE)</f>
        <v>#N/A</v>
      </c>
      <c r="F85" s="676" t="str">
        <f>VLOOKUP(B85,'LOD 300 - CONTROL'!B:EH,79,FALSE)</f>
        <v>#N/A</v>
      </c>
      <c r="G85" s="1665" t="str">
        <f>VLOOKUP(B85,'LOD 300 - CONTROL'!B:GM,101,FALSE)</f>
        <v>#N/A</v>
      </c>
    </row>
    <row r="86" hidden="1">
      <c r="A86" s="60">
        <v>91.0</v>
      </c>
      <c r="B86" s="747" t="s">
        <v>279</v>
      </c>
      <c r="C86" s="593" t="str">
        <f>VLOOKUP(B86,'LOD 300 - CONTROL'!B:M,9,FALSE)</f>
        <v>#N/A</v>
      </c>
      <c r="D86" s="1664" t="str">
        <f>VLOOKUP(B86,'LOD 300 - CONTROL'!B:BJ,35,FALSE)</f>
        <v>#N/A</v>
      </c>
      <c r="E86" s="676" t="str">
        <f>VLOOKUP(B86,'LOD 300 - CONTROL'!B:CX,59,FALSE)</f>
        <v>#N/A</v>
      </c>
      <c r="F86" s="676" t="str">
        <f>VLOOKUP(B86,'LOD 300 - CONTROL'!B:EH,79,FALSE)</f>
        <v>#N/A</v>
      </c>
      <c r="G86" s="1665" t="str">
        <f>VLOOKUP(B86,'LOD 300 - CONTROL'!B:GM,101,FALSE)</f>
        <v>#N/A</v>
      </c>
    </row>
    <row r="87">
      <c r="A87" s="60">
        <v>92.0</v>
      </c>
      <c r="B87" s="747" t="s">
        <v>281</v>
      </c>
      <c r="C87" s="593" t="str">
        <f>VLOOKUP(B87,'LOD 300 - CONTROL'!B:M,9,FALSE)</f>
        <v>#N/A</v>
      </c>
      <c r="D87" s="1664" t="str">
        <f>VLOOKUP(B87,'LOD 300 - CONTROL'!B:BJ,35,FALSE)</f>
        <v>#N/A</v>
      </c>
      <c r="E87" s="676" t="str">
        <f>VLOOKUP(B87,'LOD 300 - CONTROL'!B:CX,59,FALSE)</f>
        <v>#N/A</v>
      </c>
      <c r="F87" s="676" t="str">
        <f>VLOOKUP(B87,'LOD 300 - CONTROL'!B:EH,79,FALSE)</f>
        <v>#N/A</v>
      </c>
      <c r="G87" s="1665" t="str">
        <f>VLOOKUP(B87,'LOD 300 - CONTROL'!B:GM,101,FALSE)</f>
        <v>#N/A</v>
      </c>
    </row>
    <row r="88">
      <c r="A88" s="60">
        <v>93.0</v>
      </c>
      <c r="B88" s="1138" t="s">
        <v>284</v>
      </c>
      <c r="C88" s="663"/>
      <c r="D88" s="664"/>
      <c r="E88" s="664"/>
      <c r="F88" s="664"/>
      <c r="G88" s="1679"/>
    </row>
    <row r="89">
      <c r="A89" s="60">
        <v>94.0</v>
      </c>
      <c r="B89" s="747" t="s">
        <v>286</v>
      </c>
      <c r="C89" s="593" t="str">
        <f>VLOOKUP(B89,'LOD 300 - CONTROL'!B:M,9,FALSE)</f>
        <v>#N/A</v>
      </c>
      <c r="D89" s="1664" t="str">
        <f>VLOOKUP(B89,'LOD 300 - CONTROL'!B:BJ,35,FALSE)</f>
        <v>#N/A</v>
      </c>
      <c r="E89" s="676" t="str">
        <f>VLOOKUP(B89,'LOD 300 - CONTROL'!B:CX,59,FALSE)</f>
        <v>#N/A</v>
      </c>
      <c r="F89" s="676" t="str">
        <f>VLOOKUP(B89,'LOD 300 - CONTROL'!B:EH,79,FALSE)</f>
        <v>#N/A</v>
      </c>
      <c r="G89" s="1665" t="str">
        <f>VLOOKUP(B89,'LOD 300 - CONTROL'!B:GM,101,FALSE)</f>
        <v>#N/A</v>
      </c>
    </row>
    <row r="90">
      <c r="A90" s="60">
        <v>95.0</v>
      </c>
      <c r="B90" s="747" t="s">
        <v>290</v>
      </c>
      <c r="C90" s="593" t="str">
        <f>VLOOKUP(B90,'LOD 300 - CONTROL'!B:M,9,FALSE)</f>
        <v>#N/A</v>
      </c>
      <c r="D90" s="1664" t="str">
        <f>VLOOKUP(B90,'LOD 300 - CONTROL'!B:BJ,35,FALSE)</f>
        <v>#N/A</v>
      </c>
      <c r="E90" s="676" t="str">
        <f>VLOOKUP(B90,'LOD 300 - CONTROL'!B:CX,59,FALSE)</f>
        <v>#N/A</v>
      </c>
      <c r="F90" s="676" t="str">
        <f>VLOOKUP(B90,'LOD 300 - CONTROL'!B:EH,79,FALSE)</f>
        <v>#N/A</v>
      </c>
      <c r="G90" s="1665" t="str">
        <f>VLOOKUP(B90,'LOD 300 - CONTROL'!B:GM,101,FALSE)</f>
        <v>#N/A</v>
      </c>
    </row>
    <row r="91">
      <c r="A91" s="60">
        <v>96.0</v>
      </c>
      <c r="B91" s="747" t="s">
        <v>292</v>
      </c>
      <c r="C91" s="593" t="str">
        <f>VLOOKUP(B91,'LOD 300 - CONTROL'!B:M,9,FALSE)</f>
        <v>#N/A</v>
      </c>
      <c r="D91" s="1664" t="str">
        <f>VLOOKUP(B91,'LOD 300 - CONTROL'!B:BJ,35,FALSE)</f>
        <v>#N/A</v>
      </c>
      <c r="E91" s="676" t="str">
        <f>VLOOKUP(B91,'LOD 300 - CONTROL'!B:CX,59,FALSE)</f>
        <v>#N/A</v>
      </c>
      <c r="F91" s="676" t="str">
        <f>VLOOKUP(B91,'LOD 300 - CONTROL'!B:EH,79,FALSE)</f>
        <v>#N/A</v>
      </c>
      <c r="G91" s="1665" t="str">
        <f>VLOOKUP(B91,'LOD 300 - CONTROL'!B:GM,101,FALSE)</f>
        <v>#N/A</v>
      </c>
    </row>
    <row r="92">
      <c r="A92" s="60">
        <v>97.0</v>
      </c>
      <c r="B92" s="747" t="s">
        <v>295</v>
      </c>
      <c r="C92" s="593" t="str">
        <f>VLOOKUP(B92,'LOD 300 - CONTROL'!B:M,9,FALSE)</f>
        <v>#N/A</v>
      </c>
      <c r="D92" s="1664" t="str">
        <f>VLOOKUP(B92,'LOD 300 - CONTROL'!B:BJ,35,FALSE)</f>
        <v>#N/A</v>
      </c>
      <c r="E92" s="676" t="str">
        <f>VLOOKUP(B92,'LOD 300 - CONTROL'!B:CX,59,FALSE)</f>
        <v>#N/A</v>
      </c>
      <c r="F92" s="676" t="str">
        <f>VLOOKUP(B92,'LOD 300 - CONTROL'!B:EH,79,FALSE)</f>
        <v>#N/A</v>
      </c>
      <c r="G92" s="1665" t="str">
        <f>VLOOKUP(B92,'LOD 300 - CONTROL'!B:GM,101,FALSE)</f>
        <v>#N/A</v>
      </c>
    </row>
    <row r="93">
      <c r="A93" s="60">
        <v>98.0</v>
      </c>
      <c r="B93" s="747" t="s">
        <v>297</v>
      </c>
      <c r="C93" s="593" t="str">
        <f>VLOOKUP(B93,'LOD 300 - CONTROL'!B:M,9,FALSE)</f>
        <v>#N/A</v>
      </c>
      <c r="D93" s="1664" t="str">
        <f>VLOOKUP(B93,'LOD 300 - CONTROL'!B:BJ,35,FALSE)</f>
        <v>#N/A</v>
      </c>
      <c r="E93" s="676" t="str">
        <f>VLOOKUP(B93,'LOD 300 - CONTROL'!B:CX,59,FALSE)</f>
        <v>#N/A</v>
      </c>
      <c r="F93" s="676" t="str">
        <f>VLOOKUP(B93,'LOD 300 - CONTROL'!B:EH,79,FALSE)</f>
        <v>#N/A</v>
      </c>
      <c r="G93" s="1665" t="str">
        <f>VLOOKUP(B93,'LOD 300 - CONTROL'!B:GM,101,FALSE)</f>
        <v>#N/A</v>
      </c>
    </row>
    <row r="94" hidden="1">
      <c r="A94" s="60">
        <v>99.0</v>
      </c>
      <c r="B94" s="747" t="s">
        <v>300</v>
      </c>
      <c r="C94" s="593" t="str">
        <f>VLOOKUP(B94,'LOD 300 - CONTROL'!B:M,9,FALSE)</f>
        <v>#N/A</v>
      </c>
      <c r="D94" s="1664" t="str">
        <f>VLOOKUP(B94,'LOD 300 - CONTROL'!B:BJ,35,FALSE)</f>
        <v>#N/A</v>
      </c>
      <c r="E94" s="676" t="str">
        <f>VLOOKUP(B94,'LOD 300 - CONTROL'!B:CX,59,FALSE)</f>
        <v>#N/A</v>
      </c>
      <c r="F94" s="676" t="str">
        <f>VLOOKUP(B94,'LOD 300 - CONTROL'!B:EH,79,FALSE)</f>
        <v>#N/A</v>
      </c>
      <c r="G94" s="1665" t="str">
        <f>VLOOKUP(B94,'LOD 300 - CONTROL'!B:GM,101,FALSE)</f>
        <v>#N/A</v>
      </c>
    </row>
    <row r="95" hidden="1">
      <c r="A95" s="60">
        <v>100.0</v>
      </c>
      <c r="B95" s="747" t="s">
        <v>302</v>
      </c>
      <c r="C95" s="593" t="str">
        <f>VLOOKUP(B95,'LOD 300 - CONTROL'!B:M,9,FALSE)</f>
        <v>#N/A</v>
      </c>
      <c r="D95" s="1664" t="str">
        <f>VLOOKUP(B95,'LOD 300 - CONTROL'!B:BJ,35,FALSE)</f>
        <v>#N/A</v>
      </c>
      <c r="E95" s="676" t="str">
        <f>VLOOKUP(B95,'LOD 300 - CONTROL'!B:CX,59,FALSE)</f>
        <v>#N/A</v>
      </c>
      <c r="F95" s="676" t="str">
        <f>VLOOKUP(B95,'LOD 300 - CONTROL'!B:EH,79,FALSE)</f>
        <v>#N/A</v>
      </c>
      <c r="G95" s="1665" t="str">
        <f>VLOOKUP(B95,'LOD 300 - CONTROL'!B:GM,101,FALSE)</f>
        <v>#N/A</v>
      </c>
    </row>
    <row r="96">
      <c r="A96" s="60">
        <v>101.0</v>
      </c>
      <c r="B96" s="747" t="s">
        <v>305</v>
      </c>
      <c r="C96" s="593" t="str">
        <f>VLOOKUP(B96,'LOD 300 - CONTROL'!B:M,9,FALSE)</f>
        <v>#N/A</v>
      </c>
      <c r="D96" s="1664" t="str">
        <f>VLOOKUP(B96,'LOD 300 - CONTROL'!B:BJ,35,FALSE)</f>
        <v>#N/A</v>
      </c>
      <c r="E96" s="676" t="str">
        <f>VLOOKUP(B96,'LOD 300 - CONTROL'!B:CX,59,FALSE)</f>
        <v>#N/A</v>
      </c>
      <c r="F96" s="676" t="str">
        <f>VLOOKUP(B96,'LOD 300 - CONTROL'!B:EH,79,FALSE)</f>
        <v>#N/A</v>
      </c>
      <c r="G96" s="1665" t="str">
        <f>VLOOKUP(B96,'LOD 300 - CONTROL'!B:GM,101,FALSE)</f>
        <v>#N/A</v>
      </c>
    </row>
    <row r="97" hidden="1">
      <c r="A97" s="60">
        <v>102.0</v>
      </c>
      <c r="B97" s="747" t="s">
        <v>307</v>
      </c>
      <c r="C97" s="593" t="str">
        <f>VLOOKUP(B97,'LOD 300 - CONTROL'!B:M,9,FALSE)</f>
        <v>#N/A</v>
      </c>
      <c r="D97" s="1664" t="str">
        <f>VLOOKUP(B97,'LOD 300 - CONTROL'!B:BJ,35,FALSE)</f>
        <v>#N/A</v>
      </c>
      <c r="E97" s="676" t="str">
        <f>VLOOKUP(B97,'LOD 300 - CONTROL'!B:CX,59,FALSE)</f>
        <v>#N/A</v>
      </c>
      <c r="F97" s="676" t="str">
        <f>VLOOKUP(B97,'LOD 300 - CONTROL'!B:EH,79,FALSE)</f>
        <v>#N/A</v>
      </c>
      <c r="G97" s="1665" t="str">
        <f>VLOOKUP(B97,'LOD 300 - CONTROL'!B:GM,101,FALSE)</f>
        <v>#N/A</v>
      </c>
    </row>
    <row r="98">
      <c r="A98" s="60">
        <v>103.0</v>
      </c>
      <c r="B98" s="747" t="s">
        <v>310</v>
      </c>
      <c r="C98" s="593" t="str">
        <f>VLOOKUP(B98,'LOD 300 - CONTROL'!B:M,9,FALSE)</f>
        <v>#N/A</v>
      </c>
      <c r="D98" s="1664" t="str">
        <f>VLOOKUP(B98,'LOD 300 - CONTROL'!B:BJ,35,FALSE)</f>
        <v>#N/A</v>
      </c>
      <c r="E98" s="676" t="str">
        <f>VLOOKUP(B98,'LOD 300 - CONTROL'!B:CX,59,FALSE)</f>
        <v>#N/A</v>
      </c>
      <c r="F98" s="676" t="str">
        <f>VLOOKUP(B98,'LOD 300 - CONTROL'!B:EH,79,FALSE)</f>
        <v>#N/A</v>
      </c>
      <c r="G98" s="1665" t="str">
        <f>VLOOKUP(B98,'LOD 300 - CONTROL'!B:GM,101,FALSE)</f>
        <v>#N/A</v>
      </c>
    </row>
    <row r="99" hidden="1">
      <c r="A99" s="60">
        <v>104.0</v>
      </c>
      <c r="B99" s="747" t="s">
        <v>312</v>
      </c>
      <c r="C99" s="593" t="str">
        <f>VLOOKUP(B99,'LOD 300 - CONTROL'!B:M,9,FALSE)</f>
        <v>#N/A</v>
      </c>
      <c r="D99" s="1664" t="str">
        <f>VLOOKUP(B99,'LOD 300 - CONTROL'!B:BJ,35,FALSE)</f>
        <v>#N/A</v>
      </c>
      <c r="E99" s="676" t="str">
        <f>VLOOKUP(B99,'LOD 300 - CONTROL'!B:CX,59,FALSE)</f>
        <v>#N/A</v>
      </c>
      <c r="F99" s="676" t="str">
        <f>VLOOKUP(B99,'LOD 300 - CONTROL'!B:EH,79,FALSE)</f>
        <v>#N/A</v>
      </c>
      <c r="G99" s="1665" t="str">
        <f>VLOOKUP(B99,'LOD 300 - CONTROL'!B:GM,101,FALSE)</f>
        <v>#N/A</v>
      </c>
    </row>
    <row r="100" hidden="1">
      <c r="A100" s="60">
        <v>105.0</v>
      </c>
      <c r="B100" s="747" t="s">
        <v>314</v>
      </c>
      <c r="C100" s="593" t="str">
        <f>VLOOKUP(B100,'LOD 300 - CONTROL'!B:M,9,FALSE)</f>
        <v>#N/A</v>
      </c>
      <c r="D100" s="1664" t="str">
        <f>VLOOKUP(B100,'LOD 300 - CONTROL'!B:BJ,35,FALSE)</f>
        <v>#N/A</v>
      </c>
      <c r="E100" s="676" t="str">
        <f>VLOOKUP(B100,'LOD 300 - CONTROL'!B:CX,59,FALSE)</f>
        <v>#N/A</v>
      </c>
      <c r="F100" s="676" t="str">
        <f>VLOOKUP(B100,'LOD 300 - CONTROL'!B:EH,79,FALSE)</f>
        <v>#N/A</v>
      </c>
      <c r="G100" s="1665" t="str">
        <f>VLOOKUP(B100,'LOD 300 - CONTROL'!B:GM,101,FALSE)</f>
        <v>#N/A</v>
      </c>
    </row>
    <row r="101">
      <c r="A101" s="60">
        <v>106.0</v>
      </c>
      <c r="B101" s="747" t="s">
        <v>316</v>
      </c>
      <c r="C101" s="593" t="str">
        <f>VLOOKUP(B101,'LOD 300 - CONTROL'!B:M,9,FALSE)</f>
        <v>07/11/2025</v>
      </c>
      <c r="D101" s="594">
        <f>VLOOKUP(B101,'LOD 300 - CONTROL'!B:BJ,35,FALSE)</f>
        <v>1</v>
      </c>
      <c r="E101" s="595">
        <f>VLOOKUP(B101,'LOD 300 - CONTROL'!B:CX,59,FALSE)</f>
        <v>1</v>
      </c>
      <c r="F101" s="595" t="str">
        <f>VLOOKUP(B101,'LOD 300 - CONTROL'!B:EH,79,FALSE)</f>
        <v>N/A</v>
      </c>
      <c r="G101" s="1680" t="str">
        <f>VLOOKUP(B101,'LOD 300 - CONTROL'!B:GM,101,FALSE)</f>
        <v>N/A</v>
      </c>
    </row>
    <row r="102">
      <c r="A102" s="60">
        <v>107.0</v>
      </c>
      <c r="B102" s="747" t="s">
        <v>318</v>
      </c>
      <c r="C102" s="593" t="str">
        <f>VLOOKUP(B102,'LOD 300 - CONTROL'!B:M,9,FALSE)</f>
        <v>07/11/2025</v>
      </c>
      <c r="D102" s="594" t="str">
        <f>VLOOKUP(B102,'LOD 300 - CONTROL'!B:BJ,35,FALSE)</f>
        <v>N/A</v>
      </c>
      <c r="E102" s="595" t="str">
        <f>VLOOKUP(B102,'LOD 300 - CONTROL'!B:CX,59,FALSE)</f>
        <v>N/A</v>
      </c>
      <c r="F102" s="595">
        <f>VLOOKUP(B102,'LOD 300 - CONTROL'!B:EH,79,FALSE)</f>
        <v>1</v>
      </c>
      <c r="G102" s="1680">
        <f>VLOOKUP(B102,'LOD 300 - CONTROL'!B:GM,101,FALSE)</f>
        <v>1</v>
      </c>
    </row>
    <row r="103">
      <c r="A103" s="60">
        <v>108.0</v>
      </c>
      <c r="B103" s="747" t="s">
        <v>320</v>
      </c>
      <c r="C103" s="593" t="str">
        <f>VLOOKUP(B103,'LOD 300 - CONTROL'!B:M,9,FALSE)</f>
        <v>07/11/2025</v>
      </c>
      <c r="D103" s="594" t="str">
        <f>VLOOKUP(B103,'LOD 300 - CONTROL'!B:BJ,35,FALSE)</f>
        <v>N/A</v>
      </c>
      <c r="E103" s="595" t="str">
        <f>VLOOKUP(B103,'LOD 300 - CONTROL'!B:CX,59,FALSE)</f>
        <v>N/A</v>
      </c>
      <c r="F103" s="595" t="str">
        <f>VLOOKUP(B103,'LOD 300 - CONTROL'!B:EH,79,FALSE)</f>
        <v>N/A</v>
      </c>
      <c r="G103" s="1680" t="str">
        <f>VLOOKUP(B103,'LOD 300 - CONTROL'!B:GM,101,FALSE)</f>
        <v>N/A</v>
      </c>
    </row>
    <row r="104">
      <c r="A104" s="60">
        <v>109.0</v>
      </c>
      <c r="B104" s="747" t="s">
        <v>322</v>
      </c>
      <c r="C104" s="593" t="str">
        <f>VLOOKUP(B104,'LOD 300 - CONTROL'!B:M,9,FALSE)</f>
        <v>07/11/2025</v>
      </c>
      <c r="D104" s="594" t="str">
        <f>VLOOKUP(B104,'LOD 300 - CONTROL'!B:BJ,35,FALSE)</f>
        <v>N/A</v>
      </c>
      <c r="E104" s="595" t="str">
        <f>VLOOKUP(B104,'LOD 300 - CONTROL'!B:CX,59,FALSE)</f>
        <v>N/A</v>
      </c>
      <c r="F104" s="595" t="str">
        <f>VLOOKUP(B104,'LOD 300 - CONTROL'!B:EH,79,FALSE)</f>
        <v>N/A</v>
      </c>
      <c r="G104" s="1680" t="str">
        <f>VLOOKUP(B104,'LOD 300 - CONTROL'!B:GM,101,FALSE)</f>
        <v>N/A</v>
      </c>
    </row>
    <row r="105">
      <c r="A105" s="60">
        <v>110.0</v>
      </c>
      <c r="B105" s="747" t="s">
        <v>324</v>
      </c>
      <c r="C105" s="593" t="str">
        <f>VLOOKUP(B105,'LOD 300 - CONTROL'!B:M,9,FALSE)</f>
        <v>05/12/2025</v>
      </c>
      <c r="D105" s="594" t="str">
        <f>VLOOKUP(B105,'LOD 300 - CONTROL'!B:BJ,35,FALSE)</f>
        <v>N/A</v>
      </c>
      <c r="E105" s="595" t="str">
        <f>VLOOKUP(B105,'LOD 300 - CONTROL'!B:CX,59,FALSE)</f>
        <v>N/A</v>
      </c>
      <c r="F105" s="595" t="str">
        <f>VLOOKUP(B105,'LOD 300 - CONTROL'!B:EH,79,FALSE)</f>
        <v>N/A</v>
      </c>
      <c r="G105" s="1680" t="str">
        <f>VLOOKUP(B105,'LOD 300 - CONTROL'!B:GM,101,FALSE)</f>
        <v>N/A</v>
      </c>
    </row>
    <row r="106">
      <c r="A106" s="60">
        <v>111.0</v>
      </c>
      <c r="B106" s="747" t="s">
        <v>325</v>
      </c>
      <c r="C106" s="593" t="str">
        <f>VLOOKUP(B106,'LOD 300 - CONTROL'!B:M,9,FALSE)</f>
        <v>07/11/2025</v>
      </c>
      <c r="D106" s="594" t="str">
        <f>VLOOKUP(B106,'LOD 300 - CONTROL'!B:BJ,35,FALSE)</f>
        <v>N/A</v>
      </c>
      <c r="E106" s="595" t="str">
        <f>VLOOKUP(B106,'LOD 300 - CONTROL'!B:CX,59,FALSE)</f>
        <v>N/A</v>
      </c>
      <c r="F106" s="595" t="str">
        <f>VLOOKUP(B106,'LOD 300 - CONTROL'!B:EH,79,FALSE)</f>
        <v>N/A</v>
      </c>
      <c r="G106" s="1680" t="str">
        <f>VLOOKUP(B106,'LOD 300 - CONTROL'!B:GM,101,FALSE)</f>
        <v>N/A</v>
      </c>
    </row>
    <row r="107">
      <c r="A107" s="60">
        <v>112.0</v>
      </c>
      <c r="B107" s="747" t="s">
        <v>327</v>
      </c>
      <c r="C107" s="593" t="str">
        <f>VLOOKUP(B107,'LOD 300 - CONTROL'!B:M,9,FALSE)</f>
        <v>11/02/2026</v>
      </c>
      <c r="D107" s="594" t="str">
        <f>VLOOKUP(B107,'LOD 300 - CONTROL'!B:BJ,35,FALSE)</f>
        <v>N/A</v>
      </c>
      <c r="E107" s="595" t="str">
        <f>VLOOKUP(B107,'LOD 300 - CONTROL'!B:CX,59,FALSE)</f>
        <v>N/A</v>
      </c>
      <c r="F107" s="595" t="str">
        <f>VLOOKUP(B107,'LOD 300 - CONTROL'!B:EH,79,FALSE)</f>
        <v>N/A</v>
      </c>
      <c r="G107" s="1680" t="str">
        <f>VLOOKUP(B107,'LOD 300 - CONTROL'!B:GM,101,FALSE)</f>
        <v>N/A</v>
      </c>
    </row>
    <row r="108">
      <c r="A108" s="60">
        <v>113.0</v>
      </c>
      <c r="B108" s="747" t="s">
        <v>328</v>
      </c>
      <c r="C108" s="593" t="str">
        <f>VLOOKUP(B108,'LOD 300 - CONTROL'!B:M,9,FALSE)</f>
        <v>01/11/2025</v>
      </c>
      <c r="D108" s="594" t="str">
        <f>VLOOKUP(B108,'LOD 300 - CONTROL'!B:BJ,35,FALSE)</f>
        <v>N/A</v>
      </c>
      <c r="E108" s="595" t="str">
        <f>VLOOKUP(B108,'LOD 300 - CONTROL'!B:CX,59,FALSE)</f>
        <v>N/A</v>
      </c>
      <c r="F108" s="595" t="str">
        <f>VLOOKUP(B108,'LOD 300 - CONTROL'!B:EH,79,FALSE)</f>
        <v>N/A</v>
      </c>
      <c r="G108" s="1680" t="str">
        <f>VLOOKUP(B108,'LOD 300 - CONTROL'!B:GM,101,FALSE)</f>
        <v>N/A</v>
      </c>
    </row>
    <row r="109">
      <c r="A109" s="60">
        <v>114.0</v>
      </c>
      <c r="B109" s="1681" t="s">
        <v>329</v>
      </c>
      <c r="C109" s="1682" t="str">
        <f>VLOOKUP(B109,'LOD 300 - CONTROL'!B:M,9,FALSE)</f>
        <v>31/10/2025</v>
      </c>
      <c r="D109" s="670" t="str">
        <f>VLOOKUP(B109,'LOD 300 - CONTROL'!B:BJ,35,FALSE)</f>
        <v>N/A</v>
      </c>
      <c r="E109" s="671" t="str">
        <f>VLOOKUP(B109,'LOD 300 - CONTROL'!B:CX,59,FALSE)</f>
        <v>N/A</v>
      </c>
      <c r="F109" s="671" t="str">
        <f>VLOOKUP(B109,'LOD 300 - CONTROL'!B:EH,79,FALSE)</f>
        <v>N/A</v>
      </c>
      <c r="G109" s="1683" t="str">
        <f>VLOOKUP(B109,'LOD 300 - CONTROL'!B:GM,101,FALSE)</f>
        <v>N/A</v>
      </c>
    </row>
    <row r="111">
      <c r="B111" s="1662"/>
      <c r="C111" s="1662"/>
      <c r="D111" s="1662"/>
      <c r="E111" s="1662"/>
      <c r="F111" s="1662"/>
      <c r="G111" s="1662"/>
    </row>
  </sheetData>
  <autoFilter ref="$A$1:$G$109">
    <filterColumn colId="6">
      <filters blank="1">
        <filter val="N/A"/>
        <filter val="100%"/>
        <filter val="#N/A"/>
      </filters>
    </filterColumn>
    <sortState ref="A1:G109">
      <sortCondition ref="A1:A109"/>
    </sortState>
  </autoFilter>
  <mergeCells count="1">
    <mergeCell ref="I1:Y1"/>
  </mergeCells>
  <conditionalFormatting sqref="D3:G109">
    <cfRule type="cellIs" dxfId="8" priority="1" operator="greaterThanOrEqual">
      <formula>70%</formula>
    </cfRule>
  </conditionalFormatting>
  <conditionalFormatting sqref="D3:G109">
    <cfRule type="cellIs" dxfId="1" priority="2" operator="between">
      <formula>"49%"</formula>
      <formula>"69%"</formula>
    </cfRule>
  </conditionalFormatting>
  <conditionalFormatting sqref="D3:G109">
    <cfRule type="cellIs" dxfId="2" priority="3" operator="between">
      <formula>"0%"</formula>
      <formula>"48%"</formula>
    </cfRule>
  </conditionalFormatting>
  <conditionalFormatting sqref="D3:G109">
    <cfRule type="cellIs" dxfId="17" priority="4" operator="equal">
      <formula>"N/A"</formula>
    </cfRule>
  </conditionalFormatting>
  <conditionalFormatting sqref="D3:G109">
    <cfRule type="cellIs" dxfId="18" priority="5" operator="equal">
      <formula>"NOT PUBLISHED"</formula>
    </cfRule>
  </conditionalFormatting>
  <conditionalFormatting sqref="D3:G109">
    <cfRule type="cellIs" dxfId="11" priority="6" operator="equal">
      <formula>"OUTDATED MODEL"</formula>
    </cfRule>
  </conditionalFormatting>
  <conditionalFormatting sqref="D3:G109">
    <cfRule type="cellIs" dxfId="12" priority="7" operator="equal">
      <formula>"ANALYSING"</formula>
    </cfRule>
  </conditionalFormatting>
  <conditionalFormatting sqref="D3:G109">
    <cfRule type="cellIs" dxfId="13" priority="8" operator="equal">
      <formula>"NEXT ROUND"</formula>
    </cfRule>
  </conditionalFormatting>
  <conditionalFormatting sqref="D3:G109">
    <cfRule type="cellIs" dxfId="14" priority="9" operator="equal">
      <formula>"IMPROPER"</formula>
    </cfRule>
  </conditionalFormatting>
  <printOptions gridLines="1" horizontalCentered="1" verticalCentered="1"/>
  <pageMargins bottom="0.75" footer="0.0" header="0.0" left="0.25" right="0.25" top="0.75"/>
  <pageSetup paperSize="9"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5.88"/>
    <col customWidth="1" min="2" max="2" width="33.88"/>
    <col customWidth="1" min="3" max="4" width="12.88"/>
    <col customWidth="1" min="5" max="5" width="15.63"/>
    <col customWidth="1" min="6" max="6" width="10.88"/>
    <col customWidth="1" min="7" max="8" width="13.25"/>
    <col customWidth="1" min="9" max="9" width="19.75"/>
    <col customWidth="1" hidden="1" min="10" max="10" width="10.75"/>
    <col customWidth="1" min="11" max="11" width="18.63"/>
    <col customWidth="1" hidden="1" min="12" max="12" width="9.38"/>
    <col customWidth="1" min="13" max="13" width="20.38"/>
    <col customWidth="1" min="14" max="14" width="18.75"/>
    <col customWidth="1" min="15" max="15" width="15.25"/>
    <col customWidth="1" min="16" max="16" width="12.38"/>
    <col customWidth="1" min="17" max="17" width="22.13"/>
    <col customWidth="1" min="18" max="18" width="15.38"/>
    <col customWidth="1" min="19" max="19" width="17.13"/>
    <col customWidth="1" min="20" max="20" width="16.38"/>
    <col customWidth="1" min="21" max="21" width="15.38"/>
    <col customWidth="1" min="22" max="22" width="16.38"/>
    <col customWidth="1" min="23" max="23" width="16.25"/>
    <col customWidth="1" min="24" max="24" width="16.38"/>
    <col customWidth="1" min="25" max="25" width="21.38"/>
    <col customWidth="1" min="26" max="38" width="16.88"/>
    <col customWidth="1" hidden="1" min="39" max="39" width="17.13"/>
    <col customWidth="1" hidden="1" min="40" max="40" width="17.0"/>
    <col customWidth="1" hidden="1" min="41" max="41" width="16.38"/>
    <col customWidth="1" hidden="1" min="42" max="42" width="17.63"/>
    <col customWidth="1" hidden="1" min="43" max="44" width="16.38"/>
    <col customWidth="1" hidden="1" min="45" max="45" width="17.38"/>
    <col customWidth="1" hidden="1" min="46" max="46" width="21.88"/>
    <col customWidth="1" hidden="1" min="47" max="56" width="16.75"/>
    <col customWidth="1" min="57" max="59" width="16.75"/>
    <col customWidth="1" hidden="1" min="60" max="65" width="16.75"/>
    <col customWidth="1" min="66" max="68" width="16.75"/>
    <col customWidth="1" hidden="1" min="69" max="69" width="21.88"/>
    <col customWidth="1" hidden="1" min="70" max="70" width="17.38"/>
    <col customWidth="1" hidden="1" min="71" max="71" width="16.75"/>
    <col customWidth="1" hidden="1" min="72" max="72" width="16.5"/>
    <col customWidth="1" hidden="1" min="73" max="73" width="16.25"/>
    <col customWidth="1" hidden="1" min="74" max="74" width="16.75"/>
    <col customWidth="1" hidden="1" min="75" max="81" width="16.25"/>
    <col customWidth="1" min="82" max="84" width="16.25"/>
    <col customWidth="1" min="85" max="85" width="153.13"/>
    <col customWidth="1" min="86" max="86" width="16.25"/>
    <col customWidth="1" min="87" max="87" width="51.75"/>
  </cols>
  <sheetData>
    <row r="1" ht="111.0" customHeight="1">
      <c r="A1" s="1"/>
      <c r="B1" s="677"/>
      <c r="C1" s="681"/>
      <c r="D1" s="681"/>
      <c r="E1" s="679" t="s">
        <v>2115</v>
      </c>
      <c r="F1" s="681"/>
      <c r="G1" s="681"/>
      <c r="H1" s="681"/>
      <c r="I1" s="681"/>
      <c r="J1" s="681"/>
      <c r="K1" s="681"/>
      <c r="L1" s="681"/>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c r="AL1" s="681"/>
      <c r="AM1" s="681"/>
      <c r="AN1" s="681"/>
      <c r="AO1" s="681"/>
      <c r="AP1" s="681"/>
      <c r="AQ1" s="681"/>
      <c r="AR1" s="681"/>
      <c r="AS1" s="681"/>
      <c r="AT1" s="681"/>
      <c r="AU1" s="681"/>
      <c r="AV1" s="681"/>
      <c r="AW1" s="681"/>
      <c r="AX1" s="681"/>
      <c r="AY1" s="681"/>
      <c r="AZ1" s="681"/>
      <c r="BA1" s="681"/>
      <c r="BB1" s="681"/>
      <c r="BC1" s="681"/>
      <c r="BD1" s="681"/>
      <c r="BE1" s="681"/>
      <c r="BF1" s="681"/>
      <c r="BG1" s="681"/>
      <c r="BH1" s="681"/>
      <c r="BI1" s="681"/>
      <c r="BJ1" s="681"/>
      <c r="BK1" s="681"/>
      <c r="BL1" s="681"/>
      <c r="BM1" s="681"/>
      <c r="BN1" s="681"/>
      <c r="BO1" s="681"/>
      <c r="BP1" s="681"/>
      <c r="BQ1" s="681"/>
      <c r="BR1" s="681"/>
      <c r="BS1" s="681"/>
      <c r="BT1" s="681"/>
      <c r="BU1" s="681"/>
      <c r="BV1" s="681"/>
      <c r="BW1" s="681"/>
      <c r="BX1" s="681"/>
      <c r="BY1" s="681"/>
      <c r="BZ1" s="681"/>
      <c r="CA1" s="681"/>
      <c r="CB1" s="681"/>
      <c r="CC1" s="681"/>
      <c r="CD1" s="681"/>
      <c r="CE1" s="682"/>
      <c r="CF1" s="1222"/>
      <c r="CG1" s="8"/>
      <c r="CH1" s="8"/>
      <c r="CI1" s="8"/>
    </row>
    <row r="2">
      <c r="A2" s="9"/>
      <c r="B2" s="683"/>
      <c r="C2" s="684"/>
      <c r="D2" s="684"/>
      <c r="E2" s="684"/>
      <c r="F2" s="684"/>
      <c r="G2" s="684"/>
      <c r="H2" s="684"/>
      <c r="I2" s="684"/>
      <c r="J2" s="685"/>
      <c r="K2" s="684"/>
      <c r="L2" s="685"/>
      <c r="M2" s="686"/>
      <c r="N2" s="684"/>
      <c r="O2" s="687"/>
      <c r="P2" s="684"/>
      <c r="Q2" s="688" t="s">
        <v>2</v>
      </c>
      <c r="R2" s="689" t="s">
        <v>337</v>
      </c>
      <c r="S2" s="690"/>
      <c r="T2" s="690"/>
      <c r="U2" s="690"/>
      <c r="V2" s="690"/>
      <c r="W2" s="690"/>
      <c r="X2" s="690"/>
      <c r="Y2" s="690"/>
      <c r="Z2" s="690"/>
      <c r="AA2" s="690"/>
      <c r="AB2" s="690"/>
      <c r="AC2" s="690"/>
      <c r="AD2" s="690"/>
      <c r="AE2" s="690"/>
      <c r="AF2" s="690"/>
      <c r="AG2" s="690"/>
      <c r="AH2" s="690"/>
      <c r="AI2" s="690"/>
      <c r="AJ2" s="690"/>
      <c r="AK2" s="690"/>
      <c r="AL2" s="691"/>
      <c r="AM2" s="994" t="s">
        <v>4</v>
      </c>
      <c r="AN2" s="690"/>
      <c r="AO2" s="690"/>
      <c r="AP2" s="690"/>
      <c r="AQ2" s="690"/>
      <c r="AR2" s="690"/>
      <c r="AS2" s="690"/>
      <c r="AT2" s="690"/>
      <c r="AU2" s="690"/>
      <c r="AV2" s="690"/>
      <c r="AW2" s="690"/>
      <c r="AX2" s="690"/>
      <c r="AY2" s="690"/>
      <c r="AZ2" s="690"/>
      <c r="BA2" s="690"/>
      <c r="BB2" s="690"/>
      <c r="BC2" s="690"/>
      <c r="BD2" s="690"/>
      <c r="BE2" s="690"/>
      <c r="BF2" s="690"/>
      <c r="BG2" s="691"/>
      <c r="BH2" s="994" t="s">
        <v>5</v>
      </c>
      <c r="BI2" s="690"/>
      <c r="BJ2" s="690"/>
      <c r="BK2" s="690"/>
      <c r="BL2" s="690"/>
      <c r="BM2" s="690"/>
      <c r="BN2" s="690"/>
      <c r="BO2" s="690"/>
      <c r="BP2" s="691"/>
      <c r="BQ2" s="1161"/>
      <c r="BR2" s="1225" t="s">
        <v>8</v>
      </c>
      <c r="BS2" s="1226"/>
      <c r="BT2" s="1226"/>
      <c r="BU2" s="1226"/>
      <c r="BV2" s="1226"/>
      <c r="BW2" s="1226"/>
      <c r="BX2" s="1226"/>
      <c r="BY2" s="1226"/>
      <c r="BZ2" s="1226"/>
      <c r="CA2" s="1226"/>
      <c r="CB2" s="1226"/>
      <c r="CC2" s="1226"/>
      <c r="CD2" s="1226"/>
      <c r="CE2" s="1226"/>
      <c r="CF2" s="1227"/>
      <c r="CG2" s="8"/>
      <c r="CH2" s="8"/>
      <c r="CI2" s="8"/>
    </row>
    <row r="3" ht="54.0" customHeight="1">
      <c r="A3" s="19"/>
      <c r="B3" s="694" t="s">
        <v>331</v>
      </c>
      <c r="C3" s="19"/>
      <c r="D3" s="696" t="s">
        <v>2116</v>
      </c>
      <c r="E3" s="696" t="s">
        <v>2117</v>
      </c>
      <c r="F3" s="696" t="s">
        <v>11</v>
      </c>
      <c r="G3" s="696" t="s">
        <v>2118</v>
      </c>
      <c r="H3" s="701" t="s">
        <v>2119</v>
      </c>
      <c r="I3" s="697" t="s">
        <v>12</v>
      </c>
      <c r="J3" s="698" t="s">
        <v>13</v>
      </c>
      <c r="K3" s="697" t="s">
        <v>14</v>
      </c>
      <c r="L3" s="699" t="s">
        <v>13</v>
      </c>
      <c r="M3" s="701" t="s">
        <v>2120</v>
      </c>
      <c r="N3" s="701" t="s">
        <v>2121</v>
      </c>
      <c r="O3" s="702" t="s">
        <v>340</v>
      </c>
      <c r="P3" s="703" t="s">
        <v>341</v>
      </c>
      <c r="Q3" s="705" t="s">
        <v>28</v>
      </c>
      <c r="R3" s="998" t="s">
        <v>343</v>
      </c>
      <c r="S3" s="999" t="s">
        <v>344</v>
      </c>
      <c r="T3" s="1000" t="s">
        <v>345</v>
      </c>
      <c r="U3" s="1001" t="s">
        <v>346</v>
      </c>
      <c r="V3" s="1002" t="s">
        <v>347</v>
      </c>
      <c r="W3" s="1003" t="s">
        <v>348</v>
      </c>
      <c r="X3" s="1004" t="s">
        <v>349</v>
      </c>
      <c r="Y3" s="1005" t="s">
        <v>350</v>
      </c>
      <c r="Z3" s="1162" t="s">
        <v>351</v>
      </c>
      <c r="AA3" s="1007" t="s">
        <v>352</v>
      </c>
      <c r="AB3" s="1008" t="s">
        <v>353</v>
      </c>
      <c r="AC3" s="1163" t="s">
        <v>354</v>
      </c>
      <c r="AD3" s="1010" t="s">
        <v>355</v>
      </c>
      <c r="AE3" s="1011" t="s">
        <v>356</v>
      </c>
      <c r="AF3" s="1684" t="s">
        <v>357</v>
      </c>
      <c r="AG3" s="1685" t="s">
        <v>358</v>
      </c>
      <c r="AH3" s="1014" t="s">
        <v>359</v>
      </c>
      <c r="AI3" s="1686" t="s">
        <v>360</v>
      </c>
      <c r="AJ3" s="1687" t="s">
        <v>361</v>
      </c>
      <c r="AK3" s="728" t="s">
        <v>362</v>
      </c>
      <c r="AL3" s="729" t="s">
        <v>363</v>
      </c>
      <c r="AM3" s="998" t="s">
        <v>516</v>
      </c>
      <c r="AN3" s="999" t="s">
        <v>517</v>
      </c>
      <c r="AO3" s="1000" t="s">
        <v>29</v>
      </c>
      <c r="AP3" s="1001" t="s">
        <v>518</v>
      </c>
      <c r="AQ3" s="1002" t="s">
        <v>519</v>
      </c>
      <c r="AR3" s="1003" t="s">
        <v>30</v>
      </c>
      <c r="AS3" s="1004" t="s">
        <v>520</v>
      </c>
      <c r="AT3" s="1005" t="s">
        <v>521</v>
      </c>
      <c r="AU3" s="1006" t="s">
        <v>31</v>
      </c>
      <c r="AV3" s="1007" t="s">
        <v>522</v>
      </c>
      <c r="AW3" s="1008" t="s">
        <v>523</v>
      </c>
      <c r="AX3" s="1009" t="s">
        <v>32</v>
      </c>
      <c r="AY3" s="1010" t="s">
        <v>524</v>
      </c>
      <c r="AZ3" s="1011" t="s">
        <v>525</v>
      </c>
      <c r="BA3" s="1012" t="s">
        <v>33</v>
      </c>
      <c r="BB3" s="1013" t="s">
        <v>526</v>
      </c>
      <c r="BC3" s="1014" t="s">
        <v>527</v>
      </c>
      <c r="BD3" s="1015" t="s">
        <v>34</v>
      </c>
      <c r="BE3" s="1016" t="s">
        <v>528</v>
      </c>
      <c r="BF3" s="728" t="s">
        <v>529</v>
      </c>
      <c r="BG3" s="1017" t="s">
        <v>35</v>
      </c>
      <c r="BH3" s="998" t="s">
        <v>602</v>
      </c>
      <c r="BI3" s="999" t="s">
        <v>603</v>
      </c>
      <c r="BJ3" s="1000" t="s">
        <v>604</v>
      </c>
      <c r="BK3" s="1001" t="s">
        <v>605</v>
      </c>
      <c r="BL3" s="1002" t="s">
        <v>606</v>
      </c>
      <c r="BM3" s="1003" t="s">
        <v>607</v>
      </c>
      <c r="BN3" s="1004" t="s">
        <v>608</v>
      </c>
      <c r="BO3" s="1005" t="s">
        <v>609</v>
      </c>
      <c r="BP3" s="1162" t="s">
        <v>610</v>
      </c>
      <c r="BQ3" s="1164" t="s">
        <v>707</v>
      </c>
      <c r="BR3" s="706" t="s">
        <v>739</v>
      </c>
      <c r="BS3" s="707" t="s">
        <v>740</v>
      </c>
      <c r="BT3" s="708" t="s">
        <v>741</v>
      </c>
      <c r="BU3" s="709" t="s">
        <v>742</v>
      </c>
      <c r="BV3" s="710" t="s">
        <v>743</v>
      </c>
      <c r="BW3" s="1688" t="s">
        <v>744</v>
      </c>
      <c r="BX3" s="1689" t="s">
        <v>745</v>
      </c>
      <c r="BY3" s="1689" t="s">
        <v>746</v>
      </c>
      <c r="BZ3" s="1690" t="s">
        <v>747</v>
      </c>
      <c r="CA3" s="578" t="s">
        <v>748</v>
      </c>
      <c r="CB3" s="578" t="s">
        <v>749</v>
      </c>
      <c r="CC3" s="1691" t="s">
        <v>750</v>
      </c>
      <c r="CD3" s="1692" t="s">
        <v>751</v>
      </c>
      <c r="CE3" s="1692" t="s">
        <v>752</v>
      </c>
      <c r="CF3" s="1693" t="s">
        <v>753</v>
      </c>
      <c r="CG3" s="59"/>
      <c r="CH3" s="59"/>
      <c r="CI3" s="59"/>
    </row>
    <row r="4">
      <c r="A4" s="60">
        <v>1.0</v>
      </c>
      <c r="B4" s="1021" t="s">
        <v>82</v>
      </c>
      <c r="C4" s="60">
        <v>1.0</v>
      </c>
      <c r="D4" s="1023"/>
      <c r="E4" s="1023"/>
      <c r="F4" s="1023"/>
      <c r="G4" s="1023"/>
      <c r="H4" s="1023"/>
      <c r="I4" s="1024"/>
      <c r="J4" s="1023"/>
      <c r="K4" s="1023"/>
      <c r="L4" s="63"/>
      <c r="M4" s="1025"/>
      <c r="N4" s="1023"/>
      <c r="O4" s="1025"/>
      <c r="P4" s="1023"/>
      <c r="Q4" s="1026"/>
      <c r="R4" s="1024"/>
      <c r="S4" s="1023"/>
      <c r="T4" s="1023"/>
      <c r="U4" s="1024"/>
      <c r="V4" s="1023"/>
      <c r="W4" s="1023"/>
      <c r="X4" s="1024"/>
      <c r="Y4" s="1023"/>
      <c r="Z4" s="1023"/>
      <c r="AA4" s="66"/>
      <c r="AB4" s="63"/>
      <c r="AC4" s="64"/>
      <c r="AD4" s="63"/>
      <c r="AE4" s="63"/>
      <c r="AF4" s="63"/>
      <c r="AG4" s="66"/>
      <c r="AH4" s="63"/>
      <c r="AI4" s="64"/>
      <c r="AJ4" s="63"/>
      <c r="AK4" s="63"/>
      <c r="AL4" s="63"/>
      <c r="AM4" s="1024"/>
      <c r="AN4" s="1023"/>
      <c r="AO4" s="1023"/>
      <c r="AP4" s="1024"/>
      <c r="AQ4" s="1023"/>
      <c r="AR4" s="1023"/>
      <c r="AS4" s="1024"/>
      <c r="AT4" s="1023"/>
      <c r="AU4" s="1027"/>
      <c r="AV4" s="66"/>
      <c r="AW4" s="63"/>
      <c r="AX4" s="64"/>
      <c r="AY4" s="63"/>
      <c r="AZ4" s="63"/>
      <c r="BA4" s="1028"/>
      <c r="BB4" s="63"/>
      <c r="BC4" s="63"/>
      <c r="BD4" s="63"/>
      <c r="BE4" s="63"/>
      <c r="BF4" s="63"/>
      <c r="BG4" s="63"/>
      <c r="BH4" s="63"/>
      <c r="BI4" s="63"/>
      <c r="BJ4" s="1028"/>
      <c r="BK4" s="63"/>
      <c r="BL4" s="63"/>
      <c r="BM4" s="63"/>
      <c r="BN4" s="63"/>
      <c r="BO4" s="63"/>
      <c r="BP4" s="63"/>
      <c r="BQ4" s="1023"/>
      <c r="BR4" s="1023"/>
      <c r="BS4" s="1694"/>
      <c r="BT4" s="1023"/>
      <c r="BU4" s="1024"/>
      <c r="BV4" s="1023"/>
      <c r="BW4" s="1023"/>
      <c r="BX4" s="1695"/>
      <c r="BY4" s="63"/>
      <c r="BZ4" s="64"/>
      <c r="CA4" s="63"/>
      <c r="CB4" s="63"/>
      <c r="CC4" s="67"/>
      <c r="CD4" s="63"/>
      <c r="CE4" s="63"/>
      <c r="CF4" s="67"/>
      <c r="CG4" s="68"/>
      <c r="CH4" s="68"/>
      <c r="CI4" s="68"/>
    </row>
    <row r="5" ht="16.5" customHeight="1" outlineLevel="1">
      <c r="A5" s="60">
        <v>50.0</v>
      </c>
      <c r="B5" s="809" t="s">
        <v>201</v>
      </c>
      <c r="C5" s="60">
        <v>50.0</v>
      </c>
      <c r="D5" s="191"/>
      <c r="E5" s="191"/>
      <c r="F5" s="191"/>
      <c r="G5" s="191"/>
      <c r="H5" s="812"/>
      <c r="I5" s="811"/>
      <c r="J5" s="191"/>
      <c r="K5" s="190"/>
      <c r="L5" s="190"/>
      <c r="M5" s="813"/>
      <c r="N5" s="812"/>
      <c r="O5" s="811"/>
      <c r="P5" s="190"/>
      <c r="Q5" s="243"/>
      <c r="R5" s="813"/>
      <c r="S5" s="191"/>
      <c r="T5" s="190"/>
      <c r="U5" s="813"/>
      <c r="V5" s="191"/>
      <c r="W5" s="190"/>
      <c r="X5" s="813"/>
      <c r="Y5" s="191"/>
      <c r="Z5" s="190"/>
      <c r="AA5" s="813"/>
      <c r="AB5" s="191"/>
      <c r="AC5" s="814"/>
      <c r="AD5" s="813"/>
      <c r="AE5" s="191"/>
      <c r="AF5" s="190"/>
      <c r="AG5" s="813"/>
      <c r="AH5" s="191"/>
      <c r="AI5" s="812"/>
      <c r="AJ5" s="813"/>
      <c r="AK5" s="191"/>
      <c r="AL5" s="812"/>
      <c r="AM5" s="813"/>
      <c r="AN5" s="191"/>
      <c r="AO5" s="190"/>
      <c r="AP5" s="813"/>
      <c r="AQ5" s="191"/>
      <c r="AR5" s="190"/>
      <c r="AS5" s="813"/>
      <c r="AT5" s="191"/>
      <c r="AU5" s="190"/>
      <c r="AV5" s="813"/>
      <c r="AW5" s="191"/>
      <c r="AX5" s="814"/>
      <c r="AY5" s="813"/>
      <c r="AZ5" s="191"/>
      <c r="BA5" s="1171"/>
      <c r="BB5" s="813"/>
      <c r="BC5" s="191"/>
      <c r="BD5" s="1171"/>
      <c r="BE5" s="813"/>
      <c r="BF5" s="191"/>
      <c r="BG5" s="1171"/>
      <c r="BH5" s="813"/>
      <c r="BI5" s="191"/>
      <c r="BJ5" s="1171"/>
      <c r="BK5" s="813"/>
      <c r="BL5" s="191"/>
      <c r="BM5" s="1171"/>
      <c r="BN5" s="813"/>
      <c r="BO5" s="190"/>
      <c r="BP5" s="1171"/>
      <c r="BQ5" s="126"/>
      <c r="BR5" s="1696"/>
      <c r="BS5" s="1697"/>
      <c r="BT5" s="1698"/>
      <c r="BU5" s="1699"/>
      <c r="BV5" s="1697"/>
      <c r="BW5" s="1698"/>
      <c r="BX5" s="1700"/>
      <c r="BY5" s="1697"/>
      <c r="BZ5" s="1701"/>
      <c r="CA5" s="1696"/>
      <c r="CB5" s="1697"/>
      <c r="CC5" s="1702"/>
      <c r="CD5" s="1696"/>
      <c r="CE5" s="1697"/>
      <c r="CF5" s="1702"/>
      <c r="CG5" s="215"/>
      <c r="CH5" s="215"/>
      <c r="CI5" s="215"/>
    </row>
    <row r="6" outlineLevel="1">
      <c r="A6" s="60">
        <v>47.0</v>
      </c>
      <c r="B6" s="960" t="s">
        <v>195</v>
      </c>
      <c r="C6" s="60">
        <v>47.0</v>
      </c>
      <c r="D6" s="218"/>
      <c r="E6" s="218"/>
      <c r="F6" s="218"/>
      <c r="G6" s="218"/>
      <c r="H6" s="818"/>
      <c r="I6" s="817"/>
      <c r="J6" s="218"/>
      <c r="K6" s="217"/>
      <c r="L6" s="217"/>
      <c r="M6" s="820"/>
      <c r="N6" s="818"/>
      <c r="O6" s="817"/>
      <c r="P6" s="217"/>
      <c r="Q6" s="819"/>
      <c r="R6" s="1703"/>
      <c r="S6" s="821"/>
      <c r="T6" s="822"/>
      <c r="U6" s="820"/>
      <c r="V6" s="821"/>
      <c r="W6" s="822"/>
      <c r="X6" s="820"/>
      <c r="Y6" s="821"/>
      <c r="Z6" s="822"/>
      <c r="AA6" s="1076"/>
      <c r="AB6" s="821"/>
      <c r="AC6" s="1704"/>
      <c r="AD6" s="1076"/>
      <c r="AE6" s="821"/>
      <c r="AF6" s="822"/>
      <c r="AG6" s="1076"/>
      <c r="AH6" s="821"/>
      <c r="AI6" s="1704"/>
      <c r="AJ6" s="1076"/>
      <c r="AK6" s="821"/>
      <c r="AL6" s="1704"/>
      <c r="AM6" s="1076"/>
      <c r="AN6" s="821"/>
      <c r="AO6" s="822"/>
      <c r="AP6" s="820"/>
      <c r="AQ6" s="821"/>
      <c r="AR6" s="822"/>
      <c r="AS6" s="820"/>
      <c r="AT6" s="821"/>
      <c r="AU6" s="822"/>
      <c r="AV6" s="1076"/>
      <c r="AW6" s="821"/>
      <c r="AX6" s="1704"/>
      <c r="AY6" s="1076"/>
      <c r="AZ6" s="821"/>
      <c r="BA6" s="1190"/>
      <c r="BB6" s="1076"/>
      <c r="BC6" s="821"/>
      <c r="BD6" s="1190"/>
      <c r="BE6" s="1076"/>
      <c r="BF6" s="821"/>
      <c r="BG6" s="1190"/>
      <c r="BH6" s="1076"/>
      <c r="BI6" s="821"/>
      <c r="BJ6" s="1190"/>
      <c r="BK6" s="1076"/>
      <c r="BL6" s="821"/>
      <c r="BM6" s="1190"/>
      <c r="BN6" s="1076"/>
      <c r="BO6" s="822"/>
      <c r="BP6" s="1190"/>
      <c r="BQ6" s="1191"/>
      <c r="BR6" s="1705"/>
      <c r="BS6" s="1706"/>
      <c r="BT6" s="1707"/>
      <c r="BU6" s="1708"/>
      <c r="BV6" s="1706"/>
      <c r="BW6" s="1707"/>
      <c r="BX6" s="1709"/>
      <c r="BY6" s="1706"/>
      <c r="BZ6" s="1710"/>
      <c r="CA6" s="1705"/>
      <c r="CB6" s="1706"/>
      <c r="CC6" s="1711"/>
      <c r="CD6" s="1705"/>
      <c r="CE6" s="1706"/>
      <c r="CF6" s="1711"/>
      <c r="CG6" s="215"/>
      <c r="CH6" s="215"/>
      <c r="CI6" s="215"/>
    </row>
    <row r="7" outlineLevel="1">
      <c r="A7" s="60">
        <v>4.0</v>
      </c>
      <c r="B7" s="747" t="str">
        <f t="shared" ref="B7:B11" si="1">"CPQ11" &amp; "-" &amp; D7 &amp; "-" &amp; E7 &amp; "-" &amp; F7 &amp; "-" &amp; G7 &amp; H7</f>
        <v>CPQ11-ARCH-FNSH-DATA-R22.rvt</v>
      </c>
      <c r="C7" s="60">
        <v>4.0</v>
      </c>
      <c r="D7" s="74" t="s">
        <v>2122</v>
      </c>
      <c r="E7" s="1712" t="s">
        <v>2123</v>
      </c>
      <c r="F7" s="71" t="s">
        <v>85</v>
      </c>
      <c r="G7" s="71" t="s">
        <v>482</v>
      </c>
      <c r="H7" s="1713" t="s">
        <v>2124</v>
      </c>
      <c r="I7" s="141" t="s">
        <v>465</v>
      </c>
      <c r="J7" s="125">
        <v>1111.0</v>
      </c>
      <c r="K7" s="139" t="s">
        <v>86</v>
      </c>
      <c r="L7" s="139">
        <v>1130.0</v>
      </c>
      <c r="M7" s="746" t="str">
        <f>IFERROR(VLOOKUP(B4:B194,'RELATÓRIO ACC'!B:F,5,FALSE),"N/A")</f>
        <v>N/A</v>
      </c>
      <c r="N7" s="748" t="str">
        <f>IFERROR(VLOOKUP(B4:B194,'RELATÓRIO ACC'!B:P,15,FALSE),"N/A")</f>
        <v>N/A</v>
      </c>
      <c r="O7" s="141" t="s">
        <v>462</v>
      </c>
      <c r="P7" s="749" t="s">
        <v>462</v>
      </c>
      <c r="Q7" s="751"/>
      <c r="R7" s="752" t="s">
        <v>466</v>
      </c>
      <c r="S7" s="141" t="s">
        <v>462</v>
      </c>
      <c r="T7" s="749" t="s">
        <v>462</v>
      </c>
      <c r="U7" s="746" t="s">
        <v>466</v>
      </c>
      <c r="V7" s="74" t="s">
        <v>462</v>
      </c>
      <c r="W7" s="749" t="s">
        <v>462</v>
      </c>
      <c r="X7" s="746" t="s">
        <v>466</v>
      </c>
      <c r="Y7" s="74" t="s">
        <v>462</v>
      </c>
      <c r="Z7" s="749" t="s">
        <v>462</v>
      </c>
      <c r="AA7" s="746" t="s">
        <v>466</v>
      </c>
      <c r="AB7" s="74" t="s">
        <v>462</v>
      </c>
      <c r="AC7" s="753" t="s">
        <v>462</v>
      </c>
      <c r="AD7" s="746" t="s">
        <v>466</v>
      </c>
      <c r="AE7" s="74" t="s">
        <v>462</v>
      </c>
      <c r="AF7" s="753" t="s">
        <v>462</v>
      </c>
      <c r="AG7" s="746" t="s">
        <v>466</v>
      </c>
      <c r="AH7" s="74" t="s">
        <v>462</v>
      </c>
      <c r="AI7" s="753" t="s">
        <v>462</v>
      </c>
      <c r="AJ7" s="746" t="s">
        <v>466</v>
      </c>
      <c r="AK7" s="74" t="s">
        <v>462</v>
      </c>
      <c r="AL7" s="753" t="s">
        <v>462</v>
      </c>
      <c r="AM7" s="746" t="s">
        <v>466</v>
      </c>
      <c r="AN7" s="74" t="s">
        <v>462</v>
      </c>
      <c r="AO7" s="749" t="s">
        <v>462</v>
      </c>
      <c r="AP7" s="746" t="s">
        <v>466</v>
      </c>
      <c r="AQ7" s="74" t="s">
        <v>462</v>
      </c>
      <c r="AR7" s="749" t="s">
        <v>462</v>
      </c>
      <c r="AS7" s="746" t="s">
        <v>466</v>
      </c>
      <c r="AT7" s="74" t="s">
        <v>462</v>
      </c>
      <c r="AU7" s="749" t="s">
        <v>462</v>
      </c>
      <c r="AV7" s="746" t="s">
        <v>466</v>
      </c>
      <c r="AW7" s="74" t="s">
        <v>462</v>
      </c>
      <c r="AX7" s="753" t="s">
        <v>462</v>
      </c>
      <c r="AY7" s="746" t="s">
        <v>466</v>
      </c>
      <c r="AZ7" s="74" t="s">
        <v>462</v>
      </c>
      <c r="BA7" s="1037" t="s">
        <v>462</v>
      </c>
      <c r="BB7" s="746" t="s">
        <v>466</v>
      </c>
      <c r="BC7" s="74" t="s">
        <v>462</v>
      </c>
      <c r="BD7" s="1037" t="s">
        <v>462</v>
      </c>
      <c r="BE7" s="746" t="s">
        <v>466</v>
      </c>
      <c r="BF7" s="74" t="s">
        <v>462</v>
      </c>
      <c r="BG7" s="1037" t="s">
        <v>462</v>
      </c>
      <c r="BH7" s="746" t="s">
        <v>466</v>
      </c>
      <c r="BI7" s="74" t="s">
        <v>462</v>
      </c>
      <c r="BJ7" s="1037" t="s">
        <v>462</v>
      </c>
      <c r="BK7" s="746" t="s">
        <v>466</v>
      </c>
      <c r="BL7" s="74" t="s">
        <v>462</v>
      </c>
      <c r="BM7" s="1037" t="s">
        <v>462</v>
      </c>
      <c r="BN7" s="746" t="s">
        <v>466</v>
      </c>
      <c r="BO7" s="749" t="s">
        <v>462</v>
      </c>
      <c r="BP7" s="1037" t="s">
        <v>462</v>
      </c>
      <c r="BQ7" s="126"/>
      <c r="BR7" s="141" t="s">
        <v>466</v>
      </c>
      <c r="BS7" s="125" t="s">
        <v>462</v>
      </c>
      <c r="BT7" s="749" t="s">
        <v>462</v>
      </c>
      <c r="BU7" s="746" t="s">
        <v>466</v>
      </c>
      <c r="BV7" s="74" t="s">
        <v>462</v>
      </c>
      <c r="BW7" s="749" t="s">
        <v>462</v>
      </c>
      <c r="BX7" s="746" t="s">
        <v>466</v>
      </c>
      <c r="BY7" s="74" t="s">
        <v>462</v>
      </c>
      <c r="BZ7" s="753" t="s">
        <v>462</v>
      </c>
      <c r="CA7" s="746" t="s">
        <v>466</v>
      </c>
      <c r="CB7" s="74" t="s">
        <v>462</v>
      </c>
      <c r="CC7" s="1714" t="s">
        <v>462</v>
      </c>
      <c r="CD7" s="746" t="s">
        <v>466</v>
      </c>
      <c r="CE7" s="74" t="s">
        <v>462</v>
      </c>
      <c r="CF7" s="1714" t="s">
        <v>462</v>
      </c>
      <c r="CG7" s="68"/>
      <c r="CH7" s="68"/>
      <c r="CI7" s="68"/>
    </row>
    <row r="8" outlineLevel="1">
      <c r="A8" s="60">
        <v>5.0</v>
      </c>
      <c r="B8" s="747" t="str">
        <f t="shared" si="1"/>
        <v>CPQ11-ARCH-FNSH-SITE-R22.rvt</v>
      </c>
      <c r="C8" s="60">
        <v>5.0</v>
      </c>
      <c r="D8" s="74" t="s">
        <v>2122</v>
      </c>
      <c r="E8" s="1712" t="s">
        <v>2123</v>
      </c>
      <c r="F8" s="71" t="s">
        <v>90</v>
      </c>
      <c r="G8" s="71" t="s">
        <v>482</v>
      </c>
      <c r="H8" s="1713" t="s">
        <v>2124</v>
      </c>
      <c r="I8" s="141" t="s">
        <v>465</v>
      </c>
      <c r="J8" s="125">
        <v>1111.0</v>
      </c>
      <c r="K8" s="139" t="s">
        <v>86</v>
      </c>
      <c r="L8" s="139">
        <v>1130.0</v>
      </c>
      <c r="M8" s="746" t="str">
        <f>IFERROR(VLOOKUP(B5:B195,'RELATÓRIO ACC'!B:F,5,FALSE),"N/A")</f>
        <v>N/A</v>
      </c>
      <c r="N8" s="748" t="str">
        <f>IFERROR(VLOOKUP(B5:B195,'RELATÓRIO ACC'!B:P,15,FALSE),"N/A")</f>
        <v>N/A</v>
      </c>
      <c r="O8" s="141" t="s">
        <v>462</v>
      </c>
      <c r="P8" s="749" t="s">
        <v>462</v>
      </c>
      <c r="Q8" s="751"/>
      <c r="R8" s="752" t="s">
        <v>466</v>
      </c>
      <c r="S8" s="74" t="s">
        <v>462</v>
      </c>
      <c r="T8" s="749" t="s">
        <v>462</v>
      </c>
      <c r="U8" s="746" t="s">
        <v>466</v>
      </c>
      <c r="V8" s="74" t="s">
        <v>462</v>
      </c>
      <c r="W8" s="749" t="s">
        <v>462</v>
      </c>
      <c r="X8" s="746" t="s">
        <v>466</v>
      </c>
      <c r="Y8" s="74" t="s">
        <v>462</v>
      </c>
      <c r="Z8" s="749" t="s">
        <v>462</v>
      </c>
      <c r="AA8" s="746" t="s">
        <v>466</v>
      </c>
      <c r="AB8" s="74" t="s">
        <v>462</v>
      </c>
      <c r="AC8" s="753" t="s">
        <v>462</v>
      </c>
      <c r="AD8" s="746" t="s">
        <v>466</v>
      </c>
      <c r="AE8" s="74" t="s">
        <v>462</v>
      </c>
      <c r="AF8" s="753" t="s">
        <v>462</v>
      </c>
      <c r="AG8" s="746" t="s">
        <v>466</v>
      </c>
      <c r="AH8" s="74" t="s">
        <v>462</v>
      </c>
      <c r="AI8" s="753" t="s">
        <v>462</v>
      </c>
      <c r="AJ8" s="746" t="s">
        <v>466</v>
      </c>
      <c r="AK8" s="74" t="s">
        <v>462</v>
      </c>
      <c r="AL8" s="753" t="s">
        <v>462</v>
      </c>
      <c r="AM8" s="746" t="s">
        <v>466</v>
      </c>
      <c r="AN8" s="74" t="s">
        <v>462</v>
      </c>
      <c r="AO8" s="749" t="s">
        <v>462</v>
      </c>
      <c r="AP8" s="746" t="s">
        <v>466</v>
      </c>
      <c r="AQ8" s="74" t="s">
        <v>462</v>
      </c>
      <c r="AR8" s="749" t="s">
        <v>462</v>
      </c>
      <c r="AS8" s="746" t="s">
        <v>466</v>
      </c>
      <c r="AT8" s="74" t="s">
        <v>462</v>
      </c>
      <c r="AU8" s="749" t="s">
        <v>462</v>
      </c>
      <c r="AV8" s="746" t="s">
        <v>466</v>
      </c>
      <c r="AW8" s="74" t="s">
        <v>462</v>
      </c>
      <c r="AX8" s="753" t="s">
        <v>462</v>
      </c>
      <c r="AY8" s="746" t="s">
        <v>466</v>
      </c>
      <c r="AZ8" s="74" t="s">
        <v>462</v>
      </c>
      <c r="BA8" s="1037" t="s">
        <v>462</v>
      </c>
      <c r="BB8" s="746" t="s">
        <v>466</v>
      </c>
      <c r="BC8" s="74" t="s">
        <v>462</v>
      </c>
      <c r="BD8" s="1037" t="s">
        <v>462</v>
      </c>
      <c r="BE8" s="746" t="s">
        <v>466</v>
      </c>
      <c r="BF8" s="74" t="s">
        <v>462</v>
      </c>
      <c r="BG8" s="1037" t="s">
        <v>462</v>
      </c>
      <c r="BH8" s="746" t="s">
        <v>466</v>
      </c>
      <c r="BI8" s="74" t="s">
        <v>462</v>
      </c>
      <c r="BJ8" s="1037" t="s">
        <v>462</v>
      </c>
      <c r="BK8" s="746" t="s">
        <v>466</v>
      </c>
      <c r="BL8" s="74" t="s">
        <v>462</v>
      </c>
      <c r="BM8" s="1037" t="s">
        <v>462</v>
      </c>
      <c r="BN8" s="746" t="s">
        <v>466</v>
      </c>
      <c r="BO8" s="74" t="s">
        <v>462</v>
      </c>
      <c r="BP8" s="1037" t="s">
        <v>462</v>
      </c>
      <c r="BQ8" s="126"/>
      <c r="BR8" s="141" t="s">
        <v>466</v>
      </c>
      <c r="BS8" s="125" t="s">
        <v>462</v>
      </c>
      <c r="BT8" s="749" t="s">
        <v>462</v>
      </c>
      <c r="BU8" s="746" t="s">
        <v>466</v>
      </c>
      <c r="BV8" s="74" t="s">
        <v>462</v>
      </c>
      <c r="BW8" s="749" t="s">
        <v>462</v>
      </c>
      <c r="BX8" s="746" t="s">
        <v>466</v>
      </c>
      <c r="BY8" s="74" t="s">
        <v>462</v>
      </c>
      <c r="BZ8" s="753" t="s">
        <v>462</v>
      </c>
      <c r="CA8" s="746" t="s">
        <v>466</v>
      </c>
      <c r="CB8" s="74" t="s">
        <v>462</v>
      </c>
      <c r="CC8" s="1714" t="s">
        <v>462</v>
      </c>
      <c r="CD8" s="746" t="s">
        <v>466</v>
      </c>
      <c r="CE8" s="749" t="s">
        <v>462</v>
      </c>
      <c r="CF8" s="1714" t="s">
        <v>462</v>
      </c>
      <c r="CG8" s="68"/>
      <c r="CH8" s="68"/>
      <c r="CI8" s="68"/>
    </row>
    <row r="9" ht="15.0" customHeight="1" outlineLevel="1">
      <c r="A9" s="60">
        <v>6.0</v>
      </c>
      <c r="B9" s="747" t="str">
        <f t="shared" si="1"/>
        <v>CPQ11-ARCH-ALUF-DATA-R22.rvt</v>
      </c>
      <c r="C9" s="60">
        <v>6.0</v>
      </c>
      <c r="D9" s="74" t="s">
        <v>2122</v>
      </c>
      <c r="E9" s="1712" t="s">
        <v>2125</v>
      </c>
      <c r="F9" s="71" t="s">
        <v>85</v>
      </c>
      <c r="G9" s="71" t="s">
        <v>482</v>
      </c>
      <c r="H9" s="1713" t="s">
        <v>2124</v>
      </c>
      <c r="I9" s="146" t="s">
        <v>469</v>
      </c>
      <c r="J9" s="72">
        <v>1102.0</v>
      </c>
      <c r="K9" s="139" t="s">
        <v>86</v>
      </c>
      <c r="L9" s="139">
        <v>1130.0</v>
      </c>
      <c r="M9" s="746" t="str">
        <f>IFERROR(VLOOKUP(B6:B196,'RELATÓRIO ACC'!B:F,5,FALSE),"N/A")</f>
        <v>N/A</v>
      </c>
      <c r="N9" s="748" t="str">
        <f>IFERROR(VLOOKUP(B6:B196,'RELATÓRIO ACC'!B:P,15,FALSE),"N/A")</f>
        <v>N/A</v>
      </c>
      <c r="O9" s="141" t="s">
        <v>462</v>
      </c>
      <c r="P9" s="749" t="s">
        <v>462</v>
      </c>
      <c r="Q9" s="751"/>
      <c r="R9" s="746" t="s">
        <v>466</v>
      </c>
      <c r="S9" s="74" t="s">
        <v>462</v>
      </c>
      <c r="T9" s="749" t="s">
        <v>462</v>
      </c>
      <c r="U9" s="746" t="s">
        <v>466</v>
      </c>
      <c r="V9" s="74" t="s">
        <v>462</v>
      </c>
      <c r="W9" s="749" t="s">
        <v>462</v>
      </c>
      <c r="X9" s="746" t="s">
        <v>466</v>
      </c>
      <c r="Y9" s="74" t="s">
        <v>462</v>
      </c>
      <c r="Z9" s="749" t="s">
        <v>462</v>
      </c>
      <c r="AA9" s="746" t="s">
        <v>466</v>
      </c>
      <c r="AB9" s="74" t="s">
        <v>462</v>
      </c>
      <c r="AC9" s="753" t="s">
        <v>462</v>
      </c>
      <c r="AD9" s="746" t="s">
        <v>466</v>
      </c>
      <c r="AE9" s="74" t="s">
        <v>462</v>
      </c>
      <c r="AF9" s="753" t="s">
        <v>462</v>
      </c>
      <c r="AG9" s="746" t="s">
        <v>466</v>
      </c>
      <c r="AH9" s="74" t="s">
        <v>462</v>
      </c>
      <c r="AI9" s="753" t="s">
        <v>462</v>
      </c>
      <c r="AJ9" s="746" t="s">
        <v>466</v>
      </c>
      <c r="AK9" s="74" t="s">
        <v>462</v>
      </c>
      <c r="AL9" s="753" t="s">
        <v>462</v>
      </c>
      <c r="AM9" s="746" t="s">
        <v>466</v>
      </c>
      <c r="AN9" s="74" t="s">
        <v>462</v>
      </c>
      <c r="AO9" s="749" t="s">
        <v>462</v>
      </c>
      <c r="AP9" s="746" t="s">
        <v>466</v>
      </c>
      <c r="AQ9" s="74" t="s">
        <v>462</v>
      </c>
      <c r="AR9" s="749" t="s">
        <v>462</v>
      </c>
      <c r="AS9" s="746" t="s">
        <v>466</v>
      </c>
      <c r="AT9" s="74" t="s">
        <v>462</v>
      </c>
      <c r="AU9" s="749" t="s">
        <v>462</v>
      </c>
      <c r="AV9" s="746" t="s">
        <v>466</v>
      </c>
      <c r="AW9" s="74" t="s">
        <v>462</v>
      </c>
      <c r="AX9" s="753" t="s">
        <v>462</v>
      </c>
      <c r="AY9" s="746" t="s">
        <v>466</v>
      </c>
      <c r="AZ9" s="74" t="s">
        <v>462</v>
      </c>
      <c r="BA9" s="1037" t="s">
        <v>462</v>
      </c>
      <c r="BB9" s="746" t="s">
        <v>466</v>
      </c>
      <c r="BC9" s="74" t="s">
        <v>462</v>
      </c>
      <c r="BD9" s="1037" t="s">
        <v>462</v>
      </c>
      <c r="BE9" s="746" t="s">
        <v>466</v>
      </c>
      <c r="BF9" s="74" t="s">
        <v>462</v>
      </c>
      <c r="BG9" s="1037" t="s">
        <v>462</v>
      </c>
      <c r="BH9" s="746" t="s">
        <v>466</v>
      </c>
      <c r="BI9" s="74" t="s">
        <v>462</v>
      </c>
      <c r="BJ9" s="1037" t="s">
        <v>462</v>
      </c>
      <c r="BK9" s="746" t="s">
        <v>466</v>
      </c>
      <c r="BL9" s="74" t="s">
        <v>462</v>
      </c>
      <c r="BM9" s="1037" t="s">
        <v>462</v>
      </c>
      <c r="BN9" s="746" t="s">
        <v>466</v>
      </c>
      <c r="BO9" s="749" t="s">
        <v>462</v>
      </c>
      <c r="BP9" s="1037" t="s">
        <v>462</v>
      </c>
      <c r="BQ9" s="126"/>
      <c r="BR9" s="141" t="s">
        <v>466</v>
      </c>
      <c r="BS9" s="125" t="s">
        <v>462</v>
      </c>
      <c r="BT9" s="749" t="s">
        <v>462</v>
      </c>
      <c r="BU9" s="746" t="s">
        <v>466</v>
      </c>
      <c r="BV9" s="74" t="s">
        <v>462</v>
      </c>
      <c r="BW9" s="749" t="s">
        <v>462</v>
      </c>
      <c r="BX9" s="746" t="s">
        <v>466</v>
      </c>
      <c r="BY9" s="74" t="s">
        <v>462</v>
      </c>
      <c r="BZ9" s="753" t="s">
        <v>462</v>
      </c>
      <c r="CA9" s="746" t="s">
        <v>466</v>
      </c>
      <c r="CB9" s="74" t="s">
        <v>462</v>
      </c>
      <c r="CC9" s="1714" t="s">
        <v>462</v>
      </c>
      <c r="CD9" s="746" t="s">
        <v>466</v>
      </c>
      <c r="CE9" s="74" t="s">
        <v>462</v>
      </c>
      <c r="CF9" s="1714" t="s">
        <v>462</v>
      </c>
      <c r="CG9" s="68"/>
      <c r="CH9" s="68"/>
      <c r="CI9" s="68"/>
    </row>
    <row r="10" ht="15.0" customHeight="1" outlineLevel="1">
      <c r="A10" s="60">
        <v>7.0</v>
      </c>
      <c r="B10" s="747" t="str">
        <f t="shared" si="1"/>
        <v>CPQ11-ARCH-ALUF-SITE-R22.rvt</v>
      </c>
      <c r="C10" s="60">
        <v>7.0</v>
      </c>
      <c r="D10" s="74" t="s">
        <v>2122</v>
      </c>
      <c r="E10" s="1712" t="s">
        <v>2125</v>
      </c>
      <c r="F10" s="71" t="s">
        <v>90</v>
      </c>
      <c r="G10" s="71" t="s">
        <v>482</v>
      </c>
      <c r="H10" s="1713" t="s">
        <v>2124</v>
      </c>
      <c r="I10" s="146" t="s">
        <v>469</v>
      </c>
      <c r="J10" s="72">
        <v>1102.0</v>
      </c>
      <c r="K10" s="139" t="s">
        <v>86</v>
      </c>
      <c r="L10" s="139">
        <v>1130.0</v>
      </c>
      <c r="M10" s="746" t="str">
        <f>IFERROR(VLOOKUP(B7:B197,'RELATÓRIO ACC'!B:F,5,FALSE),"N/A")</f>
        <v>N/A</v>
      </c>
      <c r="N10" s="748" t="str">
        <f>IFERROR(VLOOKUP(B7:B197,'RELATÓRIO ACC'!B:P,15,FALSE),"N/A")</f>
        <v>N/A</v>
      </c>
      <c r="O10" s="141" t="s">
        <v>462</v>
      </c>
      <c r="P10" s="749" t="s">
        <v>462</v>
      </c>
      <c r="Q10" s="751"/>
      <c r="R10" s="746" t="s">
        <v>466</v>
      </c>
      <c r="S10" s="74" t="s">
        <v>462</v>
      </c>
      <c r="T10" s="749" t="s">
        <v>462</v>
      </c>
      <c r="U10" s="746" t="s">
        <v>466</v>
      </c>
      <c r="V10" s="74" t="s">
        <v>462</v>
      </c>
      <c r="W10" s="749" t="s">
        <v>462</v>
      </c>
      <c r="X10" s="746" t="s">
        <v>466</v>
      </c>
      <c r="Y10" s="74" t="s">
        <v>462</v>
      </c>
      <c r="Z10" s="749" t="s">
        <v>462</v>
      </c>
      <c r="AA10" s="746" t="s">
        <v>466</v>
      </c>
      <c r="AB10" s="74" t="s">
        <v>462</v>
      </c>
      <c r="AC10" s="753" t="s">
        <v>462</v>
      </c>
      <c r="AD10" s="746" t="s">
        <v>466</v>
      </c>
      <c r="AE10" s="74" t="s">
        <v>462</v>
      </c>
      <c r="AF10" s="753" t="s">
        <v>462</v>
      </c>
      <c r="AG10" s="746" t="s">
        <v>466</v>
      </c>
      <c r="AH10" s="74" t="s">
        <v>462</v>
      </c>
      <c r="AI10" s="753" t="s">
        <v>462</v>
      </c>
      <c r="AJ10" s="746" t="s">
        <v>466</v>
      </c>
      <c r="AK10" s="749" t="s">
        <v>462</v>
      </c>
      <c r="AL10" s="753" t="s">
        <v>462</v>
      </c>
      <c r="AM10" s="746" t="s">
        <v>466</v>
      </c>
      <c r="AN10" s="74" t="s">
        <v>462</v>
      </c>
      <c r="AO10" s="749" t="s">
        <v>462</v>
      </c>
      <c r="AP10" s="746" t="s">
        <v>466</v>
      </c>
      <c r="AQ10" s="74" t="s">
        <v>462</v>
      </c>
      <c r="AR10" s="749" t="s">
        <v>462</v>
      </c>
      <c r="AS10" s="746" t="s">
        <v>466</v>
      </c>
      <c r="AT10" s="74" t="s">
        <v>462</v>
      </c>
      <c r="AU10" s="749" t="s">
        <v>462</v>
      </c>
      <c r="AV10" s="746" t="s">
        <v>466</v>
      </c>
      <c r="AW10" s="74" t="s">
        <v>462</v>
      </c>
      <c r="AX10" s="753" t="s">
        <v>462</v>
      </c>
      <c r="AY10" s="746" t="s">
        <v>466</v>
      </c>
      <c r="AZ10" s="74" t="s">
        <v>462</v>
      </c>
      <c r="BA10" s="1037" t="s">
        <v>462</v>
      </c>
      <c r="BB10" s="746" t="s">
        <v>466</v>
      </c>
      <c r="BC10" s="74" t="s">
        <v>462</v>
      </c>
      <c r="BD10" s="1037" t="s">
        <v>462</v>
      </c>
      <c r="BE10" s="746" t="s">
        <v>466</v>
      </c>
      <c r="BF10" s="749" t="s">
        <v>462</v>
      </c>
      <c r="BG10" s="1037" t="s">
        <v>462</v>
      </c>
      <c r="BH10" s="746" t="s">
        <v>466</v>
      </c>
      <c r="BI10" s="74" t="s">
        <v>462</v>
      </c>
      <c r="BJ10" s="1037" t="s">
        <v>462</v>
      </c>
      <c r="BK10" s="746" t="s">
        <v>466</v>
      </c>
      <c r="BL10" s="74" t="s">
        <v>462</v>
      </c>
      <c r="BM10" s="1037" t="s">
        <v>462</v>
      </c>
      <c r="BN10" s="746" t="s">
        <v>466</v>
      </c>
      <c r="BO10" s="749" t="s">
        <v>462</v>
      </c>
      <c r="BP10" s="1037" t="s">
        <v>462</v>
      </c>
      <c r="BQ10" s="126"/>
      <c r="BR10" s="141" t="s">
        <v>466</v>
      </c>
      <c r="BS10" s="125" t="s">
        <v>462</v>
      </c>
      <c r="BT10" s="749" t="s">
        <v>462</v>
      </c>
      <c r="BU10" s="746" t="s">
        <v>466</v>
      </c>
      <c r="BV10" s="74" t="s">
        <v>462</v>
      </c>
      <c r="BW10" s="749" t="s">
        <v>462</v>
      </c>
      <c r="BX10" s="746" t="s">
        <v>466</v>
      </c>
      <c r="BY10" s="74" t="s">
        <v>462</v>
      </c>
      <c r="BZ10" s="753" t="s">
        <v>462</v>
      </c>
      <c r="CA10" s="746" t="s">
        <v>466</v>
      </c>
      <c r="CB10" s="74" t="s">
        <v>462</v>
      </c>
      <c r="CC10" s="1714" t="s">
        <v>462</v>
      </c>
      <c r="CD10" s="746" t="s">
        <v>466</v>
      </c>
      <c r="CE10" s="74" t="s">
        <v>462</v>
      </c>
      <c r="CF10" s="1714" t="s">
        <v>462</v>
      </c>
      <c r="CG10" s="68"/>
      <c r="CH10" s="68"/>
      <c r="CI10" s="68"/>
    </row>
    <row r="11" ht="15.0" customHeight="1" outlineLevel="1">
      <c r="A11" s="60">
        <v>8.0</v>
      </c>
      <c r="B11" s="747" t="str">
        <f t="shared" si="1"/>
        <v>CPQ11-ARCH-FENC-SITE-R22.rvt</v>
      </c>
      <c r="C11" s="60">
        <v>8.0</v>
      </c>
      <c r="D11" s="74" t="s">
        <v>2122</v>
      </c>
      <c r="E11" s="1712" t="s">
        <v>2126</v>
      </c>
      <c r="F11" s="71" t="s">
        <v>90</v>
      </c>
      <c r="G11" s="71" t="s">
        <v>482</v>
      </c>
      <c r="H11" s="1713" t="s">
        <v>2124</v>
      </c>
      <c r="I11" s="146" t="s">
        <v>94</v>
      </c>
      <c r="J11" s="72">
        <v>1103.0</v>
      </c>
      <c r="K11" s="139" t="s">
        <v>86</v>
      </c>
      <c r="L11" s="139">
        <v>1130.0</v>
      </c>
      <c r="M11" s="746" t="str">
        <f>IFERROR(VLOOKUP(B8:B198,'RELATÓRIO ACC'!B:F,5,FALSE),"N/A")</f>
        <v>N/A</v>
      </c>
      <c r="N11" s="748" t="str">
        <f>IFERROR(VLOOKUP(B8:B198,'RELATÓRIO ACC'!B:P,15,FALSE),"N/A")</f>
        <v>N/A</v>
      </c>
      <c r="O11" s="141" t="s">
        <v>462</v>
      </c>
      <c r="P11" s="749" t="s">
        <v>462</v>
      </c>
      <c r="Q11" s="751"/>
      <c r="R11" s="746" t="s">
        <v>466</v>
      </c>
      <c r="S11" s="74" t="s">
        <v>462</v>
      </c>
      <c r="T11" s="749" t="s">
        <v>462</v>
      </c>
      <c r="U11" s="746" t="s">
        <v>466</v>
      </c>
      <c r="V11" s="74" t="s">
        <v>462</v>
      </c>
      <c r="W11" s="749" t="s">
        <v>462</v>
      </c>
      <c r="X11" s="746" t="s">
        <v>466</v>
      </c>
      <c r="Y11" s="74" t="s">
        <v>462</v>
      </c>
      <c r="Z11" s="749" t="s">
        <v>462</v>
      </c>
      <c r="AA11" s="746" t="s">
        <v>466</v>
      </c>
      <c r="AB11" s="74" t="s">
        <v>462</v>
      </c>
      <c r="AC11" s="753" t="s">
        <v>462</v>
      </c>
      <c r="AD11" s="746" t="s">
        <v>466</v>
      </c>
      <c r="AE11" s="74" t="s">
        <v>462</v>
      </c>
      <c r="AF11" s="753" t="s">
        <v>462</v>
      </c>
      <c r="AG11" s="746" t="s">
        <v>466</v>
      </c>
      <c r="AH11" s="74" t="s">
        <v>462</v>
      </c>
      <c r="AI11" s="753" t="s">
        <v>462</v>
      </c>
      <c r="AJ11" s="746" t="s">
        <v>466</v>
      </c>
      <c r="AK11" s="74" t="s">
        <v>462</v>
      </c>
      <c r="AL11" s="753" t="s">
        <v>462</v>
      </c>
      <c r="AM11" s="746" t="s">
        <v>466</v>
      </c>
      <c r="AN11" s="74" t="s">
        <v>462</v>
      </c>
      <c r="AO11" s="749" t="s">
        <v>462</v>
      </c>
      <c r="AP11" s="746" t="s">
        <v>466</v>
      </c>
      <c r="AQ11" s="74" t="s">
        <v>462</v>
      </c>
      <c r="AR11" s="749" t="s">
        <v>462</v>
      </c>
      <c r="AS11" s="746" t="s">
        <v>466</v>
      </c>
      <c r="AT11" s="74" t="s">
        <v>462</v>
      </c>
      <c r="AU11" s="749" t="s">
        <v>462</v>
      </c>
      <c r="AV11" s="746" t="s">
        <v>466</v>
      </c>
      <c r="AW11" s="74" t="s">
        <v>462</v>
      </c>
      <c r="AX11" s="753" t="s">
        <v>462</v>
      </c>
      <c r="AY11" s="746" t="s">
        <v>466</v>
      </c>
      <c r="AZ11" s="74" t="s">
        <v>462</v>
      </c>
      <c r="BA11" s="1037" t="s">
        <v>462</v>
      </c>
      <c r="BB11" s="746" t="s">
        <v>466</v>
      </c>
      <c r="BC11" s="74" t="s">
        <v>462</v>
      </c>
      <c r="BD11" s="1037" t="s">
        <v>462</v>
      </c>
      <c r="BE11" s="746" t="s">
        <v>466</v>
      </c>
      <c r="BF11" s="74" t="s">
        <v>462</v>
      </c>
      <c r="BG11" s="1037" t="s">
        <v>462</v>
      </c>
      <c r="BH11" s="746" t="s">
        <v>466</v>
      </c>
      <c r="BI11" s="74" t="s">
        <v>462</v>
      </c>
      <c r="BJ11" s="1037" t="s">
        <v>462</v>
      </c>
      <c r="BK11" s="746" t="s">
        <v>466</v>
      </c>
      <c r="BL11" s="74" t="s">
        <v>462</v>
      </c>
      <c r="BM11" s="1037" t="s">
        <v>462</v>
      </c>
      <c r="BN11" s="746" t="s">
        <v>466</v>
      </c>
      <c r="BO11" s="74" t="s">
        <v>462</v>
      </c>
      <c r="BP11" s="1037" t="s">
        <v>462</v>
      </c>
      <c r="BQ11" s="126"/>
      <c r="BR11" s="141" t="s">
        <v>466</v>
      </c>
      <c r="BS11" s="125" t="s">
        <v>462</v>
      </c>
      <c r="BT11" s="749" t="s">
        <v>462</v>
      </c>
      <c r="BU11" s="746" t="s">
        <v>466</v>
      </c>
      <c r="BV11" s="74" t="s">
        <v>462</v>
      </c>
      <c r="BW11" s="749" t="s">
        <v>462</v>
      </c>
      <c r="BX11" s="746" t="s">
        <v>466</v>
      </c>
      <c r="BY11" s="74" t="s">
        <v>462</v>
      </c>
      <c r="BZ11" s="753" t="s">
        <v>462</v>
      </c>
      <c r="CA11" s="746" t="s">
        <v>466</v>
      </c>
      <c r="CB11" s="74" t="s">
        <v>462</v>
      </c>
      <c r="CC11" s="1714" t="s">
        <v>462</v>
      </c>
      <c r="CD11" s="746" t="s">
        <v>466</v>
      </c>
      <c r="CE11" s="74" t="s">
        <v>462</v>
      </c>
      <c r="CF11" s="1714" t="s">
        <v>462</v>
      </c>
      <c r="CG11" s="68"/>
      <c r="CH11" s="68"/>
      <c r="CI11" s="68"/>
    </row>
    <row r="12" ht="15.0" customHeight="1" outlineLevel="1">
      <c r="A12" s="60">
        <v>86.0</v>
      </c>
      <c r="B12" s="830" t="s">
        <v>270</v>
      </c>
      <c r="C12" s="60">
        <v>86.0</v>
      </c>
      <c r="D12" s="466"/>
      <c r="E12" s="466"/>
      <c r="F12" s="466"/>
      <c r="G12" s="466"/>
      <c r="H12" s="833"/>
      <c r="I12" s="832"/>
      <c r="J12" s="832"/>
      <c r="K12" s="832"/>
      <c r="L12" s="465"/>
      <c r="M12" s="835"/>
      <c r="N12" s="833"/>
      <c r="O12" s="832"/>
      <c r="P12" s="465"/>
      <c r="Q12" s="834"/>
      <c r="R12" s="835"/>
      <c r="S12" s="836"/>
      <c r="T12" s="837"/>
      <c r="U12" s="835"/>
      <c r="V12" s="836"/>
      <c r="W12" s="837"/>
      <c r="X12" s="835"/>
      <c r="Y12" s="836"/>
      <c r="Z12" s="837"/>
      <c r="AA12" s="838"/>
      <c r="AB12" s="836"/>
      <c r="AC12" s="1715"/>
      <c r="AD12" s="838"/>
      <c r="AE12" s="836"/>
      <c r="AF12" s="1715"/>
      <c r="AG12" s="838"/>
      <c r="AH12" s="836"/>
      <c r="AI12" s="1715"/>
      <c r="AJ12" s="838"/>
      <c r="AK12" s="836"/>
      <c r="AL12" s="1715"/>
      <c r="AM12" s="838"/>
      <c r="AN12" s="1133"/>
      <c r="AO12" s="1134"/>
      <c r="AP12" s="838"/>
      <c r="AQ12" s="1133"/>
      <c r="AR12" s="1134"/>
      <c r="AS12" s="838"/>
      <c r="AT12" s="1133"/>
      <c r="AU12" s="1134"/>
      <c r="AV12" s="838"/>
      <c r="AW12" s="836"/>
      <c r="AX12" s="1715"/>
      <c r="AY12" s="838"/>
      <c r="AZ12" s="836"/>
      <c r="BA12" s="1716"/>
      <c r="BB12" s="838"/>
      <c r="BC12" s="836"/>
      <c r="BD12" s="1716"/>
      <c r="BE12" s="838"/>
      <c r="BF12" s="836"/>
      <c r="BG12" s="1716"/>
      <c r="BH12" s="838"/>
      <c r="BI12" s="836"/>
      <c r="BJ12" s="1716"/>
      <c r="BK12" s="838"/>
      <c r="BL12" s="836"/>
      <c r="BM12" s="1716"/>
      <c r="BN12" s="838"/>
      <c r="BO12" s="836"/>
      <c r="BP12" s="1716"/>
      <c r="BQ12" s="1192"/>
      <c r="BR12" s="1717"/>
      <c r="BS12" s="1718"/>
      <c r="BT12" s="1719"/>
      <c r="BU12" s="1720"/>
      <c r="BV12" s="1718"/>
      <c r="BW12" s="1719"/>
      <c r="BX12" s="1720"/>
      <c r="BY12" s="1718"/>
      <c r="BZ12" s="1721"/>
      <c r="CA12" s="1720"/>
      <c r="CB12" s="1718"/>
      <c r="CC12" s="1722"/>
      <c r="CD12" s="1720"/>
      <c r="CE12" s="1718"/>
      <c r="CF12" s="1722"/>
      <c r="CG12" s="215"/>
      <c r="CH12" s="215"/>
      <c r="CI12" s="215"/>
    </row>
    <row r="13" ht="15.0" customHeight="1" outlineLevel="1">
      <c r="A13" s="60">
        <v>10.0</v>
      </c>
      <c r="B13" s="747" t="str">
        <f t="shared" ref="B13:B91" si="2">"CPQ11" &amp; "-" &amp; D13 &amp; "-" &amp; E13 &amp; "-" &amp; F13 &amp; "-" &amp; G13 &amp; H13</f>
        <v>CPQ11-ARCH-WOOD-DATA-R22.rvt</v>
      </c>
      <c r="C13" s="60">
        <v>10.0</v>
      </c>
      <c r="D13" s="74" t="s">
        <v>2122</v>
      </c>
      <c r="E13" s="74" t="s">
        <v>2127</v>
      </c>
      <c r="F13" s="71" t="s">
        <v>85</v>
      </c>
      <c r="G13" s="71" t="s">
        <v>482</v>
      </c>
      <c r="H13" s="1713" t="s">
        <v>2124</v>
      </c>
      <c r="I13" s="138" t="s">
        <v>97</v>
      </c>
      <c r="J13" s="138"/>
      <c r="K13" s="138" t="s">
        <v>97</v>
      </c>
      <c r="L13" s="139"/>
      <c r="M13" s="746" t="str">
        <f>IFERROR(VLOOKUP(B10:B200,'RELATÓRIO ACC'!B:F,5,FALSE),"N/A")</f>
        <v>N/A</v>
      </c>
      <c r="N13" s="748" t="str">
        <f>IFERROR(VLOOKUP(B10:B200,'RELATÓRIO ACC'!B:P,15,FALSE),"N/A")</f>
        <v>N/A</v>
      </c>
      <c r="O13" s="141" t="s">
        <v>462</v>
      </c>
      <c r="P13" s="749" t="s">
        <v>462</v>
      </c>
      <c r="Q13" s="751"/>
      <c r="R13" s="746" t="s">
        <v>466</v>
      </c>
      <c r="S13" s="74" t="s">
        <v>462</v>
      </c>
      <c r="T13" s="749" t="s">
        <v>462</v>
      </c>
      <c r="U13" s="746" t="s">
        <v>466</v>
      </c>
      <c r="V13" s="74" t="s">
        <v>462</v>
      </c>
      <c r="W13" s="749" t="s">
        <v>462</v>
      </c>
      <c r="X13" s="746" t="s">
        <v>466</v>
      </c>
      <c r="Y13" s="74" t="s">
        <v>462</v>
      </c>
      <c r="Z13" s="749" t="s">
        <v>462</v>
      </c>
      <c r="AA13" s="746" t="s">
        <v>466</v>
      </c>
      <c r="AB13" s="74" t="s">
        <v>462</v>
      </c>
      <c r="AC13" s="753" t="s">
        <v>462</v>
      </c>
      <c r="AD13" s="746" t="s">
        <v>466</v>
      </c>
      <c r="AE13" s="74" t="s">
        <v>462</v>
      </c>
      <c r="AF13" s="753" t="s">
        <v>462</v>
      </c>
      <c r="AG13" s="746" t="s">
        <v>466</v>
      </c>
      <c r="AH13" s="74" t="s">
        <v>462</v>
      </c>
      <c r="AI13" s="753" t="s">
        <v>462</v>
      </c>
      <c r="AJ13" s="746" t="s">
        <v>466</v>
      </c>
      <c r="AK13" s="74" t="s">
        <v>462</v>
      </c>
      <c r="AL13" s="753" t="s">
        <v>462</v>
      </c>
      <c r="AM13" s="746" t="s">
        <v>466</v>
      </c>
      <c r="AN13" s="74" t="s">
        <v>462</v>
      </c>
      <c r="AO13" s="749" t="s">
        <v>462</v>
      </c>
      <c r="AP13" s="746" t="s">
        <v>466</v>
      </c>
      <c r="AQ13" s="74" t="s">
        <v>462</v>
      </c>
      <c r="AR13" s="749" t="s">
        <v>462</v>
      </c>
      <c r="AS13" s="746" t="s">
        <v>466</v>
      </c>
      <c r="AT13" s="74" t="s">
        <v>462</v>
      </c>
      <c r="AU13" s="749" t="s">
        <v>462</v>
      </c>
      <c r="AV13" s="746" t="s">
        <v>466</v>
      </c>
      <c r="AW13" s="74" t="s">
        <v>462</v>
      </c>
      <c r="AX13" s="753" t="s">
        <v>462</v>
      </c>
      <c r="AY13" s="746" t="s">
        <v>466</v>
      </c>
      <c r="AZ13" s="74" t="s">
        <v>462</v>
      </c>
      <c r="BA13" s="1037" t="s">
        <v>462</v>
      </c>
      <c r="BB13" s="746" t="s">
        <v>466</v>
      </c>
      <c r="BC13" s="74" t="s">
        <v>462</v>
      </c>
      <c r="BD13" s="1037" t="s">
        <v>462</v>
      </c>
      <c r="BE13" s="746" t="s">
        <v>466</v>
      </c>
      <c r="BF13" s="74" t="s">
        <v>462</v>
      </c>
      <c r="BG13" s="1037" t="s">
        <v>462</v>
      </c>
      <c r="BH13" s="746" t="s">
        <v>466</v>
      </c>
      <c r="BI13" s="74" t="s">
        <v>462</v>
      </c>
      <c r="BJ13" s="1037" t="s">
        <v>462</v>
      </c>
      <c r="BK13" s="746" t="s">
        <v>466</v>
      </c>
      <c r="BL13" s="74" t="s">
        <v>462</v>
      </c>
      <c r="BM13" s="1037" t="s">
        <v>462</v>
      </c>
      <c r="BN13" s="746" t="s">
        <v>466</v>
      </c>
      <c r="BO13" s="74" t="s">
        <v>462</v>
      </c>
      <c r="BP13" s="1037" t="s">
        <v>462</v>
      </c>
      <c r="BQ13" s="126"/>
      <c r="BR13" s="141" t="s">
        <v>466</v>
      </c>
      <c r="BS13" s="74" t="s">
        <v>462</v>
      </c>
      <c r="BT13" s="749" t="s">
        <v>462</v>
      </c>
      <c r="BU13" s="746" t="s">
        <v>466</v>
      </c>
      <c r="BV13" s="74" t="s">
        <v>462</v>
      </c>
      <c r="BW13" s="749" t="s">
        <v>462</v>
      </c>
      <c r="BX13" s="746" t="s">
        <v>466</v>
      </c>
      <c r="BY13" s="74" t="s">
        <v>462</v>
      </c>
      <c r="BZ13" s="753" t="s">
        <v>462</v>
      </c>
      <c r="CA13" s="746" t="s">
        <v>466</v>
      </c>
      <c r="CB13" s="74" t="s">
        <v>462</v>
      </c>
      <c r="CC13" s="1714" t="s">
        <v>462</v>
      </c>
      <c r="CD13" s="746" t="s">
        <v>466</v>
      </c>
      <c r="CE13" s="74" t="s">
        <v>462</v>
      </c>
      <c r="CF13" s="1714" t="s">
        <v>462</v>
      </c>
      <c r="CG13" s="68"/>
      <c r="CH13" s="68"/>
      <c r="CI13" s="68"/>
    </row>
    <row r="14" ht="32.25" customHeight="1" outlineLevel="1">
      <c r="A14" s="60">
        <v>2.0</v>
      </c>
      <c r="B14" s="849" t="str">
        <f t="shared" si="2"/>
        <v>CPQ11-ARCH-ARCH-DATA-R22.rvt</v>
      </c>
      <c r="C14" s="60">
        <v>2.0</v>
      </c>
      <c r="D14" s="74" t="s">
        <v>2122</v>
      </c>
      <c r="E14" s="1712" t="s">
        <v>2122</v>
      </c>
      <c r="F14" s="71" t="s">
        <v>85</v>
      </c>
      <c r="G14" s="71" t="s">
        <v>482</v>
      </c>
      <c r="H14" s="1713" t="s">
        <v>2124</v>
      </c>
      <c r="I14" s="146" t="s">
        <v>86</v>
      </c>
      <c r="J14" s="72">
        <v>1130.0</v>
      </c>
      <c r="K14" s="139" t="s">
        <v>86</v>
      </c>
      <c r="L14" s="139">
        <v>1130.0</v>
      </c>
      <c r="M14" s="746" t="str">
        <f>IFERROR(VLOOKUP(B11:B201,'RELATÓRIO ACC'!B:F,5,FALSE),"N/A")</f>
        <v>N/A</v>
      </c>
      <c r="N14" s="748" t="str">
        <f>IFERROR(VLOOKUP(B11:B201,'RELATÓRIO ACC'!B:P,15,FALSE),"N/A")</f>
        <v>N/A</v>
      </c>
      <c r="O14" s="141" t="s">
        <v>722</v>
      </c>
      <c r="P14" s="1038">
        <v>45904.0</v>
      </c>
      <c r="Q14" s="751" t="s">
        <v>87</v>
      </c>
      <c r="R14" s="746" t="s">
        <v>477</v>
      </c>
      <c r="S14" s="766" t="s">
        <v>476</v>
      </c>
      <c r="T14" s="773">
        <v>0.58</v>
      </c>
      <c r="U14" s="746" t="s">
        <v>466</v>
      </c>
      <c r="V14" s="466" t="s">
        <v>483</v>
      </c>
      <c r="W14" s="749">
        <v>0.0</v>
      </c>
      <c r="X14" s="746" t="s">
        <v>477</v>
      </c>
      <c r="Y14" s="766" t="s">
        <v>476</v>
      </c>
      <c r="Z14" s="773">
        <v>0.73</v>
      </c>
      <c r="AA14" s="746" t="s">
        <v>477</v>
      </c>
      <c r="AB14" s="759" t="s">
        <v>476</v>
      </c>
      <c r="AC14" s="773">
        <v>0.77</v>
      </c>
      <c r="AD14" s="755" t="s">
        <v>478</v>
      </c>
      <c r="AE14" s="74">
        <v>0.0</v>
      </c>
      <c r="AF14" s="753">
        <v>0.0</v>
      </c>
      <c r="AG14" s="755" t="s">
        <v>478</v>
      </c>
      <c r="AH14" s="74">
        <v>0.0</v>
      </c>
      <c r="AI14" s="753">
        <v>0.0</v>
      </c>
      <c r="AJ14" s="755" t="s">
        <v>478</v>
      </c>
      <c r="AK14" s="74">
        <v>0.0</v>
      </c>
      <c r="AL14" s="753">
        <v>0.0</v>
      </c>
      <c r="AM14" s="746" t="s">
        <v>477</v>
      </c>
      <c r="AN14" s="766" t="s">
        <v>476</v>
      </c>
      <c r="AO14" s="773">
        <v>0.6</v>
      </c>
      <c r="AP14" s="746" t="s">
        <v>466</v>
      </c>
      <c r="AQ14" s="466" t="s">
        <v>483</v>
      </c>
      <c r="AR14" s="749">
        <v>0.0</v>
      </c>
      <c r="AS14" s="746" t="s">
        <v>477</v>
      </c>
      <c r="AT14" s="766" t="s">
        <v>476</v>
      </c>
      <c r="AU14" s="1061">
        <v>0.78</v>
      </c>
      <c r="AV14" s="746" t="s">
        <v>477</v>
      </c>
      <c r="AW14" s="759" t="s">
        <v>476</v>
      </c>
      <c r="AX14" s="773">
        <v>0.78</v>
      </c>
      <c r="AY14" s="755" t="s">
        <v>478</v>
      </c>
      <c r="AZ14" s="74">
        <v>0.0</v>
      </c>
      <c r="BA14" s="1037">
        <v>0.0</v>
      </c>
      <c r="BB14" s="755" t="s">
        <v>478</v>
      </c>
      <c r="BC14" s="74">
        <v>0.0</v>
      </c>
      <c r="BD14" s="1037">
        <v>0.0</v>
      </c>
      <c r="BE14" s="755" t="s">
        <v>478</v>
      </c>
      <c r="BF14" s="74">
        <v>0.0</v>
      </c>
      <c r="BG14" s="1037">
        <v>0.0</v>
      </c>
      <c r="BH14" s="746" t="s">
        <v>477</v>
      </c>
      <c r="BI14" s="766" t="s">
        <v>476</v>
      </c>
      <c r="BJ14" s="1057">
        <v>0.73</v>
      </c>
      <c r="BK14" s="755" t="s">
        <v>478</v>
      </c>
      <c r="BL14" s="74">
        <v>0.0</v>
      </c>
      <c r="BM14" s="1037">
        <v>0.0</v>
      </c>
      <c r="BN14" s="755" t="s">
        <v>478</v>
      </c>
      <c r="BO14" s="74">
        <v>0.0</v>
      </c>
      <c r="BP14" s="1037">
        <v>0.0</v>
      </c>
      <c r="BQ14" s="751" t="s">
        <v>91</v>
      </c>
      <c r="BR14" s="1723" t="s">
        <v>462</v>
      </c>
      <c r="BS14" s="125" t="s">
        <v>462</v>
      </c>
      <c r="BT14" s="147" t="s">
        <v>462</v>
      </c>
      <c r="BU14" s="1724" t="s">
        <v>462</v>
      </c>
      <c r="BV14" s="125" t="s">
        <v>462</v>
      </c>
      <c r="BW14" s="147" t="s">
        <v>462</v>
      </c>
      <c r="BX14" s="1725" t="s">
        <v>462</v>
      </c>
      <c r="BY14" s="125" t="s">
        <v>462</v>
      </c>
      <c r="BZ14" s="1726" t="s">
        <v>462</v>
      </c>
      <c r="CA14" s="1723" t="s">
        <v>462</v>
      </c>
      <c r="CB14" s="125" t="s">
        <v>462</v>
      </c>
      <c r="CC14" s="1727" t="s">
        <v>462</v>
      </c>
      <c r="CD14" s="1723" t="s">
        <v>462</v>
      </c>
      <c r="CE14" s="125" t="s">
        <v>462</v>
      </c>
      <c r="CF14" s="1727" t="s">
        <v>462</v>
      </c>
      <c r="CG14" s="111"/>
      <c r="CH14" s="111"/>
      <c r="CI14" s="111"/>
    </row>
    <row r="15" outlineLevel="1">
      <c r="A15" s="60">
        <v>3.0</v>
      </c>
      <c r="B15" s="849" t="str">
        <f t="shared" si="2"/>
        <v>CPQ11-ARCH-ARCH-SITE-R22.rvt</v>
      </c>
      <c r="C15" s="60">
        <v>3.0</v>
      </c>
      <c r="D15" s="74" t="s">
        <v>2122</v>
      </c>
      <c r="E15" s="1712" t="s">
        <v>2122</v>
      </c>
      <c r="F15" s="71" t="s">
        <v>90</v>
      </c>
      <c r="G15" s="71" t="s">
        <v>482</v>
      </c>
      <c r="H15" s="1713" t="s">
        <v>2124</v>
      </c>
      <c r="I15" s="146" t="s">
        <v>86</v>
      </c>
      <c r="J15" s="72">
        <v>1130.0</v>
      </c>
      <c r="K15" s="139" t="s">
        <v>86</v>
      </c>
      <c r="L15" s="139">
        <v>1130.0</v>
      </c>
      <c r="M15" s="746" t="str">
        <f>IFERROR(VLOOKUP(B12:B202,'RELATÓRIO ACC'!B:F,5,FALSE),"N/A")</f>
        <v>N/A</v>
      </c>
      <c r="N15" s="748" t="str">
        <f>IFERROR(VLOOKUP(B12:B202,'RELATÓRIO ACC'!B:P,15,FALSE),"N/A")</f>
        <v>N/A</v>
      </c>
      <c r="O15" s="141" t="s">
        <v>724</v>
      </c>
      <c r="P15" s="782">
        <v>45904.0</v>
      </c>
      <c r="Q15" s="844" t="s">
        <v>91</v>
      </c>
      <c r="R15" s="746" t="s">
        <v>462</v>
      </c>
      <c r="S15" s="74" t="s">
        <v>462</v>
      </c>
      <c r="T15" s="749" t="s">
        <v>462</v>
      </c>
      <c r="U15" s="746" t="s">
        <v>462</v>
      </c>
      <c r="V15" s="74" t="s">
        <v>462</v>
      </c>
      <c r="W15" s="749" t="s">
        <v>462</v>
      </c>
      <c r="X15" s="746" t="s">
        <v>462</v>
      </c>
      <c r="Y15" s="74" t="s">
        <v>462</v>
      </c>
      <c r="Z15" s="749" t="s">
        <v>462</v>
      </c>
      <c r="AA15" s="746" t="s">
        <v>462</v>
      </c>
      <c r="AB15" s="74" t="s">
        <v>462</v>
      </c>
      <c r="AC15" s="753" t="s">
        <v>462</v>
      </c>
      <c r="AD15" s="746" t="s">
        <v>462</v>
      </c>
      <c r="AE15" s="74" t="s">
        <v>462</v>
      </c>
      <c r="AF15" s="753" t="s">
        <v>462</v>
      </c>
      <c r="AG15" s="746" t="s">
        <v>462</v>
      </c>
      <c r="AH15" s="74" t="s">
        <v>462</v>
      </c>
      <c r="AI15" s="753" t="s">
        <v>462</v>
      </c>
      <c r="AJ15" s="746" t="s">
        <v>462</v>
      </c>
      <c r="AK15" s="74" t="s">
        <v>462</v>
      </c>
      <c r="AL15" s="753" t="s">
        <v>462</v>
      </c>
      <c r="AM15" s="746" t="s">
        <v>462</v>
      </c>
      <c r="AN15" s="74" t="s">
        <v>462</v>
      </c>
      <c r="AO15" s="749" t="s">
        <v>462</v>
      </c>
      <c r="AP15" s="746" t="s">
        <v>462</v>
      </c>
      <c r="AQ15" s="74" t="s">
        <v>462</v>
      </c>
      <c r="AR15" s="749" t="s">
        <v>462</v>
      </c>
      <c r="AS15" s="746" t="s">
        <v>462</v>
      </c>
      <c r="AT15" s="74" t="s">
        <v>462</v>
      </c>
      <c r="AU15" s="749" t="s">
        <v>462</v>
      </c>
      <c r="AV15" s="746" t="s">
        <v>462</v>
      </c>
      <c r="AW15" s="74" t="s">
        <v>462</v>
      </c>
      <c r="AX15" s="753" t="s">
        <v>462</v>
      </c>
      <c r="AY15" s="746" t="s">
        <v>462</v>
      </c>
      <c r="AZ15" s="74" t="s">
        <v>462</v>
      </c>
      <c r="BA15" s="1037" t="s">
        <v>462</v>
      </c>
      <c r="BB15" s="746" t="s">
        <v>462</v>
      </c>
      <c r="BC15" s="74" t="s">
        <v>462</v>
      </c>
      <c r="BD15" s="1037" t="s">
        <v>462</v>
      </c>
      <c r="BE15" s="746" t="s">
        <v>462</v>
      </c>
      <c r="BF15" s="74" t="s">
        <v>462</v>
      </c>
      <c r="BG15" s="1037" t="s">
        <v>462</v>
      </c>
      <c r="BH15" s="746" t="s">
        <v>462</v>
      </c>
      <c r="BI15" s="74" t="s">
        <v>462</v>
      </c>
      <c r="BJ15" s="1037" t="s">
        <v>462</v>
      </c>
      <c r="BK15" s="746" t="s">
        <v>462</v>
      </c>
      <c r="BL15" s="74" t="s">
        <v>462</v>
      </c>
      <c r="BM15" s="1037" t="s">
        <v>462</v>
      </c>
      <c r="BN15" s="746" t="s">
        <v>462</v>
      </c>
      <c r="BO15" s="74" t="s">
        <v>462</v>
      </c>
      <c r="BP15" s="1037" t="s">
        <v>462</v>
      </c>
      <c r="BQ15" s="126" t="s">
        <v>129</v>
      </c>
      <c r="BR15" s="141" t="s">
        <v>477</v>
      </c>
      <c r="BS15" s="759" t="s">
        <v>476</v>
      </c>
      <c r="BT15" s="773">
        <v>0.78</v>
      </c>
      <c r="BU15" s="746" t="s">
        <v>477</v>
      </c>
      <c r="BV15" s="766" t="s">
        <v>476</v>
      </c>
      <c r="BW15" s="773">
        <v>0.84</v>
      </c>
      <c r="BX15" s="746" t="s">
        <v>477</v>
      </c>
      <c r="BY15" s="766" t="s">
        <v>476</v>
      </c>
      <c r="BZ15" s="762">
        <v>0.94</v>
      </c>
      <c r="CA15" s="755" t="s">
        <v>478</v>
      </c>
      <c r="CB15" s="74">
        <v>0.0</v>
      </c>
      <c r="CC15" s="1714">
        <v>0.0</v>
      </c>
      <c r="CD15" s="755" t="s">
        <v>478</v>
      </c>
      <c r="CE15" s="74">
        <v>0.0</v>
      </c>
      <c r="CF15" s="1714">
        <v>0.0</v>
      </c>
      <c r="CG15" s="68"/>
      <c r="CH15" s="68"/>
      <c r="CI15" s="68"/>
    </row>
    <row r="16" ht="15.0" customHeight="1" outlineLevel="1">
      <c r="A16" s="60">
        <v>21.0</v>
      </c>
      <c r="B16" s="747" t="str">
        <f t="shared" si="2"/>
        <v>CPQ11-ARCH-BLPR-GUAR-R22.rvt</v>
      </c>
      <c r="C16" s="60">
        <v>21.0</v>
      </c>
      <c r="D16" s="74" t="s">
        <v>2122</v>
      </c>
      <c r="E16" s="1712" t="s">
        <v>2128</v>
      </c>
      <c r="F16" s="71" t="s">
        <v>127</v>
      </c>
      <c r="G16" s="71" t="s">
        <v>482</v>
      </c>
      <c r="H16" s="1713" t="s">
        <v>2124</v>
      </c>
      <c r="I16" s="146" t="s">
        <v>128</v>
      </c>
      <c r="J16" s="72">
        <v>1109.0</v>
      </c>
      <c r="K16" s="139" t="s">
        <v>128</v>
      </c>
      <c r="L16" s="139">
        <v>1109.0</v>
      </c>
      <c r="M16" s="746" t="str">
        <f>IFERROR(VLOOKUP(B13:B203,'RELATÓRIO ACC'!B:F,5,FALSE),"N/A")</f>
        <v>N/A</v>
      </c>
      <c r="N16" s="748" t="str">
        <f>IFERROR(VLOOKUP(B13:B203,'RELATÓRIO ACC'!B:P,15,FALSE),"N/A")</f>
        <v>N/A</v>
      </c>
      <c r="O16" s="141" t="s">
        <v>486</v>
      </c>
      <c r="P16" s="1038">
        <v>45849.0</v>
      </c>
      <c r="Q16" s="751" t="s">
        <v>129</v>
      </c>
      <c r="R16" s="746" t="s">
        <v>462</v>
      </c>
      <c r="S16" s="74" t="s">
        <v>462</v>
      </c>
      <c r="T16" s="749" t="s">
        <v>462</v>
      </c>
      <c r="U16" s="746" t="s">
        <v>462</v>
      </c>
      <c r="V16" s="74" t="s">
        <v>462</v>
      </c>
      <c r="W16" s="749" t="s">
        <v>462</v>
      </c>
      <c r="X16" s="746" t="s">
        <v>462</v>
      </c>
      <c r="Y16" s="74" t="s">
        <v>462</v>
      </c>
      <c r="Z16" s="749" t="s">
        <v>462</v>
      </c>
      <c r="AA16" s="746" t="s">
        <v>462</v>
      </c>
      <c r="AB16" s="74" t="s">
        <v>462</v>
      </c>
      <c r="AC16" s="749" t="s">
        <v>462</v>
      </c>
      <c r="AD16" s="746" t="s">
        <v>462</v>
      </c>
      <c r="AE16" s="74" t="s">
        <v>462</v>
      </c>
      <c r="AF16" s="753" t="s">
        <v>462</v>
      </c>
      <c r="AG16" s="746" t="s">
        <v>462</v>
      </c>
      <c r="AH16" s="74" t="s">
        <v>462</v>
      </c>
      <c r="AI16" s="753" t="s">
        <v>462</v>
      </c>
      <c r="AJ16" s="746" t="s">
        <v>462</v>
      </c>
      <c r="AK16" s="74" t="s">
        <v>462</v>
      </c>
      <c r="AL16" s="753" t="s">
        <v>462</v>
      </c>
      <c r="AM16" s="746" t="s">
        <v>462</v>
      </c>
      <c r="AN16" s="74" t="s">
        <v>462</v>
      </c>
      <c r="AO16" s="749" t="s">
        <v>462</v>
      </c>
      <c r="AP16" s="746" t="s">
        <v>462</v>
      </c>
      <c r="AQ16" s="74" t="s">
        <v>462</v>
      </c>
      <c r="AR16" s="749" t="s">
        <v>462</v>
      </c>
      <c r="AS16" s="746" t="s">
        <v>462</v>
      </c>
      <c r="AT16" s="74" t="s">
        <v>462</v>
      </c>
      <c r="AU16" s="749" t="s">
        <v>462</v>
      </c>
      <c r="AV16" s="746" t="s">
        <v>462</v>
      </c>
      <c r="AW16" s="74" t="s">
        <v>462</v>
      </c>
      <c r="AX16" s="749" t="s">
        <v>462</v>
      </c>
      <c r="AY16" s="746" t="s">
        <v>462</v>
      </c>
      <c r="AZ16" s="74" t="s">
        <v>462</v>
      </c>
      <c r="BA16" s="749" t="s">
        <v>462</v>
      </c>
      <c r="BB16" s="746" t="s">
        <v>462</v>
      </c>
      <c r="BC16" s="74" t="s">
        <v>462</v>
      </c>
      <c r="BD16" s="749" t="s">
        <v>462</v>
      </c>
      <c r="BE16" s="746" t="s">
        <v>462</v>
      </c>
      <c r="BF16" s="74" t="s">
        <v>462</v>
      </c>
      <c r="BG16" s="749" t="s">
        <v>462</v>
      </c>
      <c r="BH16" s="746" t="s">
        <v>462</v>
      </c>
      <c r="BI16" s="74" t="s">
        <v>462</v>
      </c>
      <c r="BJ16" s="1037" t="s">
        <v>462</v>
      </c>
      <c r="BK16" s="746" t="s">
        <v>462</v>
      </c>
      <c r="BL16" s="74" t="s">
        <v>462</v>
      </c>
      <c r="BM16" s="1037" t="s">
        <v>462</v>
      </c>
      <c r="BN16" s="746" t="s">
        <v>462</v>
      </c>
      <c r="BO16" s="74" t="s">
        <v>462</v>
      </c>
      <c r="BP16" s="1037" t="s">
        <v>462</v>
      </c>
      <c r="BQ16" s="126"/>
      <c r="BR16" s="141" t="s">
        <v>477</v>
      </c>
      <c r="BS16" s="759" t="s">
        <v>476</v>
      </c>
      <c r="BT16" s="773">
        <v>0.34</v>
      </c>
      <c r="BU16" s="746" t="s">
        <v>466</v>
      </c>
      <c r="BV16" s="766" t="s">
        <v>476</v>
      </c>
      <c r="BW16" s="749">
        <v>0.0</v>
      </c>
      <c r="BX16" s="1728" t="s">
        <v>478</v>
      </c>
      <c r="BY16" s="74">
        <v>0.0</v>
      </c>
      <c r="BZ16" s="753">
        <v>0.0</v>
      </c>
      <c r="CA16" s="1195" t="s">
        <v>478</v>
      </c>
      <c r="CB16" s="74">
        <v>0.0</v>
      </c>
      <c r="CC16" s="1714">
        <v>0.0</v>
      </c>
      <c r="CD16" s="1195" t="s">
        <v>478</v>
      </c>
      <c r="CE16" s="74">
        <v>0.0</v>
      </c>
      <c r="CF16" s="1714">
        <v>0.0</v>
      </c>
      <c r="CG16" s="68"/>
      <c r="CH16" s="68"/>
      <c r="CI16" s="68"/>
    </row>
    <row r="17" ht="15.0" customHeight="1" outlineLevel="1">
      <c r="A17" s="60">
        <v>15.0</v>
      </c>
      <c r="B17" s="747" t="str">
        <f t="shared" si="2"/>
        <v>CPQ11-ARCH-CHAI-SITE-R22.rvt</v>
      </c>
      <c r="C17" s="60">
        <v>15.0</v>
      </c>
      <c r="D17" s="74" t="s">
        <v>2122</v>
      </c>
      <c r="E17" s="1712" t="s">
        <v>2129</v>
      </c>
      <c r="F17" s="71" t="s">
        <v>90</v>
      </c>
      <c r="G17" s="71" t="s">
        <v>482</v>
      </c>
      <c r="H17" s="1713" t="s">
        <v>2124</v>
      </c>
      <c r="I17" s="138" t="s">
        <v>100</v>
      </c>
      <c r="J17" s="72">
        <v>1104.0</v>
      </c>
      <c r="K17" s="139" t="s">
        <v>101</v>
      </c>
      <c r="L17" s="139">
        <v>1127.0</v>
      </c>
      <c r="M17" s="746" t="str">
        <f>IFERROR(VLOOKUP(B14:B204,'RELATÓRIO ACC'!B:F,5,FALSE),"N/A")</f>
        <v>N/A</v>
      </c>
      <c r="N17" s="748" t="str">
        <f>IFERROR(VLOOKUP(B14:B204,'RELATÓRIO ACC'!B:P,15,FALSE),"N/A")</f>
        <v>N/A</v>
      </c>
      <c r="O17" s="141" t="s">
        <v>486</v>
      </c>
      <c r="P17" s="1038">
        <v>45896.0</v>
      </c>
      <c r="Q17" s="844" t="s">
        <v>87</v>
      </c>
      <c r="R17" s="746" t="s">
        <v>466</v>
      </c>
      <c r="S17" s="74" t="s">
        <v>462</v>
      </c>
      <c r="T17" s="749" t="s">
        <v>462</v>
      </c>
      <c r="U17" s="746" t="s">
        <v>466</v>
      </c>
      <c r="V17" s="74" t="s">
        <v>462</v>
      </c>
      <c r="W17" s="749" t="s">
        <v>462</v>
      </c>
      <c r="X17" s="746" t="s">
        <v>466</v>
      </c>
      <c r="Y17" s="749" t="s">
        <v>462</v>
      </c>
      <c r="Z17" s="749" t="s">
        <v>462</v>
      </c>
      <c r="AA17" s="746" t="s">
        <v>466</v>
      </c>
      <c r="AB17" s="749" t="s">
        <v>462</v>
      </c>
      <c r="AC17" s="753" t="s">
        <v>462</v>
      </c>
      <c r="AD17" s="746" t="s">
        <v>466</v>
      </c>
      <c r="AE17" s="749" t="s">
        <v>462</v>
      </c>
      <c r="AF17" s="753" t="s">
        <v>462</v>
      </c>
      <c r="AG17" s="746" t="s">
        <v>466</v>
      </c>
      <c r="AH17" s="749" t="s">
        <v>462</v>
      </c>
      <c r="AI17" s="753" t="s">
        <v>462</v>
      </c>
      <c r="AJ17" s="746" t="s">
        <v>466</v>
      </c>
      <c r="AK17" s="749" t="s">
        <v>462</v>
      </c>
      <c r="AL17" s="753" t="s">
        <v>462</v>
      </c>
      <c r="AM17" s="746" t="s">
        <v>466</v>
      </c>
      <c r="AN17" s="74" t="s">
        <v>462</v>
      </c>
      <c r="AO17" s="749" t="s">
        <v>462</v>
      </c>
      <c r="AP17" s="746" t="s">
        <v>466</v>
      </c>
      <c r="AQ17" s="74" t="s">
        <v>462</v>
      </c>
      <c r="AR17" s="749" t="s">
        <v>462</v>
      </c>
      <c r="AS17" s="746" t="s">
        <v>466</v>
      </c>
      <c r="AT17" s="749" t="s">
        <v>462</v>
      </c>
      <c r="AU17" s="749" t="s">
        <v>462</v>
      </c>
      <c r="AV17" s="746" t="s">
        <v>466</v>
      </c>
      <c r="AW17" s="76" t="s">
        <v>462</v>
      </c>
      <c r="AX17" s="750" t="s">
        <v>462</v>
      </c>
      <c r="AY17" s="746" t="s">
        <v>466</v>
      </c>
      <c r="AZ17" s="76" t="s">
        <v>462</v>
      </c>
      <c r="BA17" s="1041" t="s">
        <v>462</v>
      </c>
      <c r="BB17" s="746" t="s">
        <v>466</v>
      </c>
      <c r="BC17" s="76" t="s">
        <v>462</v>
      </c>
      <c r="BD17" s="1041" t="s">
        <v>462</v>
      </c>
      <c r="BE17" s="746" t="s">
        <v>466</v>
      </c>
      <c r="BF17" s="76" t="s">
        <v>462</v>
      </c>
      <c r="BG17" s="1041" t="s">
        <v>462</v>
      </c>
      <c r="BH17" s="746" t="s">
        <v>466</v>
      </c>
      <c r="BI17" s="74" t="s">
        <v>462</v>
      </c>
      <c r="BJ17" s="1037" t="s">
        <v>462</v>
      </c>
      <c r="BK17" s="746" t="s">
        <v>466</v>
      </c>
      <c r="BL17" s="74" t="s">
        <v>462</v>
      </c>
      <c r="BM17" s="1037" t="s">
        <v>462</v>
      </c>
      <c r="BN17" s="746" t="s">
        <v>466</v>
      </c>
      <c r="BO17" s="74" t="s">
        <v>462</v>
      </c>
      <c r="BP17" s="1037" t="s">
        <v>462</v>
      </c>
      <c r="BQ17" s="126"/>
      <c r="BR17" s="141" t="s">
        <v>466</v>
      </c>
      <c r="BS17" s="759" t="s">
        <v>476</v>
      </c>
      <c r="BT17" s="749">
        <v>0.0</v>
      </c>
      <c r="BU17" s="746" t="s">
        <v>484</v>
      </c>
      <c r="BV17" s="766" t="s">
        <v>476</v>
      </c>
      <c r="BW17" s="773">
        <v>1.0</v>
      </c>
      <c r="BX17" s="1729" t="s">
        <v>484</v>
      </c>
      <c r="BY17" s="766" t="s">
        <v>476</v>
      </c>
      <c r="BZ17" s="762">
        <v>1.0</v>
      </c>
      <c r="CA17" s="141" t="s">
        <v>485</v>
      </c>
      <c r="CB17" s="766" t="s">
        <v>476</v>
      </c>
      <c r="CC17" s="1387">
        <v>1.0</v>
      </c>
      <c r="CD17" s="141" t="s">
        <v>485</v>
      </c>
      <c r="CE17" s="766" t="s">
        <v>476</v>
      </c>
      <c r="CF17" s="1387">
        <v>1.0</v>
      </c>
      <c r="CG17" s="135"/>
      <c r="CH17" s="135"/>
      <c r="CI17" s="135"/>
    </row>
    <row r="18" ht="15.0" customHeight="1" outlineLevel="1">
      <c r="A18" s="60">
        <v>22.0</v>
      </c>
      <c r="B18" s="747" t="str">
        <f t="shared" si="2"/>
        <v>CPQ11-ARCH-FACD-DATA-R22.rvt</v>
      </c>
      <c r="C18" s="60">
        <v>22.0</v>
      </c>
      <c r="D18" s="74" t="s">
        <v>2122</v>
      </c>
      <c r="E18" s="1712" t="s">
        <v>2130</v>
      </c>
      <c r="F18" s="71" t="s">
        <v>85</v>
      </c>
      <c r="G18" s="71" t="s">
        <v>482</v>
      </c>
      <c r="H18" s="1713" t="s">
        <v>2124</v>
      </c>
      <c r="I18" s="146" t="s">
        <v>132</v>
      </c>
      <c r="J18" s="72">
        <v>1110.0</v>
      </c>
      <c r="K18" s="139" t="s">
        <v>133</v>
      </c>
      <c r="L18" s="139">
        <v>1128.0</v>
      </c>
      <c r="M18" s="746" t="str">
        <f>IFERROR(VLOOKUP(B15:B205,'RELATÓRIO ACC'!B:F,5,FALSE),"N/A")</f>
        <v>N/A</v>
      </c>
      <c r="N18" s="748" t="str">
        <f>IFERROR(VLOOKUP(B15:B205,'RELATÓRIO ACC'!B:P,15,FALSE),"N/A")</f>
        <v>N/A</v>
      </c>
      <c r="O18" s="141" t="s">
        <v>490</v>
      </c>
      <c r="P18" s="782">
        <v>45854.0</v>
      </c>
      <c r="Q18" s="751" t="s">
        <v>102</v>
      </c>
      <c r="R18" s="746" t="s">
        <v>477</v>
      </c>
      <c r="S18" s="766" t="s">
        <v>476</v>
      </c>
      <c r="T18" s="773">
        <v>0.62</v>
      </c>
      <c r="U18" s="746" t="s">
        <v>477</v>
      </c>
      <c r="V18" s="766" t="s">
        <v>476</v>
      </c>
      <c r="W18" s="773">
        <v>0.91</v>
      </c>
      <c r="X18" s="746" t="s">
        <v>484</v>
      </c>
      <c r="Y18" s="766" t="s">
        <v>476</v>
      </c>
      <c r="Z18" s="773">
        <v>1.0</v>
      </c>
      <c r="AA18" s="746" t="s">
        <v>484</v>
      </c>
      <c r="AB18" s="766" t="s">
        <v>476</v>
      </c>
      <c r="AC18" s="762">
        <v>1.0</v>
      </c>
      <c r="AD18" s="746" t="s">
        <v>484</v>
      </c>
      <c r="AE18" s="766" t="s">
        <v>476</v>
      </c>
      <c r="AF18" s="762">
        <v>1.0</v>
      </c>
      <c r="AG18" s="746" t="s">
        <v>485</v>
      </c>
      <c r="AH18" s="766" t="s">
        <v>476</v>
      </c>
      <c r="AI18" s="762">
        <v>1.0</v>
      </c>
      <c r="AJ18" s="746" t="s">
        <v>485</v>
      </c>
      <c r="AK18" s="766" t="s">
        <v>476</v>
      </c>
      <c r="AL18" s="762">
        <v>1.0</v>
      </c>
      <c r="AM18" s="746" t="s">
        <v>477</v>
      </c>
      <c r="AN18" s="766" t="s">
        <v>476</v>
      </c>
      <c r="AO18" s="773">
        <v>0.62</v>
      </c>
      <c r="AP18" s="746" t="s">
        <v>477</v>
      </c>
      <c r="AQ18" s="766" t="s">
        <v>476</v>
      </c>
      <c r="AR18" s="773">
        <v>0.91</v>
      </c>
      <c r="AS18" s="746" t="s">
        <v>484</v>
      </c>
      <c r="AT18" s="766" t="s">
        <v>476</v>
      </c>
      <c r="AU18" s="773">
        <v>1.0</v>
      </c>
      <c r="AV18" s="746" t="s">
        <v>484</v>
      </c>
      <c r="AW18" s="766" t="s">
        <v>476</v>
      </c>
      <c r="AX18" s="762">
        <v>1.0</v>
      </c>
      <c r="AY18" s="746" t="s">
        <v>484</v>
      </c>
      <c r="AZ18" s="766" t="s">
        <v>476</v>
      </c>
      <c r="BA18" s="773">
        <v>1.0</v>
      </c>
      <c r="BB18" s="746" t="s">
        <v>485</v>
      </c>
      <c r="BC18" s="766" t="s">
        <v>476</v>
      </c>
      <c r="BD18" s="773">
        <v>1.0</v>
      </c>
      <c r="BE18" s="746" t="s">
        <v>485</v>
      </c>
      <c r="BF18" s="766" t="s">
        <v>476</v>
      </c>
      <c r="BG18" s="773">
        <v>1.0</v>
      </c>
      <c r="BH18" s="746" t="s">
        <v>477</v>
      </c>
      <c r="BI18" s="759" t="s">
        <v>476</v>
      </c>
      <c r="BJ18" s="1057">
        <v>0.55</v>
      </c>
      <c r="BK18" s="755" t="s">
        <v>478</v>
      </c>
      <c r="BL18" s="74">
        <v>0.0</v>
      </c>
      <c r="BM18" s="1037">
        <v>0.0</v>
      </c>
      <c r="BN18" s="755" t="s">
        <v>478</v>
      </c>
      <c r="BO18" s="74">
        <v>0.0</v>
      </c>
      <c r="BP18" s="1037">
        <v>0.0</v>
      </c>
      <c r="BQ18" s="126" t="s">
        <v>708</v>
      </c>
      <c r="BR18" s="1723" t="s">
        <v>462</v>
      </c>
      <c r="BS18" s="125" t="s">
        <v>462</v>
      </c>
      <c r="BT18" s="147" t="s">
        <v>462</v>
      </c>
      <c r="BU18" s="1724" t="s">
        <v>462</v>
      </c>
      <c r="BV18" s="125" t="s">
        <v>462</v>
      </c>
      <c r="BW18" s="147" t="s">
        <v>462</v>
      </c>
      <c r="BX18" s="1724" t="s">
        <v>462</v>
      </c>
      <c r="BY18" s="125" t="s">
        <v>462</v>
      </c>
      <c r="BZ18" s="1726" t="s">
        <v>462</v>
      </c>
      <c r="CA18" s="1724" t="s">
        <v>462</v>
      </c>
      <c r="CB18" s="125" t="s">
        <v>462</v>
      </c>
      <c r="CC18" s="1727" t="s">
        <v>462</v>
      </c>
      <c r="CD18" s="1724" t="s">
        <v>462</v>
      </c>
      <c r="CE18" s="125" t="s">
        <v>462</v>
      </c>
      <c r="CF18" s="1727" t="s">
        <v>462</v>
      </c>
      <c r="CG18" s="111"/>
      <c r="CH18" s="111"/>
      <c r="CI18" s="111"/>
    </row>
    <row r="19" ht="15.0" customHeight="1" outlineLevel="1">
      <c r="A19" s="60">
        <v>16.0</v>
      </c>
      <c r="B19" s="747" t="str">
        <f t="shared" si="2"/>
        <v>CPQ11-ARCH-FURN-DATA-R22.rvt</v>
      </c>
      <c r="C19" s="60">
        <v>16.0</v>
      </c>
      <c r="D19" s="74" t="s">
        <v>2122</v>
      </c>
      <c r="E19" s="1712" t="s">
        <v>2131</v>
      </c>
      <c r="F19" s="71" t="s">
        <v>85</v>
      </c>
      <c r="G19" s="71" t="s">
        <v>482</v>
      </c>
      <c r="H19" s="1713" t="s">
        <v>2124</v>
      </c>
      <c r="I19" s="138" t="s">
        <v>114</v>
      </c>
      <c r="J19" s="754">
        <v>1106.0</v>
      </c>
      <c r="K19" s="139" t="s">
        <v>115</v>
      </c>
      <c r="L19" s="150">
        <v>0.0</v>
      </c>
      <c r="M19" s="746" t="str">
        <f>IFERROR(VLOOKUP(B16:B206,'RELATÓRIO ACC'!B:F,5,FALSE),"N/A")</f>
        <v>N/A</v>
      </c>
      <c r="N19" s="748" t="str">
        <f>IFERROR(VLOOKUP(B16:B206,'RELATÓRIO ACC'!B:P,15,FALSE),"N/A")</f>
        <v>N/A</v>
      </c>
      <c r="O19" s="141" t="s">
        <v>462</v>
      </c>
      <c r="P19" s="749" t="s">
        <v>462</v>
      </c>
      <c r="Q19" s="751"/>
      <c r="R19" s="746" t="s">
        <v>466</v>
      </c>
      <c r="S19" s="74" t="s">
        <v>462</v>
      </c>
      <c r="T19" s="749" t="s">
        <v>462</v>
      </c>
      <c r="U19" s="746" t="s">
        <v>466</v>
      </c>
      <c r="V19" s="74" t="s">
        <v>462</v>
      </c>
      <c r="W19" s="749" t="s">
        <v>462</v>
      </c>
      <c r="X19" s="755" t="s">
        <v>466</v>
      </c>
      <c r="Y19" s="74" t="s">
        <v>462</v>
      </c>
      <c r="Z19" s="749" t="s">
        <v>462</v>
      </c>
      <c r="AA19" s="746" t="s">
        <v>466</v>
      </c>
      <c r="AB19" s="74" t="s">
        <v>462</v>
      </c>
      <c r="AC19" s="753" t="s">
        <v>462</v>
      </c>
      <c r="AD19" s="746" t="s">
        <v>466</v>
      </c>
      <c r="AE19" s="74" t="s">
        <v>462</v>
      </c>
      <c r="AF19" s="753" t="s">
        <v>462</v>
      </c>
      <c r="AG19" s="746" t="s">
        <v>466</v>
      </c>
      <c r="AH19" s="74" t="s">
        <v>462</v>
      </c>
      <c r="AI19" s="753" t="s">
        <v>462</v>
      </c>
      <c r="AJ19" s="746" t="s">
        <v>466</v>
      </c>
      <c r="AK19" s="74" t="s">
        <v>462</v>
      </c>
      <c r="AL19" s="753" t="s">
        <v>462</v>
      </c>
      <c r="AM19" s="746" t="s">
        <v>466</v>
      </c>
      <c r="AN19" s="74" t="s">
        <v>462</v>
      </c>
      <c r="AO19" s="749" t="s">
        <v>462</v>
      </c>
      <c r="AP19" s="746" t="s">
        <v>466</v>
      </c>
      <c r="AQ19" s="74" t="s">
        <v>462</v>
      </c>
      <c r="AR19" s="749" t="s">
        <v>462</v>
      </c>
      <c r="AS19" s="746" t="s">
        <v>466</v>
      </c>
      <c r="AT19" s="74" t="s">
        <v>462</v>
      </c>
      <c r="AU19" s="749" t="s">
        <v>462</v>
      </c>
      <c r="AV19" s="746" t="s">
        <v>466</v>
      </c>
      <c r="AW19" s="74" t="s">
        <v>462</v>
      </c>
      <c r="AX19" s="753" t="s">
        <v>462</v>
      </c>
      <c r="AY19" s="746" t="s">
        <v>466</v>
      </c>
      <c r="AZ19" s="74" t="s">
        <v>462</v>
      </c>
      <c r="BA19" s="749" t="s">
        <v>462</v>
      </c>
      <c r="BB19" s="746" t="s">
        <v>466</v>
      </c>
      <c r="BC19" s="74" t="s">
        <v>462</v>
      </c>
      <c r="BD19" s="749" t="s">
        <v>462</v>
      </c>
      <c r="BE19" s="746" t="s">
        <v>466</v>
      </c>
      <c r="BF19" s="74" t="s">
        <v>462</v>
      </c>
      <c r="BG19" s="749" t="s">
        <v>462</v>
      </c>
      <c r="BH19" s="746" t="s">
        <v>466</v>
      </c>
      <c r="BI19" s="74" t="s">
        <v>462</v>
      </c>
      <c r="BJ19" s="1037" t="s">
        <v>462</v>
      </c>
      <c r="BK19" s="746" t="s">
        <v>466</v>
      </c>
      <c r="BL19" s="74" t="s">
        <v>462</v>
      </c>
      <c r="BM19" s="1037" t="s">
        <v>462</v>
      </c>
      <c r="BN19" s="746" t="s">
        <v>466</v>
      </c>
      <c r="BO19" s="74" t="s">
        <v>462</v>
      </c>
      <c r="BP19" s="1037" t="s">
        <v>462</v>
      </c>
      <c r="BQ19" s="126"/>
      <c r="BR19" s="141" t="s">
        <v>466</v>
      </c>
      <c r="BS19" s="125" t="s">
        <v>462</v>
      </c>
      <c r="BT19" s="749" t="s">
        <v>462</v>
      </c>
      <c r="BU19" s="746" t="s">
        <v>466</v>
      </c>
      <c r="BV19" s="74" t="s">
        <v>462</v>
      </c>
      <c r="BW19" s="749" t="s">
        <v>462</v>
      </c>
      <c r="BX19" s="746" t="s">
        <v>466</v>
      </c>
      <c r="BY19" s="74" t="s">
        <v>462</v>
      </c>
      <c r="BZ19" s="753" t="s">
        <v>462</v>
      </c>
      <c r="CA19" s="746" t="s">
        <v>466</v>
      </c>
      <c r="CB19" s="74" t="s">
        <v>462</v>
      </c>
      <c r="CC19" s="1714" t="s">
        <v>462</v>
      </c>
      <c r="CD19" s="746" t="s">
        <v>466</v>
      </c>
      <c r="CE19" s="74" t="s">
        <v>462</v>
      </c>
      <c r="CF19" s="1714" t="s">
        <v>462</v>
      </c>
      <c r="CG19" s="68"/>
      <c r="CH19" s="68"/>
      <c r="CI19" s="68"/>
    </row>
    <row r="20" ht="15.0" customHeight="1" outlineLevel="1">
      <c r="A20" s="60">
        <v>17.0</v>
      </c>
      <c r="B20" s="747" t="str">
        <f t="shared" si="2"/>
        <v>CPQ11-ARCH-NEWJ-SITE-R22.rvt</v>
      </c>
      <c r="C20" s="60">
        <v>17.0</v>
      </c>
      <c r="D20" s="74" t="s">
        <v>2122</v>
      </c>
      <c r="E20" s="1712" t="s">
        <v>2132</v>
      </c>
      <c r="F20" s="71" t="s">
        <v>90</v>
      </c>
      <c r="G20" s="71" t="s">
        <v>482</v>
      </c>
      <c r="H20" s="1713" t="s">
        <v>2124</v>
      </c>
      <c r="I20" s="138" t="s">
        <v>114</v>
      </c>
      <c r="J20" s="754">
        <v>1106.0</v>
      </c>
      <c r="K20" s="147" t="s">
        <v>288</v>
      </c>
      <c r="L20" s="150">
        <v>0.0</v>
      </c>
      <c r="M20" s="746" t="str">
        <f>IFERROR(VLOOKUP(B17:B207,'RELATÓRIO ACC'!B:F,5,FALSE),"N/A")</f>
        <v>N/A</v>
      </c>
      <c r="N20" s="748" t="str">
        <f>IFERROR(VLOOKUP(B17:B207,'RELATÓRIO ACC'!B:P,15,FALSE),"N/A")</f>
        <v>N/A</v>
      </c>
      <c r="O20" s="141" t="s">
        <v>462</v>
      </c>
      <c r="P20" s="749" t="s">
        <v>462</v>
      </c>
      <c r="Q20" s="751"/>
      <c r="R20" s="746" t="s">
        <v>466</v>
      </c>
      <c r="S20" s="74" t="s">
        <v>462</v>
      </c>
      <c r="T20" s="749" t="s">
        <v>462</v>
      </c>
      <c r="U20" s="746" t="s">
        <v>466</v>
      </c>
      <c r="V20" s="74" t="s">
        <v>462</v>
      </c>
      <c r="W20" s="749" t="s">
        <v>462</v>
      </c>
      <c r="X20" s="746" t="s">
        <v>466</v>
      </c>
      <c r="Y20" s="74" t="s">
        <v>462</v>
      </c>
      <c r="Z20" s="749" t="s">
        <v>462</v>
      </c>
      <c r="AA20" s="746" t="s">
        <v>466</v>
      </c>
      <c r="AB20" s="74" t="s">
        <v>462</v>
      </c>
      <c r="AC20" s="753" t="s">
        <v>462</v>
      </c>
      <c r="AD20" s="746" t="s">
        <v>466</v>
      </c>
      <c r="AE20" s="74" t="s">
        <v>462</v>
      </c>
      <c r="AF20" s="753" t="s">
        <v>462</v>
      </c>
      <c r="AG20" s="746" t="s">
        <v>466</v>
      </c>
      <c r="AH20" s="74" t="s">
        <v>462</v>
      </c>
      <c r="AI20" s="753" t="s">
        <v>462</v>
      </c>
      <c r="AJ20" s="746" t="s">
        <v>466</v>
      </c>
      <c r="AK20" s="74" t="s">
        <v>462</v>
      </c>
      <c r="AL20" s="753" t="s">
        <v>462</v>
      </c>
      <c r="AM20" s="746" t="s">
        <v>466</v>
      </c>
      <c r="AN20" s="74" t="s">
        <v>462</v>
      </c>
      <c r="AO20" s="749" t="s">
        <v>462</v>
      </c>
      <c r="AP20" s="746" t="s">
        <v>466</v>
      </c>
      <c r="AQ20" s="74" t="s">
        <v>462</v>
      </c>
      <c r="AR20" s="749" t="s">
        <v>462</v>
      </c>
      <c r="AS20" s="746" t="s">
        <v>466</v>
      </c>
      <c r="AT20" s="74" t="s">
        <v>462</v>
      </c>
      <c r="AU20" s="749" t="s">
        <v>462</v>
      </c>
      <c r="AV20" s="746" t="s">
        <v>466</v>
      </c>
      <c r="AW20" s="74" t="s">
        <v>462</v>
      </c>
      <c r="AX20" s="753" t="s">
        <v>462</v>
      </c>
      <c r="AY20" s="746" t="s">
        <v>466</v>
      </c>
      <c r="AZ20" s="74" t="s">
        <v>462</v>
      </c>
      <c r="BA20" s="749" t="s">
        <v>462</v>
      </c>
      <c r="BB20" s="746" t="s">
        <v>466</v>
      </c>
      <c r="BC20" s="74" t="s">
        <v>462</v>
      </c>
      <c r="BD20" s="749" t="s">
        <v>462</v>
      </c>
      <c r="BE20" s="746" t="s">
        <v>466</v>
      </c>
      <c r="BF20" s="74" t="s">
        <v>462</v>
      </c>
      <c r="BG20" s="749" t="s">
        <v>462</v>
      </c>
      <c r="BH20" s="746" t="s">
        <v>466</v>
      </c>
      <c r="BI20" s="74" t="s">
        <v>462</v>
      </c>
      <c r="BJ20" s="1037" t="s">
        <v>462</v>
      </c>
      <c r="BK20" s="746" t="s">
        <v>466</v>
      </c>
      <c r="BL20" s="74" t="s">
        <v>462</v>
      </c>
      <c r="BM20" s="1037" t="s">
        <v>462</v>
      </c>
      <c r="BN20" s="746" t="s">
        <v>466</v>
      </c>
      <c r="BO20" s="74" t="s">
        <v>462</v>
      </c>
      <c r="BP20" s="1037" t="s">
        <v>462</v>
      </c>
      <c r="BQ20" s="126"/>
      <c r="BR20" s="141" t="s">
        <v>466</v>
      </c>
      <c r="BS20" s="125" t="s">
        <v>462</v>
      </c>
      <c r="BT20" s="749" t="s">
        <v>462</v>
      </c>
      <c r="BU20" s="746" t="s">
        <v>466</v>
      </c>
      <c r="BV20" s="74" t="s">
        <v>462</v>
      </c>
      <c r="BW20" s="749" t="s">
        <v>462</v>
      </c>
      <c r="BX20" s="746" t="s">
        <v>466</v>
      </c>
      <c r="BY20" s="74" t="s">
        <v>462</v>
      </c>
      <c r="BZ20" s="753" t="s">
        <v>462</v>
      </c>
      <c r="CA20" s="746" t="s">
        <v>466</v>
      </c>
      <c r="CB20" s="74" t="s">
        <v>462</v>
      </c>
      <c r="CC20" s="1714" t="s">
        <v>462</v>
      </c>
      <c r="CD20" s="746" t="s">
        <v>466</v>
      </c>
      <c r="CE20" s="74" t="s">
        <v>462</v>
      </c>
      <c r="CF20" s="1714" t="s">
        <v>462</v>
      </c>
      <c r="CG20" s="68"/>
      <c r="CH20" s="68"/>
      <c r="CI20" s="68"/>
    </row>
    <row r="21" ht="15.0" customHeight="1" outlineLevel="1">
      <c r="A21" s="60">
        <v>18.0</v>
      </c>
      <c r="B21" s="747" t="str">
        <f t="shared" si="2"/>
        <v>CPQ11-ARCH-WTRP-DATA-R22.rvt</v>
      </c>
      <c r="C21" s="60">
        <v>18.0</v>
      </c>
      <c r="D21" s="74" t="s">
        <v>2122</v>
      </c>
      <c r="E21" s="1712" t="s">
        <v>2133</v>
      </c>
      <c r="F21" s="71" t="s">
        <v>85</v>
      </c>
      <c r="G21" s="71" t="s">
        <v>482</v>
      </c>
      <c r="H21" s="1713" t="s">
        <v>2124</v>
      </c>
      <c r="I21" s="146" t="s">
        <v>118</v>
      </c>
      <c r="J21" s="754">
        <v>1107.0</v>
      </c>
      <c r="K21" s="147" t="s">
        <v>119</v>
      </c>
      <c r="L21" s="150">
        <v>0.0</v>
      </c>
      <c r="M21" s="746" t="str">
        <f>IFERROR(VLOOKUP(B18:B208,'RELATÓRIO ACC'!B:F,5,FALSE),"N/A")</f>
        <v>N/A</v>
      </c>
      <c r="N21" s="748" t="str">
        <f>IFERROR(VLOOKUP(B18:B208,'RELATÓRIO ACC'!B:P,15,FALSE),"N/A")</f>
        <v>N/A</v>
      </c>
      <c r="O21" s="141" t="s">
        <v>462</v>
      </c>
      <c r="P21" s="749" t="s">
        <v>462</v>
      </c>
      <c r="Q21" s="751"/>
      <c r="R21" s="746" t="s">
        <v>466</v>
      </c>
      <c r="S21" s="74" t="s">
        <v>462</v>
      </c>
      <c r="T21" s="749" t="s">
        <v>462</v>
      </c>
      <c r="U21" s="746" t="s">
        <v>466</v>
      </c>
      <c r="V21" s="74" t="s">
        <v>462</v>
      </c>
      <c r="W21" s="749" t="s">
        <v>462</v>
      </c>
      <c r="X21" s="746" t="s">
        <v>466</v>
      </c>
      <c r="Y21" s="74" t="s">
        <v>462</v>
      </c>
      <c r="Z21" s="749" t="s">
        <v>462</v>
      </c>
      <c r="AA21" s="746" t="s">
        <v>466</v>
      </c>
      <c r="AB21" s="74" t="s">
        <v>462</v>
      </c>
      <c r="AC21" s="753" t="s">
        <v>462</v>
      </c>
      <c r="AD21" s="746" t="s">
        <v>466</v>
      </c>
      <c r="AE21" s="74" t="s">
        <v>462</v>
      </c>
      <c r="AF21" s="753" t="s">
        <v>462</v>
      </c>
      <c r="AG21" s="746" t="s">
        <v>466</v>
      </c>
      <c r="AH21" s="74" t="s">
        <v>462</v>
      </c>
      <c r="AI21" s="753" t="s">
        <v>462</v>
      </c>
      <c r="AJ21" s="746" t="s">
        <v>466</v>
      </c>
      <c r="AK21" s="74" t="s">
        <v>462</v>
      </c>
      <c r="AL21" s="753" t="s">
        <v>462</v>
      </c>
      <c r="AM21" s="746" t="s">
        <v>466</v>
      </c>
      <c r="AN21" s="74" t="s">
        <v>462</v>
      </c>
      <c r="AO21" s="749" t="s">
        <v>462</v>
      </c>
      <c r="AP21" s="746" t="s">
        <v>466</v>
      </c>
      <c r="AQ21" s="74" t="s">
        <v>462</v>
      </c>
      <c r="AR21" s="749" t="s">
        <v>462</v>
      </c>
      <c r="AS21" s="746" t="s">
        <v>466</v>
      </c>
      <c r="AT21" s="74" t="s">
        <v>462</v>
      </c>
      <c r="AU21" s="749" t="s">
        <v>462</v>
      </c>
      <c r="AV21" s="746" t="s">
        <v>466</v>
      </c>
      <c r="AW21" s="74" t="s">
        <v>462</v>
      </c>
      <c r="AX21" s="753" t="s">
        <v>462</v>
      </c>
      <c r="AY21" s="746" t="s">
        <v>466</v>
      </c>
      <c r="AZ21" s="74" t="s">
        <v>462</v>
      </c>
      <c r="BA21" s="749" t="s">
        <v>462</v>
      </c>
      <c r="BB21" s="746" t="s">
        <v>466</v>
      </c>
      <c r="BC21" s="74" t="s">
        <v>462</v>
      </c>
      <c r="BD21" s="749" t="s">
        <v>462</v>
      </c>
      <c r="BE21" s="746" t="s">
        <v>466</v>
      </c>
      <c r="BF21" s="74" t="s">
        <v>462</v>
      </c>
      <c r="BG21" s="749" t="s">
        <v>462</v>
      </c>
      <c r="BH21" s="746" t="s">
        <v>466</v>
      </c>
      <c r="BI21" s="74" t="s">
        <v>462</v>
      </c>
      <c r="BJ21" s="1037" t="s">
        <v>462</v>
      </c>
      <c r="BK21" s="746" t="s">
        <v>466</v>
      </c>
      <c r="BL21" s="74" t="s">
        <v>462</v>
      </c>
      <c r="BM21" s="1037" t="s">
        <v>462</v>
      </c>
      <c r="BN21" s="746" t="s">
        <v>466</v>
      </c>
      <c r="BO21" s="74" t="s">
        <v>462</v>
      </c>
      <c r="BP21" s="1037" t="s">
        <v>462</v>
      </c>
      <c r="BQ21" s="126"/>
      <c r="BR21" s="141" t="s">
        <v>466</v>
      </c>
      <c r="BS21" s="125" t="s">
        <v>462</v>
      </c>
      <c r="BT21" s="749" t="s">
        <v>462</v>
      </c>
      <c r="BU21" s="746" t="s">
        <v>466</v>
      </c>
      <c r="BV21" s="74" t="s">
        <v>462</v>
      </c>
      <c r="BW21" s="749" t="s">
        <v>462</v>
      </c>
      <c r="BX21" s="746" t="s">
        <v>466</v>
      </c>
      <c r="BY21" s="74" t="s">
        <v>462</v>
      </c>
      <c r="BZ21" s="753" t="s">
        <v>462</v>
      </c>
      <c r="CA21" s="746" t="s">
        <v>466</v>
      </c>
      <c r="CB21" s="74" t="s">
        <v>462</v>
      </c>
      <c r="CC21" s="1714" t="s">
        <v>462</v>
      </c>
      <c r="CD21" s="746" t="s">
        <v>466</v>
      </c>
      <c r="CE21" s="74" t="s">
        <v>462</v>
      </c>
      <c r="CF21" s="1714" t="s">
        <v>462</v>
      </c>
      <c r="CG21" s="68"/>
      <c r="CH21" s="68"/>
      <c r="CI21" s="68"/>
    </row>
    <row r="22" ht="15.0" customHeight="1" outlineLevel="1">
      <c r="A22" s="60">
        <v>19.0</v>
      </c>
      <c r="B22" s="747" t="str">
        <f t="shared" si="2"/>
        <v>CPQ11-ARCH-WTRP-SITE-R22.rvt</v>
      </c>
      <c r="C22" s="60">
        <v>19.0</v>
      </c>
      <c r="D22" s="74" t="s">
        <v>2122</v>
      </c>
      <c r="E22" s="1712" t="s">
        <v>2133</v>
      </c>
      <c r="F22" s="71" t="s">
        <v>90</v>
      </c>
      <c r="G22" s="71" t="s">
        <v>482</v>
      </c>
      <c r="H22" s="1713" t="s">
        <v>2124</v>
      </c>
      <c r="I22" s="146" t="s">
        <v>118</v>
      </c>
      <c r="J22" s="754">
        <v>1107.0</v>
      </c>
      <c r="K22" s="147" t="s">
        <v>119</v>
      </c>
      <c r="L22" s="150">
        <v>0.0</v>
      </c>
      <c r="M22" s="746" t="str">
        <f>IFERROR(VLOOKUP(B19:B209,'RELATÓRIO ACC'!B:F,5,FALSE),"N/A")</f>
        <v>N/A</v>
      </c>
      <c r="N22" s="748" t="str">
        <f>IFERROR(VLOOKUP(B19:B209,'RELATÓRIO ACC'!B:P,15,FALSE),"N/A")</f>
        <v>N/A</v>
      </c>
      <c r="O22" s="141" t="s">
        <v>462</v>
      </c>
      <c r="P22" s="749" t="s">
        <v>462</v>
      </c>
      <c r="Q22" s="751"/>
      <c r="R22" s="746" t="s">
        <v>466</v>
      </c>
      <c r="S22" s="74" t="s">
        <v>462</v>
      </c>
      <c r="T22" s="749" t="s">
        <v>462</v>
      </c>
      <c r="U22" s="746" t="s">
        <v>466</v>
      </c>
      <c r="V22" s="74" t="s">
        <v>462</v>
      </c>
      <c r="W22" s="749" t="s">
        <v>462</v>
      </c>
      <c r="X22" s="746" t="s">
        <v>466</v>
      </c>
      <c r="Y22" s="74" t="s">
        <v>462</v>
      </c>
      <c r="Z22" s="749" t="s">
        <v>462</v>
      </c>
      <c r="AA22" s="746" t="s">
        <v>466</v>
      </c>
      <c r="AB22" s="74" t="s">
        <v>462</v>
      </c>
      <c r="AC22" s="753" t="s">
        <v>462</v>
      </c>
      <c r="AD22" s="746" t="s">
        <v>466</v>
      </c>
      <c r="AE22" s="74" t="s">
        <v>462</v>
      </c>
      <c r="AF22" s="753" t="s">
        <v>462</v>
      </c>
      <c r="AG22" s="746" t="s">
        <v>466</v>
      </c>
      <c r="AH22" s="74" t="s">
        <v>462</v>
      </c>
      <c r="AI22" s="753" t="s">
        <v>462</v>
      </c>
      <c r="AJ22" s="746" t="s">
        <v>466</v>
      </c>
      <c r="AK22" s="74" t="s">
        <v>462</v>
      </c>
      <c r="AL22" s="753" t="s">
        <v>462</v>
      </c>
      <c r="AM22" s="746" t="s">
        <v>466</v>
      </c>
      <c r="AN22" s="74" t="s">
        <v>462</v>
      </c>
      <c r="AO22" s="749" t="s">
        <v>462</v>
      </c>
      <c r="AP22" s="746" t="s">
        <v>466</v>
      </c>
      <c r="AQ22" s="74" t="s">
        <v>462</v>
      </c>
      <c r="AR22" s="749" t="s">
        <v>462</v>
      </c>
      <c r="AS22" s="746" t="s">
        <v>466</v>
      </c>
      <c r="AT22" s="74" t="s">
        <v>462</v>
      </c>
      <c r="AU22" s="749" t="s">
        <v>462</v>
      </c>
      <c r="AV22" s="746" t="s">
        <v>466</v>
      </c>
      <c r="AW22" s="74" t="s">
        <v>462</v>
      </c>
      <c r="AX22" s="753" t="s">
        <v>462</v>
      </c>
      <c r="AY22" s="746" t="s">
        <v>466</v>
      </c>
      <c r="AZ22" s="74" t="s">
        <v>462</v>
      </c>
      <c r="BA22" s="749" t="s">
        <v>462</v>
      </c>
      <c r="BB22" s="746" t="s">
        <v>466</v>
      </c>
      <c r="BC22" s="74" t="s">
        <v>462</v>
      </c>
      <c r="BD22" s="749" t="s">
        <v>462</v>
      </c>
      <c r="BE22" s="746" t="s">
        <v>466</v>
      </c>
      <c r="BF22" s="74" t="s">
        <v>462</v>
      </c>
      <c r="BG22" s="749" t="s">
        <v>462</v>
      </c>
      <c r="BH22" s="746" t="s">
        <v>466</v>
      </c>
      <c r="BI22" s="74" t="s">
        <v>462</v>
      </c>
      <c r="BJ22" s="1037" t="s">
        <v>462</v>
      </c>
      <c r="BK22" s="746" t="s">
        <v>466</v>
      </c>
      <c r="BL22" s="74" t="s">
        <v>462</v>
      </c>
      <c r="BM22" s="1037" t="s">
        <v>462</v>
      </c>
      <c r="BN22" s="746" t="s">
        <v>466</v>
      </c>
      <c r="BO22" s="74" t="s">
        <v>462</v>
      </c>
      <c r="BP22" s="1037" t="s">
        <v>462</v>
      </c>
      <c r="BQ22" s="126"/>
      <c r="BR22" s="141" t="s">
        <v>466</v>
      </c>
      <c r="BS22" s="125" t="s">
        <v>462</v>
      </c>
      <c r="BT22" s="749" t="s">
        <v>462</v>
      </c>
      <c r="BU22" s="746" t="s">
        <v>466</v>
      </c>
      <c r="BV22" s="74" t="s">
        <v>462</v>
      </c>
      <c r="BW22" s="749" t="s">
        <v>462</v>
      </c>
      <c r="BX22" s="746" t="s">
        <v>466</v>
      </c>
      <c r="BY22" s="74" t="s">
        <v>462</v>
      </c>
      <c r="BZ22" s="753" t="s">
        <v>462</v>
      </c>
      <c r="CA22" s="746" t="s">
        <v>466</v>
      </c>
      <c r="CB22" s="74" t="s">
        <v>462</v>
      </c>
      <c r="CC22" s="1714" t="s">
        <v>462</v>
      </c>
      <c r="CD22" s="746" t="s">
        <v>466</v>
      </c>
      <c r="CE22" s="74" t="s">
        <v>462</v>
      </c>
      <c r="CF22" s="1714" t="s">
        <v>462</v>
      </c>
      <c r="CG22" s="68"/>
      <c r="CH22" s="68"/>
      <c r="CI22" s="68"/>
    </row>
    <row r="23" ht="15.0" customHeight="1" outlineLevel="1">
      <c r="A23" s="60">
        <v>20.0</v>
      </c>
      <c r="B23" s="747" t="str">
        <f t="shared" si="2"/>
        <v>CPQ11-ARCH-OHCD-DATA-R22.rvt</v>
      </c>
      <c r="C23" s="60">
        <v>20.0</v>
      </c>
      <c r="D23" s="74" t="s">
        <v>2122</v>
      </c>
      <c r="E23" s="1712" t="s">
        <v>2134</v>
      </c>
      <c r="F23" s="71" t="s">
        <v>85</v>
      </c>
      <c r="G23" s="71" t="s">
        <v>482</v>
      </c>
      <c r="H23" s="1713" t="s">
        <v>2124</v>
      </c>
      <c r="I23" s="146" t="s">
        <v>124</v>
      </c>
      <c r="J23" s="72">
        <v>1108.0</v>
      </c>
      <c r="K23" s="139" t="s">
        <v>124</v>
      </c>
      <c r="L23" s="139">
        <v>1108.0</v>
      </c>
      <c r="M23" s="746" t="str">
        <f>IFERROR(VLOOKUP(B20:B210,'RELATÓRIO ACC'!B:F,5,FALSE),"N/A")</f>
        <v>N/A</v>
      </c>
      <c r="N23" s="748" t="str">
        <f>IFERROR(VLOOKUP(B20:B210,'RELATÓRIO ACC'!B:P,15,FALSE),"N/A")</f>
        <v>N/A</v>
      </c>
      <c r="O23" s="141" t="s">
        <v>462</v>
      </c>
      <c r="P23" s="749" t="s">
        <v>462</v>
      </c>
      <c r="Q23" s="751"/>
      <c r="R23" s="746" t="s">
        <v>466</v>
      </c>
      <c r="S23" s="74" t="s">
        <v>462</v>
      </c>
      <c r="T23" s="749" t="s">
        <v>462</v>
      </c>
      <c r="U23" s="746" t="s">
        <v>466</v>
      </c>
      <c r="V23" s="74" t="s">
        <v>462</v>
      </c>
      <c r="W23" s="749" t="s">
        <v>462</v>
      </c>
      <c r="X23" s="746" t="s">
        <v>466</v>
      </c>
      <c r="Y23" s="74" t="s">
        <v>462</v>
      </c>
      <c r="Z23" s="749" t="s">
        <v>462</v>
      </c>
      <c r="AA23" s="746" t="s">
        <v>466</v>
      </c>
      <c r="AB23" s="74" t="s">
        <v>462</v>
      </c>
      <c r="AC23" s="753" t="s">
        <v>462</v>
      </c>
      <c r="AD23" s="746" t="s">
        <v>466</v>
      </c>
      <c r="AE23" s="74" t="s">
        <v>462</v>
      </c>
      <c r="AF23" s="753" t="s">
        <v>462</v>
      </c>
      <c r="AG23" s="746" t="s">
        <v>466</v>
      </c>
      <c r="AH23" s="74" t="s">
        <v>462</v>
      </c>
      <c r="AI23" s="753" t="s">
        <v>462</v>
      </c>
      <c r="AJ23" s="746" t="s">
        <v>466</v>
      </c>
      <c r="AK23" s="74" t="s">
        <v>462</v>
      </c>
      <c r="AL23" s="753" t="s">
        <v>462</v>
      </c>
      <c r="AM23" s="746" t="s">
        <v>466</v>
      </c>
      <c r="AN23" s="74" t="s">
        <v>462</v>
      </c>
      <c r="AO23" s="749" t="s">
        <v>462</v>
      </c>
      <c r="AP23" s="746" t="s">
        <v>466</v>
      </c>
      <c r="AQ23" s="74" t="s">
        <v>462</v>
      </c>
      <c r="AR23" s="749" t="s">
        <v>462</v>
      </c>
      <c r="AS23" s="746" t="s">
        <v>466</v>
      </c>
      <c r="AT23" s="74" t="s">
        <v>462</v>
      </c>
      <c r="AU23" s="749" t="s">
        <v>462</v>
      </c>
      <c r="AV23" s="746" t="s">
        <v>466</v>
      </c>
      <c r="AW23" s="74" t="s">
        <v>462</v>
      </c>
      <c r="AX23" s="753" t="s">
        <v>462</v>
      </c>
      <c r="AY23" s="746" t="s">
        <v>466</v>
      </c>
      <c r="AZ23" s="74" t="s">
        <v>462</v>
      </c>
      <c r="BA23" s="749" t="s">
        <v>462</v>
      </c>
      <c r="BB23" s="746" t="s">
        <v>466</v>
      </c>
      <c r="BC23" s="74" t="s">
        <v>462</v>
      </c>
      <c r="BD23" s="749" t="s">
        <v>462</v>
      </c>
      <c r="BE23" s="746" t="s">
        <v>466</v>
      </c>
      <c r="BF23" s="74" t="s">
        <v>462</v>
      </c>
      <c r="BG23" s="749" t="s">
        <v>462</v>
      </c>
      <c r="BH23" s="746" t="s">
        <v>466</v>
      </c>
      <c r="BI23" s="74" t="s">
        <v>462</v>
      </c>
      <c r="BJ23" s="1037" t="s">
        <v>462</v>
      </c>
      <c r="BK23" s="746" t="s">
        <v>466</v>
      </c>
      <c r="BL23" s="74" t="s">
        <v>462</v>
      </c>
      <c r="BM23" s="1037" t="s">
        <v>462</v>
      </c>
      <c r="BN23" s="746" t="s">
        <v>466</v>
      </c>
      <c r="BO23" s="74" t="s">
        <v>462</v>
      </c>
      <c r="BP23" s="1037" t="s">
        <v>462</v>
      </c>
      <c r="BQ23" s="126"/>
      <c r="BR23" s="141" t="s">
        <v>466</v>
      </c>
      <c r="BS23" s="125" t="s">
        <v>462</v>
      </c>
      <c r="BT23" s="749" t="s">
        <v>462</v>
      </c>
      <c r="BU23" s="746" t="s">
        <v>466</v>
      </c>
      <c r="BV23" s="74" t="s">
        <v>462</v>
      </c>
      <c r="BW23" s="749" t="s">
        <v>462</v>
      </c>
      <c r="BX23" s="746" t="s">
        <v>466</v>
      </c>
      <c r="BY23" s="74" t="s">
        <v>462</v>
      </c>
      <c r="BZ23" s="753" t="s">
        <v>462</v>
      </c>
      <c r="CA23" s="746" t="s">
        <v>466</v>
      </c>
      <c r="CB23" s="74" t="s">
        <v>462</v>
      </c>
      <c r="CC23" s="1714" t="s">
        <v>462</v>
      </c>
      <c r="CD23" s="746" t="s">
        <v>466</v>
      </c>
      <c r="CE23" s="74" t="s">
        <v>462</v>
      </c>
      <c r="CF23" s="1714" t="s">
        <v>462</v>
      </c>
      <c r="CG23" s="68"/>
      <c r="CH23" s="68"/>
      <c r="CI23" s="68"/>
    </row>
    <row r="24" ht="15.0" customHeight="1" outlineLevel="1">
      <c r="A24" s="60">
        <v>13.0</v>
      </c>
      <c r="B24" s="747" t="str">
        <f t="shared" si="2"/>
        <v>CPQ11-ARCH-HM90-DATA-R22.rvt</v>
      </c>
      <c r="C24" s="60">
        <v>13.0</v>
      </c>
      <c r="D24" s="74" t="s">
        <v>2122</v>
      </c>
      <c r="E24" s="1712" t="s">
        <v>2135</v>
      </c>
      <c r="F24" s="71" t="s">
        <v>85</v>
      </c>
      <c r="G24" s="71" t="s">
        <v>482</v>
      </c>
      <c r="H24" s="1713" t="s">
        <v>2124</v>
      </c>
      <c r="I24" s="146" t="s">
        <v>107</v>
      </c>
      <c r="J24" s="72">
        <v>1105.0</v>
      </c>
      <c r="K24" s="147" t="s">
        <v>101</v>
      </c>
      <c r="L24" s="139">
        <v>1105.0</v>
      </c>
      <c r="M24" s="746" t="str">
        <f>IFERROR(VLOOKUP(B21:B211,'RELATÓRIO ACC'!B:F,5,FALSE),"N/A")</f>
        <v>N/A</v>
      </c>
      <c r="N24" s="748" t="str">
        <f>IFERROR(VLOOKUP(B21:B211,'RELATÓRIO ACC'!B:P,15,FALSE),"N/A")</f>
        <v>N/A</v>
      </c>
      <c r="O24" s="141" t="s">
        <v>480</v>
      </c>
      <c r="P24" s="782">
        <v>45840.0</v>
      </c>
      <c r="Q24" s="852" t="s">
        <v>102</v>
      </c>
      <c r="R24" s="746" t="s">
        <v>466</v>
      </c>
      <c r="S24" s="74" t="s">
        <v>462</v>
      </c>
      <c r="T24" s="749" t="s">
        <v>462</v>
      </c>
      <c r="U24" s="746" t="s">
        <v>466</v>
      </c>
      <c r="V24" s="74" t="s">
        <v>462</v>
      </c>
      <c r="W24" s="749" t="s">
        <v>462</v>
      </c>
      <c r="X24" s="746" t="s">
        <v>484</v>
      </c>
      <c r="Y24" s="766" t="s">
        <v>476</v>
      </c>
      <c r="Z24" s="773">
        <v>1.0</v>
      </c>
      <c r="AA24" s="746" t="s">
        <v>484</v>
      </c>
      <c r="AB24" s="766" t="s">
        <v>476</v>
      </c>
      <c r="AC24" s="762">
        <v>1.0</v>
      </c>
      <c r="AD24" s="746" t="s">
        <v>484</v>
      </c>
      <c r="AE24" s="766" t="s">
        <v>476</v>
      </c>
      <c r="AF24" s="762">
        <v>1.0</v>
      </c>
      <c r="AG24" s="746" t="s">
        <v>485</v>
      </c>
      <c r="AH24" s="766" t="s">
        <v>476</v>
      </c>
      <c r="AI24" s="762">
        <v>1.0</v>
      </c>
      <c r="AJ24" s="746" t="s">
        <v>485</v>
      </c>
      <c r="AK24" s="766" t="s">
        <v>476</v>
      </c>
      <c r="AL24" s="762">
        <v>1.0</v>
      </c>
      <c r="AM24" s="746" t="s">
        <v>466</v>
      </c>
      <c r="AN24" s="74" t="s">
        <v>462</v>
      </c>
      <c r="AO24" s="749" t="s">
        <v>462</v>
      </c>
      <c r="AP24" s="746" t="s">
        <v>466</v>
      </c>
      <c r="AQ24" s="74" t="s">
        <v>462</v>
      </c>
      <c r="AR24" s="749" t="s">
        <v>462</v>
      </c>
      <c r="AS24" s="746" t="s">
        <v>484</v>
      </c>
      <c r="AT24" s="766" t="s">
        <v>476</v>
      </c>
      <c r="AU24" s="773">
        <v>1.0</v>
      </c>
      <c r="AV24" s="746" t="s">
        <v>484</v>
      </c>
      <c r="AW24" s="766" t="s">
        <v>476</v>
      </c>
      <c r="AX24" s="762">
        <v>1.0</v>
      </c>
      <c r="AY24" s="746" t="s">
        <v>484</v>
      </c>
      <c r="AZ24" s="766" t="s">
        <v>476</v>
      </c>
      <c r="BA24" s="773">
        <v>1.0</v>
      </c>
      <c r="BB24" s="746" t="s">
        <v>485</v>
      </c>
      <c r="BC24" s="766" t="s">
        <v>476</v>
      </c>
      <c r="BD24" s="773">
        <v>1.0</v>
      </c>
      <c r="BE24" s="746" t="s">
        <v>485</v>
      </c>
      <c r="BF24" s="766" t="s">
        <v>476</v>
      </c>
      <c r="BG24" s="773">
        <v>1.0</v>
      </c>
      <c r="BH24" s="746" t="s">
        <v>477</v>
      </c>
      <c r="BI24" s="759" t="s">
        <v>476</v>
      </c>
      <c r="BJ24" s="1057">
        <v>0.79</v>
      </c>
      <c r="BK24" s="755" t="s">
        <v>478</v>
      </c>
      <c r="BL24" s="74">
        <v>0.0</v>
      </c>
      <c r="BM24" s="1037">
        <v>0.0</v>
      </c>
      <c r="BN24" s="755" t="s">
        <v>478</v>
      </c>
      <c r="BO24" s="74">
        <v>0.0</v>
      </c>
      <c r="BP24" s="1037">
        <v>0.0</v>
      </c>
      <c r="BQ24" s="126" t="s">
        <v>708</v>
      </c>
      <c r="BR24" s="141" t="s">
        <v>462</v>
      </c>
      <c r="BS24" s="125" t="s">
        <v>462</v>
      </c>
      <c r="BT24" s="749" t="s">
        <v>462</v>
      </c>
      <c r="BU24" s="746" t="s">
        <v>462</v>
      </c>
      <c r="BV24" s="74" t="s">
        <v>462</v>
      </c>
      <c r="BW24" s="749" t="s">
        <v>462</v>
      </c>
      <c r="BX24" s="1725" t="s">
        <v>462</v>
      </c>
      <c r="BY24" s="125" t="s">
        <v>462</v>
      </c>
      <c r="BZ24" s="1726" t="s">
        <v>462</v>
      </c>
      <c r="CA24" s="1723" t="s">
        <v>462</v>
      </c>
      <c r="CB24" s="125" t="s">
        <v>462</v>
      </c>
      <c r="CC24" s="1727" t="s">
        <v>462</v>
      </c>
      <c r="CD24" s="1723" t="s">
        <v>462</v>
      </c>
      <c r="CE24" s="125" t="s">
        <v>462</v>
      </c>
      <c r="CF24" s="1727" t="s">
        <v>462</v>
      </c>
      <c r="CG24" s="111"/>
      <c r="CH24" s="111"/>
      <c r="CI24" s="111"/>
    </row>
    <row r="25" ht="15.0" customHeight="1" outlineLevel="1">
      <c r="A25" s="60">
        <v>11.0</v>
      </c>
      <c r="B25" s="747" t="str">
        <f t="shared" si="2"/>
        <v>CPQ11-ARCH-HMET-DATA-R22.rvt</v>
      </c>
      <c r="C25" s="60">
        <v>11.0</v>
      </c>
      <c r="D25" s="74" t="s">
        <v>2122</v>
      </c>
      <c r="E25" s="1712" t="s">
        <v>2136</v>
      </c>
      <c r="F25" s="71" t="s">
        <v>85</v>
      </c>
      <c r="G25" s="71" t="s">
        <v>482</v>
      </c>
      <c r="H25" s="1713" t="s">
        <v>2124</v>
      </c>
      <c r="I25" s="138" t="s">
        <v>100</v>
      </c>
      <c r="J25" s="72">
        <v>1104.0</v>
      </c>
      <c r="K25" s="139" t="s">
        <v>101</v>
      </c>
      <c r="L25" s="139">
        <v>1127.0</v>
      </c>
      <c r="M25" s="746" t="str">
        <f>IFERROR(VLOOKUP(B22:B212,'RELATÓRIO ACC'!B:F,5,FALSE),"N/A")</f>
        <v>N/A</v>
      </c>
      <c r="N25" s="748" t="str">
        <f>IFERROR(VLOOKUP(B22:B212,'RELATÓRIO ACC'!B:P,15,FALSE),"N/A")</f>
        <v>N/A</v>
      </c>
      <c r="O25" s="141" t="s">
        <v>486</v>
      </c>
      <c r="P25" s="756" t="s">
        <v>487</v>
      </c>
      <c r="Q25" s="751" t="s">
        <v>102</v>
      </c>
      <c r="R25" s="746" t="s">
        <v>466</v>
      </c>
      <c r="S25" s="74" t="s">
        <v>462</v>
      </c>
      <c r="T25" s="749" t="s">
        <v>462</v>
      </c>
      <c r="U25" s="746" t="s">
        <v>466</v>
      </c>
      <c r="V25" s="74" t="s">
        <v>462</v>
      </c>
      <c r="W25" s="749" t="s">
        <v>462</v>
      </c>
      <c r="X25" s="746" t="s">
        <v>484</v>
      </c>
      <c r="Y25" s="766" t="s">
        <v>476</v>
      </c>
      <c r="Z25" s="773">
        <v>1.0</v>
      </c>
      <c r="AA25" s="746" t="s">
        <v>484</v>
      </c>
      <c r="AB25" s="766" t="s">
        <v>476</v>
      </c>
      <c r="AC25" s="773">
        <v>1.0</v>
      </c>
      <c r="AD25" s="746" t="s">
        <v>484</v>
      </c>
      <c r="AE25" s="766" t="s">
        <v>476</v>
      </c>
      <c r="AF25" s="762">
        <v>1.0</v>
      </c>
      <c r="AG25" s="746" t="s">
        <v>485</v>
      </c>
      <c r="AH25" s="766" t="s">
        <v>476</v>
      </c>
      <c r="AI25" s="762">
        <v>1.0</v>
      </c>
      <c r="AJ25" s="746" t="s">
        <v>485</v>
      </c>
      <c r="AK25" s="766" t="s">
        <v>476</v>
      </c>
      <c r="AL25" s="762">
        <v>1.0</v>
      </c>
      <c r="AM25" s="746" t="s">
        <v>466</v>
      </c>
      <c r="AN25" s="74" t="s">
        <v>462</v>
      </c>
      <c r="AO25" s="749" t="s">
        <v>462</v>
      </c>
      <c r="AP25" s="746" t="s">
        <v>466</v>
      </c>
      <c r="AQ25" s="74" t="s">
        <v>462</v>
      </c>
      <c r="AR25" s="749" t="s">
        <v>462</v>
      </c>
      <c r="AS25" s="746" t="s">
        <v>484</v>
      </c>
      <c r="AT25" s="766" t="s">
        <v>476</v>
      </c>
      <c r="AU25" s="773">
        <v>1.0</v>
      </c>
      <c r="AV25" s="746" t="s">
        <v>484</v>
      </c>
      <c r="AW25" s="766" t="s">
        <v>476</v>
      </c>
      <c r="AX25" s="773">
        <v>1.0</v>
      </c>
      <c r="AY25" s="746" t="s">
        <v>484</v>
      </c>
      <c r="AZ25" s="766" t="s">
        <v>476</v>
      </c>
      <c r="BA25" s="773">
        <v>1.0</v>
      </c>
      <c r="BB25" s="746" t="s">
        <v>485</v>
      </c>
      <c r="BC25" s="766" t="s">
        <v>476</v>
      </c>
      <c r="BD25" s="773">
        <v>1.0</v>
      </c>
      <c r="BE25" s="746" t="s">
        <v>485</v>
      </c>
      <c r="BF25" s="766" t="s">
        <v>476</v>
      </c>
      <c r="BG25" s="773">
        <v>1.0</v>
      </c>
      <c r="BH25" s="746" t="s">
        <v>484</v>
      </c>
      <c r="BI25" s="766" t="s">
        <v>476</v>
      </c>
      <c r="BJ25" s="1057">
        <v>1.0</v>
      </c>
      <c r="BK25" s="746" t="s">
        <v>485</v>
      </c>
      <c r="BL25" s="766" t="s">
        <v>476</v>
      </c>
      <c r="BM25" s="1057">
        <v>1.0</v>
      </c>
      <c r="BN25" s="746" t="s">
        <v>485</v>
      </c>
      <c r="BO25" s="766" t="s">
        <v>476</v>
      </c>
      <c r="BP25" s="1057">
        <v>1.0</v>
      </c>
      <c r="BQ25" s="126" t="s">
        <v>194</v>
      </c>
      <c r="BR25" s="141" t="s">
        <v>462</v>
      </c>
      <c r="BS25" s="125" t="s">
        <v>462</v>
      </c>
      <c r="BT25" s="749" t="s">
        <v>462</v>
      </c>
      <c r="BU25" s="746" t="s">
        <v>462</v>
      </c>
      <c r="BV25" s="74" t="s">
        <v>462</v>
      </c>
      <c r="BW25" s="749" t="s">
        <v>462</v>
      </c>
      <c r="BX25" s="1725" t="s">
        <v>462</v>
      </c>
      <c r="BY25" s="125" t="s">
        <v>462</v>
      </c>
      <c r="BZ25" s="1726" t="s">
        <v>462</v>
      </c>
      <c r="CA25" s="1723" t="s">
        <v>462</v>
      </c>
      <c r="CB25" s="125" t="s">
        <v>462</v>
      </c>
      <c r="CC25" s="1727" t="s">
        <v>462</v>
      </c>
      <c r="CD25" s="1723" t="s">
        <v>462</v>
      </c>
      <c r="CE25" s="125" t="s">
        <v>462</v>
      </c>
      <c r="CF25" s="1727" t="s">
        <v>462</v>
      </c>
      <c r="CG25" s="111"/>
      <c r="CH25" s="111"/>
      <c r="CI25" s="111"/>
    </row>
    <row r="26" ht="15.0" customHeight="1" outlineLevel="1">
      <c r="A26" s="60">
        <v>12.0</v>
      </c>
      <c r="B26" s="747" t="str">
        <f t="shared" si="2"/>
        <v>CPQ11-ARCH-HMET-SITE-R22.rvt</v>
      </c>
      <c r="C26" s="60">
        <v>12.0</v>
      </c>
      <c r="D26" s="74" t="s">
        <v>2122</v>
      </c>
      <c r="E26" s="1712" t="s">
        <v>2136</v>
      </c>
      <c r="F26" s="71" t="s">
        <v>90</v>
      </c>
      <c r="G26" s="71" t="s">
        <v>482</v>
      </c>
      <c r="H26" s="1713" t="s">
        <v>2124</v>
      </c>
      <c r="I26" s="138" t="s">
        <v>100</v>
      </c>
      <c r="J26" s="72">
        <v>1104.0</v>
      </c>
      <c r="K26" s="139" t="s">
        <v>101</v>
      </c>
      <c r="L26" s="139">
        <v>1127.0</v>
      </c>
      <c r="M26" s="746" t="str">
        <f>IFERROR(VLOOKUP(B23:B213,'RELATÓRIO ACC'!B:F,5,FALSE),"N/A")</f>
        <v>N/A</v>
      </c>
      <c r="N26" s="748" t="str">
        <f>IFERROR(VLOOKUP(B23:B213,'RELATÓRIO ACC'!B:P,15,FALSE),"N/A")</f>
        <v>N/A</v>
      </c>
      <c r="O26" s="141" t="s">
        <v>480</v>
      </c>
      <c r="P26" s="1038">
        <v>45898.0</v>
      </c>
      <c r="Q26" s="751"/>
      <c r="R26" s="746" t="s">
        <v>466</v>
      </c>
      <c r="S26" s="74" t="s">
        <v>462</v>
      </c>
      <c r="T26" s="749" t="s">
        <v>462</v>
      </c>
      <c r="U26" s="746" t="s">
        <v>466</v>
      </c>
      <c r="V26" s="74" t="s">
        <v>462</v>
      </c>
      <c r="W26" s="749" t="s">
        <v>462</v>
      </c>
      <c r="X26" s="746" t="s">
        <v>466</v>
      </c>
      <c r="Y26" s="74" t="s">
        <v>462</v>
      </c>
      <c r="Z26" s="749" t="s">
        <v>462</v>
      </c>
      <c r="AA26" s="746" t="s">
        <v>466</v>
      </c>
      <c r="AB26" s="74" t="s">
        <v>462</v>
      </c>
      <c r="AC26" s="750" t="s">
        <v>462</v>
      </c>
      <c r="AD26" s="746" t="s">
        <v>466</v>
      </c>
      <c r="AE26" s="74" t="s">
        <v>462</v>
      </c>
      <c r="AF26" s="750" t="s">
        <v>462</v>
      </c>
      <c r="AG26" s="746" t="s">
        <v>466</v>
      </c>
      <c r="AH26" s="74" t="s">
        <v>462</v>
      </c>
      <c r="AI26" s="750" t="s">
        <v>462</v>
      </c>
      <c r="AJ26" s="746" t="s">
        <v>466</v>
      </c>
      <c r="AK26" s="74" t="s">
        <v>462</v>
      </c>
      <c r="AL26" s="750" t="s">
        <v>462</v>
      </c>
      <c r="AM26" s="746" t="s">
        <v>466</v>
      </c>
      <c r="AN26" s="74" t="s">
        <v>462</v>
      </c>
      <c r="AO26" s="749" t="s">
        <v>462</v>
      </c>
      <c r="AP26" s="746" t="s">
        <v>466</v>
      </c>
      <c r="AQ26" s="74" t="s">
        <v>462</v>
      </c>
      <c r="AR26" s="749" t="s">
        <v>462</v>
      </c>
      <c r="AS26" s="746" t="s">
        <v>466</v>
      </c>
      <c r="AT26" s="74" t="s">
        <v>462</v>
      </c>
      <c r="AU26" s="749" t="s">
        <v>462</v>
      </c>
      <c r="AV26" s="746" t="s">
        <v>462</v>
      </c>
      <c r="AW26" s="74" t="s">
        <v>462</v>
      </c>
      <c r="AX26" s="750" t="s">
        <v>462</v>
      </c>
      <c r="AY26" s="746" t="s">
        <v>462</v>
      </c>
      <c r="AZ26" s="74" t="s">
        <v>462</v>
      </c>
      <c r="BA26" s="1041" t="s">
        <v>462</v>
      </c>
      <c r="BB26" s="746" t="s">
        <v>462</v>
      </c>
      <c r="BC26" s="74" t="s">
        <v>462</v>
      </c>
      <c r="BD26" s="1041" t="s">
        <v>462</v>
      </c>
      <c r="BE26" s="746" t="s">
        <v>462</v>
      </c>
      <c r="BF26" s="74" t="s">
        <v>462</v>
      </c>
      <c r="BG26" s="1041" t="s">
        <v>462</v>
      </c>
      <c r="BH26" s="746" t="s">
        <v>462</v>
      </c>
      <c r="BI26" s="74" t="s">
        <v>462</v>
      </c>
      <c r="BJ26" s="1037" t="s">
        <v>462</v>
      </c>
      <c r="BK26" s="746" t="s">
        <v>462</v>
      </c>
      <c r="BL26" s="74" t="s">
        <v>462</v>
      </c>
      <c r="BM26" s="1037" t="s">
        <v>462</v>
      </c>
      <c r="BN26" s="746" t="s">
        <v>462</v>
      </c>
      <c r="BO26" s="74" t="s">
        <v>462</v>
      </c>
      <c r="BP26" s="1037" t="s">
        <v>462</v>
      </c>
      <c r="BQ26" s="126"/>
      <c r="BR26" s="141" t="s">
        <v>477</v>
      </c>
      <c r="BS26" s="759" t="s">
        <v>476</v>
      </c>
      <c r="BT26" s="773">
        <v>0.84</v>
      </c>
      <c r="BU26" s="746" t="s">
        <v>484</v>
      </c>
      <c r="BV26" s="766" t="s">
        <v>476</v>
      </c>
      <c r="BW26" s="773">
        <v>1.0</v>
      </c>
      <c r="BX26" s="1729" t="s">
        <v>484</v>
      </c>
      <c r="BY26" s="766" t="s">
        <v>476</v>
      </c>
      <c r="BZ26" s="762">
        <v>1.0</v>
      </c>
      <c r="CA26" s="141" t="s">
        <v>485</v>
      </c>
      <c r="CB26" s="766" t="s">
        <v>476</v>
      </c>
      <c r="CC26" s="1387">
        <v>1.0</v>
      </c>
      <c r="CD26" s="141" t="s">
        <v>485</v>
      </c>
      <c r="CE26" s="766" t="s">
        <v>476</v>
      </c>
      <c r="CF26" s="1387">
        <v>1.0</v>
      </c>
      <c r="CG26" s="135"/>
      <c r="CH26" s="135"/>
      <c r="CI26" s="135"/>
    </row>
    <row r="27" ht="15.0" customHeight="1" outlineLevel="1">
      <c r="A27" s="60">
        <v>9.0</v>
      </c>
      <c r="B27" s="747" t="str">
        <f t="shared" si="2"/>
        <v>CPQ11-ARCH-METL-SITE-R22.rvt</v>
      </c>
      <c r="C27" s="60">
        <v>9.0</v>
      </c>
      <c r="D27" s="74" t="s">
        <v>2122</v>
      </c>
      <c r="E27" s="74" t="s">
        <v>2137</v>
      </c>
      <c r="F27" s="71" t="s">
        <v>90</v>
      </c>
      <c r="G27" s="71" t="s">
        <v>482</v>
      </c>
      <c r="H27" s="1713" t="s">
        <v>2124</v>
      </c>
      <c r="I27" s="146" t="s">
        <v>94</v>
      </c>
      <c r="J27" s="72"/>
      <c r="K27" s="147" t="s">
        <v>86</v>
      </c>
      <c r="L27" s="139"/>
      <c r="M27" s="746" t="str">
        <f>IFERROR(VLOOKUP(B24:B214,'RELATÓRIO ACC'!B:F,5,FALSE),"N/A")</f>
        <v>N/A</v>
      </c>
      <c r="N27" s="748" t="str">
        <f>IFERROR(VLOOKUP(B24:B214,'RELATÓRIO ACC'!B:P,15,FALSE),"N/A")</f>
        <v>N/A</v>
      </c>
      <c r="O27" s="141" t="s">
        <v>470</v>
      </c>
      <c r="P27" s="756" t="s">
        <v>2138</v>
      </c>
      <c r="Q27" s="852"/>
      <c r="R27" s="746" t="s">
        <v>466</v>
      </c>
      <c r="S27" s="74" t="s">
        <v>462</v>
      </c>
      <c r="T27" s="749" t="s">
        <v>462</v>
      </c>
      <c r="U27" s="746" t="s">
        <v>466</v>
      </c>
      <c r="V27" s="74" t="s">
        <v>462</v>
      </c>
      <c r="W27" s="749" t="s">
        <v>462</v>
      </c>
      <c r="X27" s="746" t="s">
        <v>466</v>
      </c>
      <c r="Y27" s="74" t="s">
        <v>462</v>
      </c>
      <c r="Z27" s="749" t="s">
        <v>462</v>
      </c>
      <c r="AA27" s="746" t="s">
        <v>466</v>
      </c>
      <c r="AB27" s="74" t="s">
        <v>462</v>
      </c>
      <c r="AC27" s="753" t="s">
        <v>462</v>
      </c>
      <c r="AD27" s="746" t="s">
        <v>466</v>
      </c>
      <c r="AE27" s="74" t="s">
        <v>462</v>
      </c>
      <c r="AF27" s="753" t="s">
        <v>462</v>
      </c>
      <c r="AG27" s="746" t="s">
        <v>466</v>
      </c>
      <c r="AH27" s="74" t="s">
        <v>462</v>
      </c>
      <c r="AI27" s="753" t="s">
        <v>462</v>
      </c>
      <c r="AJ27" s="746" t="s">
        <v>466</v>
      </c>
      <c r="AK27" s="74" t="s">
        <v>462</v>
      </c>
      <c r="AL27" s="753" t="s">
        <v>462</v>
      </c>
      <c r="AM27" s="746" t="s">
        <v>466</v>
      </c>
      <c r="AN27" s="74" t="s">
        <v>462</v>
      </c>
      <c r="AO27" s="749" t="s">
        <v>462</v>
      </c>
      <c r="AP27" s="746" t="s">
        <v>466</v>
      </c>
      <c r="AQ27" s="74" t="s">
        <v>462</v>
      </c>
      <c r="AR27" s="749" t="s">
        <v>462</v>
      </c>
      <c r="AS27" s="746" t="s">
        <v>466</v>
      </c>
      <c r="AT27" s="74" t="s">
        <v>462</v>
      </c>
      <c r="AU27" s="749" t="s">
        <v>462</v>
      </c>
      <c r="AV27" s="746" t="s">
        <v>466</v>
      </c>
      <c r="AW27" s="74" t="s">
        <v>462</v>
      </c>
      <c r="AX27" s="753" t="s">
        <v>462</v>
      </c>
      <c r="AY27" s="746" t="s">
        <v>466</v>
      </c>
      <c r="AZ27" s="74" t="s">
        <v>462</v>
      </c>
      <c r="BA27" s="749" t="s">
        <v>462</v>
      </c>
      <c r="BB27" s="746" t="s">
        <v>466</v>
      </c>
      <c r="BC27" s="74" t="s">
        <v>462</v>
      </c>
      <c r="BD27" s="749" t="s">
        <v>462</v>
      </c>
      <c r="BE27" s="746" t="s">
        <v>466</v>
      </c>
      <c r="BF27" s="74" t="s">
        <v>462</v>
      </c>
      <c r="BG27" s="749" t="s">
        <v>462</v>
      </c>
      <c r="BH27" s="746" t="s">
        <v>466</v>
      </c>
      <c r="BI27" s="74" t="s">
        <v>462</v>
      </c>
      <c r="BJ27" s="1037" t="s">
        <v>462</v>
      </c>
      <c r="BK27" s="746" t="s">
        <v>466</v>
      </c>
      <c r="BL27" s="74" t="s">
        <v>462</v>
      </c>
      <c r="BM27" s="1037" t="s">
        <v>462</v>
      </c>
      <c r="BN27" s="746" t="s">
        <v>466</v>
      </c>
      <c r="BO27" s="74" t="s">
        <v>462</v>
      </c>
      <c r="BP27" s="1037" t="s">
        <v>462</v>
      </c>
      <c r="BQ27" s="126"/>
      <c r="BR27" s="141" t="s">
        <v>466</v>
      </c>
      <c r="BS27" s="74" t="s">
        <v>462</v>
      </c>
      <c r="BT27" s="749" t="s">
        <v>462</v>
      </c>
      <c r="BU27" s="746" t="s">
        <v>466</v>
      </c>
      <c r="BV27" s="74" t="s">
        <v>462</v>
      </c>
      <c r="BW27" s="749" t="s">
        <v>462</v>
      </c>
      <c r="BX27" s="1729" t="s">
        <v>466</v>
      </c>
      <c r="BY27" s="74" t="s">
        <v>462</v>
      </c>
      <c r="BZ27" s="753" t="s">
        <v>462</v>
      </c>
      <c r="CA27" s="141" t="s">
        <v>466</v>
      </c>
      <c r="CB27" s="74" t="s">
        <v>462</v>
      </c>
      <c r="CC27" s="1714" t="s">
        <v>462</v>
      </c>
      <c r="CD27" s="141" t="s">
        <v>477</v>
      </c>
      <c r="CE27" s="792" t="s">
        <v>476</v>
      </c>
      <c r="CF27" s="1387">
        <v>0.51</v>
      </c>
      <c r="CG27" s="68"/>
      <c r="CH27" s="68"/>
      <c r="CI27" s="68"/>
    </row>
    <row r="28" ht="15.0" customHeight="1" outlineLevel="1">
      <c r="A28" s="60">
        <v>26.0</v>
      </c>
      <c r="B28" s="747" t="str">
        <f t="shared" si="2"/>
        <v>CPQ11-ARCH-PART-C12A-R22.rvt</v>
      </c>
      <c r="C28" s="60">
        <v>26.0</v>
      </c>
      <c r="D28" s="74" t="s">
        <v>2122</v>
      </c>
      <c r="E28" s="1712" t="s">
        <v>2139</v>
      </c>
      <c r="F28" s="71" t="s">
        <v>145</v>
      </c>
      <c r="G28" s="74" t="s">
        <v>482</v>
      </c>
      <c r="H28" s="1713" t="s">
        <v>2124</v>
      </c>
      <c r="I28" s="146" t="s">
        <v>138</v>
      </c>
      <c r="J28" s="125">
        <v>1101.0</v>
      </c>
      <c r="K28" s="139" t="s">
        <v>139</v>
      </c>
      <c r="L28" s="139">
        <v>1126.0</v>
      </c>
      <c r="M28" s="746" t="str">
        <f>IFERROR(VLOOKUP(B25:B215,'RELATÓRIO ACC'!B:F,5,FALSE),"N/A")</f>
        <v>N/A</v>
      </c>
      <c r="N28" s="748" t="str">
        <f>IFERROR(VLOOKUP(B25:B215,'RELATÓRIO ACC'!B:P,15,FALSE),"N/A")</f>
        <v>N/A</v>
      </c>
      <c r="O28" s="141" t="s">
        <v>718</v>
      </c>
      <c r="P28" s="782">
        <v>45930.0</v>
      </c>
      <c r="Q28" s="751" t="s">
        <v>146</v>
      </c>
      <c r="R28" s="746" t="s">
        <v>477</v>
      </c>
      <c r="S28" s="766" t="s">
        <v>476</v>
      </c>
      <c r="T28" s="773">
        <v>0.43</v>
      </c>
      <c r="U28" s="746" t="s">
        <v>477</v>
      </c>
      <c r="V28" s="766" t="s">
        <v>476</v>
      </c>
      <c r="W28" s="773">
        <v>0.81</v>
      </c>
      <c r="X28" s="746" t="s">
        <v>477</v>
      </c>
      <c r="Y28" s="766" t="s">
        <v>476</v>
      </c>
      <c r="Z28" s="773">
        <v>0.88</v>
      </c>
      <c r="AA28" s="746" t="s">
        <v>477</v>
      </c>
      <c r="AB28" s="766" t="s">
        <v>476</v>
      </c>
      <c r="AC28" s="762">
        <v>0.96</v>
      </c>
      <c r="AD28" s="755" t="s">
        <v>478</v>
      </c>
      <c r="AE28" s="74">
        <v>0.0</v>
      </c>
      <c r="AF28" s="753">
        <v>0.0</v>
      </c>
      <c r="AG28" s="755" t="s">
        <v>478</v>
      </c>
      <c r="AH28" s="74">
        <v>0.0</v>
      </c>
      <c r="AI28" s="753">
        <v>0.0</v>
      </c>
      <c r="AJ28" s="755" t="s">
        <v>484</v>
      </c>
      <c r="AK28" s="759" t="s">
        <v>476</v>
      </c>
      <c r="AL28" s="762">
        <v>1.0</v>
      </c>
      <c r="AM28" s="746" t="s">
        <v>477</v>
      </c>
      <c r="AN28" s="766" t="s">
        <v>476</v>
      </c>
      <c r="AO28" s="773">
        <v>0.43</v>
      </c>
      <c r="AP28" s="746" t="s">
        <v>477</v>
      </c>
      <c r="AQ28" s="766" t="s">
        <v>476</v>
      </c>
      <c r="AR28" s="773">
        <v>0.67</v>
      </c>
      <c r="AS28" s="746" t="s">
        <v>477</v>
      </c>
      <c r="AT28" s="766" t="s">
        <v>476</v>
      </c>
      <c r="AU28" s="773">
        <v>0.8</v>
      </c>
      <c r="AV28" s="746" t="s">
        <v>477</v>
      </c>
      <c r="AW28" s="766" t="s">
        <v>476</v>
      </c>
      <c r="AX28" s="762">
        <v>0.84</v>
      </c>
      <c r="AY28" s="755" t="s">
        <v>478</v>
      </c>
      <c r="AZ28" s="74">
        <v>0.0</v>
      </c>
      <c r="BA28" s="749">
        <v>0.0</v>
      </c>
      <c r="BB28" s="755" t="s">
        <v>478</v>
      </c>
      <c r="BC28" s="74">
        <v>0.0</v>
      </c>
      <c r="BD28" s="749">
        <v>0.0</v>
      </c>
      <c r="BE28" s="755" t="s">
        <v>477</v>
      </c>
      <c r="BF28" s="766" t="s">
        <v>476</v>
      </c>
      <c r="BG28" s="773">
        <v>0.91</v>
      </c>
      <c r="BH28" s="746" t="s">
        <v>477</v>
      </c>
      <c r="BI28" s="759" t="s">
        <v>476</v>
      </c>
      <c r="BJ28" s="1057">
        <v>0.6</v>
      </c>
      <c r="BK28" s="755" t="s">
        <v>478</v>
      </c>
      <c r="BL28" s="74">
        <v>0.0</v>
      </c>
      <c r="BM28" s="1037">
        <v>0.0</v>
      </c>
      <c r="BN28" s="755" t="s">
        <v>477</v>
      </c>
      <c r="BO28" s="759" t="s">
        <v>476</v>
      </c>
      <c r="BP28" s="1057">
        <v>0.84</v>
      </c>
      <c r="BQ28" s="126" t="s">
        <v>91</v>
      </c>
      <c r="BR28" s="1723" t="s">
        <v>462</v>
      </c>
      <c r="BS28" s="125" t="s">
        <v>462</v>
      </c>
      <c r="BT28" s="147" t="s">
        <v>462</v>
      </c>
      <c r="BU28" s="1724" t="s">
        <v>462</v>
      </c>
      <c r="BV28" s="125" t="s">
        <v>462</v>
      </c>
      <c r="BW28" s="147" t="s">
        <v>462</v>
      </c>
      <c r="BX28" s="1725" t="s">
        <v>462</v>
      </c>
      <c r="BY28" s="125" t="s">
        <v>462</v>
      </c>
      <c r="BZ28" s="1726" t="s">
        <v>462</v>
      </c>
      <c r="CA28" s="1723" t="s">
        <v>462</v>
      </c>
      <c r="CB28" s="125" t="s">
        <v>462</v>
      </c>
      <c r="CC28" s="1727" t="s">
        <v>462</v>
      </c>
      <c r="CD28" s="1723" t="s">
        <v>462</v>
      </c>
      <c r="CE28" s="125" t="s">
        <v>462</v>
      </c>
      <c r="CF28" s="1727" t="s">
        <v>462</v>
      </c>
      <c r="CG28" s="111"/>
      <c r="CH28" s="111"/>
      <c r="CI28" s="111"/>
    </row>
    <row r="29" ht="15.0" customHeight="1" outlineLevel="1">
      <c r="A29" s="60">
        <v>25.0</v>
      </c>
      <c r="B29" s="747" t="str">
        <f t="shared" si="2"/>
        <v>CPQ11-ARCH-PART-C345-R22.rvt</v>
      </c>
      <c r="C29" s="60">
        <v>25.0</v>
      </c>
      <c r="D29" s="74" t="s">
        <v>2122</v>
      </c>
      <c r="E29" s="1712" t="s">
        <v>2139</v>
      </c>
      <c r="F29" s="71" t="s">
        <v>142</v>
      </c>
      <c r="G29" s="71" t="s">
        <v>482</v>
      </c>
      <c r="H29" s="1713" t="s">
        <v>2124</v>
      </c>
      <c r="I29" s="146" t="s">
        <v>138</v>
      </c>
      <c r="J29" s="125">
        <v>1101.0</v>
      </c>
      <c r="K29" s="139" t="s">
        <v>139</v>
      </c>
      <c r="L29" s="139">
        <v>1126.0</v>
      </c>
      <c r="M29" s="746" t="str">
        <f>IFERROR(VLOOKUP(B26:B216,'RELATÓRIO ACC'!B:F,5,FALSE),"N/A")</f>
        <v>N/A</v>
      </c>
      <c r="N29" s="748" t="str">
        <f>IFERROR(VLOOKUP(B26:B216,'RELATÓRIO ACC'!B:P,15,FALSE),"N/A")</f>
        <v>N/A</v>
      </c>
      <c r="O29" s="141" t="s">
        <v>462</v>
      </c>
      <c r="P29" s="749" t="s">
        <v>462</v>
      </c>
      <c r="Q29" s="751"/>
      <c r="R29" s="746" t="s">
        <v>462</v>
      </c>
      <c r="S29" s="74" t="s">
        <v>462</v>
      </c>
      <c r="T29" s="749" t="s">
        <v>462</v>
      </c>
      <c r="U29" s="746" t="s">
        <v>462</v>
      </c>
      <c r="V29" s="74" t="s">
        <v>462</v>
      </c>
      <c r="W29" s="749" t="s">
        <v>462</v>
      </c>
      <c r="X29" s="746" t="s">
        <v>462</v>
      </c>
      <c r="Y29" s="749" t="s">
        <v>462</v>
      </c>
      <c r="Z29" s="749" t="s">
        <v>462</v>
      </c>
      <c r="AA29" s="746" t="s">
        <v>462</v>
      </c>
      <c r="AB29" s="749" t="s">
        <v>462</v>
      </c>
      <c r="AC29" s="750" t="s">
        <v>462</v>
      </c>
      <c r="AD29" s="746" t="s">
        <v>462</v>
      </c>
      <c r="AE29" s="74" t="s">
        <v>462</v>
      </c>
      <c r="AF29" s="1730" t="s">
        <v>462</v>
      </c>
      <c r="AG29" s="746" t="s">
        <v>462</v>
      </c>
      <c r="AH29" s="74" t="s">
        <v>462</v>
      </c>
      <c r="AI29" s="749" t="s">
        <v>462</v>
      </c>
      <c r="AJ29" s="746" t="s">
        <v>462</v>
      </c>
      <c r="AK29" s="74" t="s">
        <v>462</v>
      </c>
      <c r="AL29" s="753" t="s">
        <v>462</v>
      </c>
      <c r="AM29" s="746" t="s">
        <v>462</v>
      </c>
      <c r="AN29" s="74" t="s">
        <v>462</v>
      </c>
      <c r="AO29" s="749" t="s">
        <v>462</v>
      </c>
      <c r="AP29" s="746" t="s">
        <v>462</v>
      </c>
      <c r="AQ29" s="74" t="s">
        <v>462</v>
      </c>
      <c r="AR29" s="749" t="s">
        <v>462</v>
      </c>
      <c r="AS29" s="746" t="s">
        <v>462</v>
      </c>
      <c r="AT29" s="749" t="s">
        <v>462</v>
      </c>
      <c r="AU29" s="749" t="s">
        <v>462</v>
      </c>
      <c r="AV29" s="746" t="s">
        <v>462</v>
      </c>
      <c r="AW29" s="749" t="s">
        <v>462</v>
      </c>
      <c r="AX29" s="750" t="s">
        <v>462</v>
      </c>
      <c r="AY29" s="746" t="s">
        <v>462</v>
      </c>
      <c r="AZ29" s="74" t="s">
        <v>462</v>
      </c>
      <c r="BA29" s="749" t="s">
        <v>462</v>
      </c>
      <c r="BB29" s="746" t="s">
        <v>462</v>
      </c>
      <c r="BC29" s="74" t="s">
        <v>462</v>
      </c>
      <c r="BD29" s="749" t="s">
        <v>462</v>
      </c>
      <c r="BE29" s="746" t="s">
        <v>462</v>
      </c>
      <c r="BF29" s="74" t="s">
        <v>462</v>
      </c>
      <c r="BG29" s="753" t="s">
        <v>462</v>
      </c>
      <c r="BH29" s="746" t="s">
        <v>462</v>
      </c>
      <c r="BI29" s="74" t="s">
        <v>462</v>
      </c>
      <c r="BJ29" s="1037" t="s">
        <v>462</v>
      </c>
      <c r="BK29" s="746" t="s">
        <v>462</v>
      </c>
      <c r="BL29" s="749" t="s">
        <v>462</v>
      </c>
      <c r="BM29" s="1037" t="s">
        <v>462</v>
      </c>
      <c r="BN29" s="746" t="s">
        <v>462</v>
      </c>
      <c r="BO29" s="74" t="s">
        <v>462</v>
      </c>
      <c r="BP29" s="1037" t="s">
        <v>462</v>
      </c>
      <c r="BQ29" s="126"/>
      <c r="BR29" s="1723" t="s">
        <v>462</v>
      </c>
      <c r="BS29" s="125" t="s">
        <v>462</v>
      </c>
      <c r="BT29" s="147" t="s">
        <v>462</v>
      </c>
      <c r="BU29" s="1724" t="s">
        <v>462</v>
      </c>
      <c r="BV29" s="125" t="s">
        <v>462</v>
      </c>
      <c r="BW29" s="147" t="s">
        <v>462</v>
      </c>
      <c r="BX29" s="1725" t="s">
        <v>462</v>
      </c>
      <c r="BY29" s="125" t="s">
        <v>462</v>
      </c>
      <c r="BZ29" s="1726" t="s">
        <v>462</v>
      </c>
      <c r="CA29" s="1723" t="s">
        <v>462</v>
      </c>
      <c r="CB29" s="125" t="s">
        <v>462</v>
      </c>
      <c r="CC29" s="1727" t="s">
        <v>462</v>
      </c>
      <c r="CD29" s="1723" t="s">
        <v>462</v>
      </c>
      <c r="CE29" s="125" t="s">
        <v>462</v>
      </c>
      <c r="CF29" s="1727" t="s">
        <v>462</v>
      </c>
      <c r="CG29" s="111"/>
      <c r="CH29" s="111"/>
      <c r="CI29" s="111"/>
    </row>
    <row r="30" ht="15.0" customHeight="1" outlineLevel="1">
      <c r="A30" s="60">
        <v>27.0</v>
      </c>
      <c r="B30" s="747" t="str">
        <f t="shared" si="2"/>
        <v>CPQ11-ARCH-COMN-DATA-R22.rvt</v>
      </c>
      <c r="C30" s="60">
        <v>27.0</v>
      </c>
      <c r="D30" s="74" t="s">
        <v>2122</v>
      </c>
      <c r="E30" s="74" t="s">
        <v>2140</v>
      </c>
      <c r="F30" s="71" t="s">
        <v>85</v>
      </c>
      <c r="G30" s="74" t="s">
        <v>482</v>
      </c>
      <c r="H30" s="1713" t="s">
        <v>2124</v>
      </c>
      <c r="I30" s="146" t="s">
        <v>115</v>
      </c>
      <c r="J30" s="754">
        <v>0.0</v>
      </c>
      <c r="K30" s="150" t="s">
        <v>115</v>
      </c>
      <c r="L30" s="150">
        <v>0.0</v>
      </c>
      <c r="M30" s="746" t="str">
        <f>IFERROR(VLOOKUP(B27:B217,'RELATÓRIO ACC'!B:F,5,FALSE),"N/A")</f>
        <v>N/A</v>
      </c>
      <c r="N30" s="748" t="str">
        <f>IFERROR(VLOOKUP(B27:B217,'RELATÓRIO ACC'!B:P,15,FALSE),"N/A")</f>
        <v>N/A</v>
      </c>
      <c r="O30" s="141" t="s">
        <v>462</v>
      </c>
      <c r="P30" s="749" t="s">
        <v>462</v>
      </c>
      <c r="Q30" s="751"/>
      <c r="R30" s="746" t="s">
        <v>466</v>
      </c>
      <c r="S30" s="74" t="s">
        <v>462</v>
      </c>
      <c r="T30" s="749" t="s">
        <v>462</v>
      </c>
      <c r="U30" s="746" t="s">
        <v>466</v>
      </c>
      <c r="V30" s="74" t="s">
        <v>462</v>
      </c>
      <c r="W30" s="749" t="s">
        <v>462</v>
      </c>
      <c r="X30" s="746" t="s">
        <v>466</v>
      </c>
      <c r="Y30" s="74" t="s">
        <v>462</v>
      </c>
      <c r="Z30" s="749" t="s">
        <v>462</v>
      </c>
      <c r="AA30" s="746" t="s">
        <v>466</v>
      </c>
      <c r="AB30" s="74" t="s">
        <v>462</v>
      </c>
      <c r="AC30" s="753" t="s">
        <v>462</v>
      </c>
      <c r="AD30" s="746" t="s">
        <v>466</v>
      </c>
      <c r="AE30" s="74" t="s">
        <v>462</v>
      </c>
      <c r="AF30" s="753" t="s">
        <v>462</v>
      </c>
      <c r="AG30" s="746" t="s">
        <v>466</v>
      </c>
      <c r="AH30" s="74" t="s">
        <v>462</v>
      </c>
      <c r="AI30" s="753" t="s">
        <v>462</v>
      </c>
      <c r="AJ30" s="746" t="s">
        <v>466</v>
      </c>
      <c r="AK30" s="74" t="s">
        <v>462</v>
      </c>
      <c r="AL30" s="753" t="s">
        <v>462</v>
      </c>
      <c r="AM30" s="746" t="s">
        <v>466</v>
      </c>
      <c r="AN30" s="74" t="s">
        <v>462</v>
      </c>
      <c r="AO30" s="749" t="s">
        <v>462</v>
      </c>
      <c r="AP30" s="746" t="s">
        <v>466</v>
      </c>
      <c r="AQ30" s="74" t="s">
        <v>462</v>
      </c>
      <c r="AR30" s="749" t="s">
        <v>462</v>
      </c>
      <c r="AS30" s="746" t="s">
        <v>466</v>
      </c>
      <c r="AT30" s="74" t="s">
        <v>462</v>
      </c>
      <c r="AU30" s="749" t="s">
        <v>462</v>
      </c>
      <c r="AV30" s="746" t="s">
        <v>466</v>
      </c>
      <c r="AW30" s="74" t="s">
        <v>462</v>
      </c>
      <c r="AX30" s="753" t="s">
        <v>462</v>
      </c>
      <c r="AY30" s="746" t="s">
        <v>466</v>
      </c>
      <c r="AZ30" s="74" t="s">
        <v>462</v>
      </c>
      <c r="BA30" s="749" t="s">
        <v>462</v>
      </c>
      <c r="BB30" s="746" t="s">
        <v>466</v>
      </c>
      <c r="BC30" s="74" t="s">
        <v>462</v>
      </c>
      <c r="BD30" s="749" t="s">
        <v>462</v>
      </c>
      <c r="BE30" s="746" t="s">
        <v>466</v>
      </c>
      <c r="BF30" s="74" t="s">
        <v>462</v>
      </c>
      <c r="BG30" s="749" t="s">
        <v>462</v>
      </c>
      <c r="BH30" s="746" t="s">
        <v>466</v>
      </c>
      <c r="BI30" s="74" t="s">
        <v>462</v>
      </c>
      <c r="BJ30" s="1037" t="s">
        <v>462</v>
      </c>
      <c r="BK30" s="746" t="s">
        <v>466</v>
      </c>
      <c r="BL30" s="74" t="s">
        <v>462</v>
      </c>
      <c r="BM30" s="1037" t="s">
        <v>462</v>
      </c>
      <c r="BN30" s="746" t="s">
        <v>466</v>
      </c>
      <c r="BO30" s="74" t="s">
        <v>462</v>
      </c>
      <c r="BP30" s="1037" t="s">
        <v>462</v>
      </c>
      <c r="BQ30" s="126"/>
      <c r="BR30" s="141" t="s">
        <v>466</v>
      </c>
      <c r="BS30" s="125" t="s">
        <v>462</v>
      </c>
      <c r="BT30" s="749" t="s">
        <v>462</v>
      </c>
      <c r="BU30" s="746" t="s">
        <v>466</v>
      </c>
      <c r="BV30" s="125" t="s">
        <v>462</v>
      </c>
      <c r="BW30" s="749" t="s">
        <v>462</v>
      </c>
      <c r="BX30" s="746" t="s">
        <v>466</v>
      </c>
      <c r="BY30" s="74" t="s">
        <v>462</v>
      </c>
      <c r="BZ30" s="753" t="s">
        <v>462</v>
      </c>
      <c r="CA30" s="746" t="s">
        <v>466</v>
      </c>
      <c r="CB30" s="74" t="s">
        <v>462</v>
      </c>
      <c r="CC30" s="1714" t="s">
        <v>462</v>
      </c>
      <c r="CD30" s="746" t="s">
        <v>466</v>
      </c>
      <c r="CE30" s="74" t="s">
        <v>462</v>
      </c>
      <c r="CF30" s="1714" t="s">
        <v>462</v>
      </c>
      <c r="CG30" s="68"/>
      <c r="CH30" s="68"/>
      <c r="CI30" s="68"/>
    </row>
    <row r="31" ht="15.0" customHeight="1" outlineLevel="1">
      <c r="A31" s="60">
        <v>28.0</v>
      </c>
      <c r="B31" s="747" t="str">
        <f t="shared" si="2"/>
        <v>CPQ11-ARCH-SGNV-SITE-R22.rvt</v>
      </c>
      <c r="C31" s="60">
        <v>28.0</v>
      </c>
      <c r="D31" s="74" t="s">
        <v>2122</v>
      </c>
      <c r="E31" s="74" t="s">
        <v>2141</v>
      </c>
      <c r="F31" s="71" t="s">
        <v>90</v>
      </c>
      <c r="G31" s="74" t="s">
        <v>482</v>
      </c>
      <c r="H31" s="1713" t="s">
        <v>2124</v>
      </c>
      <c r="I31" s="138" t="s">
        <v>151</v>
      </c>
      <c r="J31" s="754">
        <v>0.0</v>
      </c>
      <c r="K31" s="150" t="s">
        <v>115</v>
      </c>
      <c r="L31" s="150"/>
      <c r="M31" s="746" t="str">
        <f>IFERROR(VLOOKUP(B28:B218,'RELATÓRIO ACC'!B:F,5,FALSE),"N/A")</f>
        <v>N/A</v>
      </c>
      <c r="N31" s="748" t="str">
        <f>IFERROR(VLOOKUP(B28:B218,'RELATÓRIO ACC'!B:P,15,FALSE),"N/A")</f>
        <v>N/A</v>
      </c>
      <c r="O31" s="141" t="s">
        <v>462</v>
      </c>
      <c r="P31" s="749" t="s">
        <v>462</v>
      </c>
      <c r="Q31" s="751"/>
      <c r="R31" s="746" t="s">
        <v>466</v>
      </c>
      <c r="S31" s="74" t="s">
        <v>462</v>
      </c>
      <c r="T31" s="749" t="s">
        <v>462</v>
      </c>
      <c r="U31" s="746" t="s">
        <v>466</v>
      </c>
      <c r="V31" s="74" t="s">
        <v>462</v>
      </c>
      <c r="W31" s="749" t="s">
        <v>462</v>
      </c>
      <c r="X31" s="746" t="s">
        <v>466</v>
      </c>
      <c r="Y31" s="74" t="s">
        <v>462</v>
      </c>
      <c r="Z31" s="749" t="s">
        <v>462</v>
      </c>
      <c r="AA31" s="746" t="s">
        <v>466</v>
      </c>
      <c r="AB31" s="74" t="s">
        <v>462</v>
      </c>
      <c r="AC31" s="753" t="s">
        <v>462</v>
      </c>
      <c r="AD31" s="746" t="s">
        <v>466</v>
      </c>
      <c r="AE31" s="74" t="s">
        <v>462</v>
      </c>
      <c r="AF31" s="753" t="s">
        <v>462</v>
      </c>
      <c r="AG31" s="746" t="s">
        <v>466</v>
      </c>
      <c r="AH31" s="74" t="s">
        <v>462</v>
      </c>
      <c r="AI31" s="753" t="s">
        <v>462</v>
      </c>
      <c r="AJ31" s="746" t="s">
        <v>466</v>
      </c>
      <c r="AK31" s="74" t="s">
        <v>462</v>
      </c>
      <c r="AL31" s="753" t="s">
        <v>462</v>
      </c>
      <c r="AM31" s="746" t="s">
        <v>466</v>
      </c>
      <c r="AN31" s="74" t="s">
        <v>462</v>
      </c>
      <c r="AO31" s="749" t="s">
        <v>462</v>
      </c>
      <c r="AP31" s="746" t="s">
        <v>466</v>
      </c>
      <c r="AQ31" s="74" t="s">
        <v>462</v>
      </c>
      <c r="AR31" s="749" t="s">
        <v>462</v>
      </c>
      <c r="AS31" s="746" t="s">
        <v>466</v>
      </c>
      <c r="AT31" s="74" t="s">
        <v>462</v>
      </c>
      <c r="AU31" s="749" t="s">
        <v>462</v>
      </c>
      <c r="AV31" s="746" t="s">
        <v>466</v>
      </c>
      <c r="AW31" s="74" t="s">
        <v>462</v>
      </c>
      <c r="AX31" s="753" t="s">
        <v>462</v>
      </c>
      <c r="AY31" s="746" t="s">
        <v>466</v>
      </c>
      <c r="AZ31" s="74" t="s">
        <v>462</v>
      </c>
      <c r="BA31" s="749" t="s">
        <v>462</v>
      </c>
      <c r="BB31" s="746" t="s">
        <v>466</v>
      </c>
      <c r="BC31" s="74" t="s">
        <v>462</v>
      </c>
      <c r="BD31" s="749" t="s">
        <v>462</v>
      </c>
      <c r="BE31" s="746" t="s">
        <v>466</v>
      </c>
      <c r="BF31" s="74" t="s">
        <v>462</v>
      </c>
      <c r="BG31" s="749" t="s">
        <v>462</v>
      </c>
      <c r="BH31" s="746" t="s">
        <v>466</v>
      </c>
      <c r="BI31" s="74" t="s">
        <v>462</v>
      </c>
      <c r="BJ31" s="1037" t="s">
        <v>462</v>
      </c>
      <c r="BK31" s="746" t="s">
        <v>466</v>
      </c>
      <c r="BL31" s="74" t="s">
        <v>462</v>
      </c>
      <c r="BM31" s="1037" t="s">
        <v>462</v>
      </c>
      <c r="BN31" s="746" t="s">
        <v>466</v>
      </c>
      <c r="BO31" s="74" t="s">
        <v>462</v>
      </c>
      <c r="BP31" s="1037" t="s">
        <v>462</v>
      </c>
      <c r="BQ31" s="126"/>
      <c r="BR31" s="141" t="s">
        <v>466</v>
      </c>
      <c r="BS31" s="125" t="s">
        <v>462</v>
      </c>
      <c r="BT31" s="749" t="s">
        <v>462</v>
      </c>
      <c r="BU31" s="746" t="s">
        <v>466</v>
      </c>
      <c r="BV31" s="125" t="s">
        <v>462</v>
      </c>
      <c r="BW31" s="749" t="s">
        <v>462</v>
      </c>
      <c r="BX31" s="746" t="s">
        <v>466</v>
      </c>
      <c r="BY31" s="74" t="s">
        <v>462</v>
      </c>
      <c r="BZ31" s="753" t="s">
        <v>462</v>
      </c>
      <c r="CA31" s="746" t="s">
        <v>466</v>
      </c>
      <c r="CB31" s="74" t="s">
        <v>462</v>
      </c>
      <c r="CC31" s="1714" t="s">
        <v>462</v>
      </c>
      <c r="CD31" s="746" t="s">
        <v>466</v>
      </c>
      <c r="CE31" s="74" t="s">
        <v>462</v>
      </c>
      <c r="CF31" s="1714" t="s">
        <v>462</v>
      </c>
      <c r="CG31" s="68"/>
      <c r="CH31" s="68"/>
      <c r="CI31" s="68"/>
    </row>
    <row r="32" ht="15.0" customHeight="1" outlineLevel="1">
      <c r="A32" s="60">
        <v>29.0</v>
      </c>
      <c r="B32" s="747" t="str">
        <f t="shared" si="2"/>
        <v>CPQ11-ARCH-SGNH-SITE-R22.rvt</v>
      </c>
      <c r="C32" s="60">
        <v>29.0</v>
      </c>
      <c r="D32" s="74" t="s">
        <v>2122</v>
      </c>
      <c r="E32" s="74" t="s">
        <v>2142</v>
      </c>
      <c r="F32" s="71" t="s">
        <v>90</v>
      </c>
      <c r="G32" s="74" t="s">
        <v>482</v>
      </c>
      <c r="H32" s="1713" t="s">
        <v>2124</v>
      </c>
      <c r="I32" s="146" t="s">
        <v>115</v>
      </c>
      <c r="J32" s="754">
        <v>0.0</v>
      </c>
      <c r="K32" s="150" t="s">
        <v>115</v>
      </c>
      <c r="L32" s="150"/>
      <c r="M32" s="746" t="str">
        <f>IFERROR(VLOOKUP(B29:B219,'RELATÓRIO ACC'!B:F,5,FALSE),"N/A")</f>
        <v>N/A</v>
      </c>
      <c r="N32" s="748" t="str">
        <f>IFERROR(VLOOKUP(B29:B219,'RELATÓRIO ACC'!B:P,15,FALSE),"N/A")</f>
        <v>N/A</v>
      </c>
      <c r="O32" s="141" t="s">
        <v>462</v>
      </c>
      <c r="P32" s="749" t="s">
        <v>462</v>
      </c>
      <c r="Q32" s="751"/>
      <c r="R32" s="746" t="s">
        <v>466</v>
      </c>
      <c r="S32" s="74" t="s">
        <v>462</v>
      </c>
      <c r="T32" s="749" t="s">
        <v>462</v>
      </c>
      <c r="U32" s="746" t="s">
        <v>466</v>
      </c>
      <c r="V32" s="74" t="s">
        <v>462</v>
      </c>
      <c r="W32" s="749" t="s">
        <v>462</v>
      </c>
      <c r="X32" s="746" t="s">
        <v>466</v>
      </c>
      <c r="Y32" s="74" t="s">
        <v>462</v>
      </c>
      <c r="Z32" s="749" t="s">
        <v>462</v>
      </c>
      <c r="AA32" s="746" t="s">
        <v>466</v>
      </c>
      <c r="AB32" s="74" t="s">
        <v>462</v>
      </c>
      <c r="AC32" s="753" t="s">
        <v>462</v>
      </c>
      <c r="AD32" s="746" t="s">
        <v>466</v>
      </c>
      <c r="AE32" s="74" t="s">
        <v>462</v>
      </c>
      <c r="AF32" s="753" t="s">
        <v>462</v>
      </c>
      <c r="AG32" s="746" t="s">
        <v>466</v>
      </c>
      <c r="AH32" s="74" t="s">
        <v>462</v>
      </c>
      <c r="AI32" s="753" t="s">
        <v>462</v>
      </c>
      <c r="AJ32" s="746" t="s">
        <v>466</v>
      </c>
      <c r="AK32" s="74" t="s">
        <v>462</v>
      </c>
      <c r="AL32" s="753" t="s">
        <v>462</v>
      </c>
      <c r="AM32" s="746" t="s">
        <v>466</v>
      </c>
      <c r="AN32" s="74" t="s">
        <v>462</v>
      </c>
      <c r="AO32" s="749" t="s">
        <v>462</v>
      </c>
      <c r="AP32" s="746" t="s">
        <v>466</v>
      </c>
      <c r="AQ32" s="74" t="s">
        <v>462</v>
      </c>
      <c r="AR32" s="749" t="s">
        <v>462</v>
      </c>
      <c r="AS32" s="746" t="s">
        <v>466</v>
      </c>
      <c r="AT32" s="74" t="s">
        <v>462</v>
      </c>
      <c r="AU32" s="749" t="s">
        <v>462</v>
      </c>
      <c r="AV32" s="746" t="s">
        <v>466</v>
      </c>
      <c r="AW32" s="74" t="s">
        <v>462</v>
      </c>
      <c r="AX32" s="753" t="s">
        <v>462</v>
      </c>
      <c r="AY32" s="746" t="s">
        <v>466</v>
      </c>
      <c r="AZ32" s="74" t="s">
        <v>462</v>
      </c>
      <c r="BA32" s="749" t="s">
        <v>462</v>
      </c>
      <c r="BB32" s="746" t="s">
        <v>466</v>
      </c>
      <c r="BC32" s="74" t="s">
        <v>462</v>
      </c>
      <c r="BD32" s="749" t="s">
        <v>462</v>
      </c>
      <c r="BE32" s="746" t="s">
        <v>466</v>
      </c>
      <c r="BF32" s="74" t="s">
        <v>462</v>
      </c>
      <c r="BG32" s="749" t="s">
        <v>462</v>
      </c>
      <c r="BH32" s="746" t="s">
        <v>466</v>
      </c>
      <c r="BI32" s="74" t="s">
        <v>462</v>
      </c>
      <c r="BJ32" s="1037" t="s">
        <v>462</v>
      </c>
      <c r="BK32" s="746" t="s">
        <v>466</v>
      </c>
      <c r="BL32" s="74" t="s">
        <v>462</v>
      </c>
      <c r="BM32" s="1037" t="s">
        <v>462</v>
      </c>
      <c r="BN32" s="746" t="s">
        <v>466</v>
      </c>
      <c r="BO32" s="74" t="s">
        <v>462</v>
      </c>
      <c r="BP32" s="1037" t="s">
        <v>462</v>
      </c>
      <c r="BQ32" s="126"/>
      <c r="BR32" s="141" t="s">
        <v>466</v>
      </c>
      <c r="BS32" s="125" t="s">
        <v>462</v>
      </c>
      <c r="BT32" s="749" t="s">
        <v>462</v>
      </c>
      <c r="BU32" s="746" t="s">
        <v>466</v>
      </c>
      <c r="BV32" s="125" t="s">
        <v>462</v>
      </c>
      <c r="BW32" s="749" t="s">
        <v>462</v>
      </c>
      <c r="BX32" s="746" t="s">
        <v>466</v>
      </c>
      <c r="BY32" s="74" t="s">
        <v>462</v>
      </c>
      <c r="BZ32" s="753" t="s">
        <v>462</v>
      </c>
      <c r="CA32" s="746" t="s">
        <v>466</v>
      </c>
      <c r="CB32" s="74" t="s">
        <v>462</v>
      </c>
      <c r="CC32" s="1714" t="s">
        <v>462</v>
      </c>
      <c r="CD32" s="746" t="s">
        <v>466</v>
      </c>
      <c r="CE32" s="74" t="s">
        <v>462</v>
      </c>
      <c r="CF32" s="1714" t="s">
        <v>462</v>
      </c>
      <c r="CG32" s="68"/>
      <c r="CH32" s="68"/>
      <c r="CI32" s="68"/>
    </row>
    <row r="33" ht="15.0" customHeight="1" outlineLevel="1">
      <c r="A33" s="60">
        <v>30.0</v>
      </c>
      <c r="B33" s="747" t="str">
        <f t="shared" si="2"/>
        <v>CPQ11-ARCH-CEIL-DATA-R22.rvt</v>
      </c>
      <c r="C33" s="60">
        <v>30.0</v>
      </c>
      <c r="D33" s="74" t="s">
        <v>2122</v>
      </c>
      <c r="E33" s="74" t="s">
        <v>2143</v>
      </c>
      <c r="F33" s="71" t="s">
        <v>85</v>
      </c>
      <c r="G33" s="74" t="s">
        <v>482</v>
      </c>
      <c r="H33" s="1713" t="s">
        <v>2124</v>
      </c>
      <c r="I33" s="138" t="s">
        <v>156</v>
      </c>
      <c r="J33" s="754">
        <v>0.0</v>
      </c>
      <c r="K33" s="154" t="s">
        <v>157</v>
      </c>
      <c r="L33" s="150"/>
      <c r="M33" s="746" t="str">
        <f>IFERROR(VLOOKUP(B30:B220,'RELATÓRIO ACC'!B:F,5,FALSE),"N/A")</f>
        <v>N/A</v>
      </c>
      <c r="N33" s="748" t="str">
        <f>IFERROR(VLOOKUP(B30:B220,'RELATÓRIO ACC'!B:P,15,FALSE),"N/A")</f>
        <v>N/A</v>
      </c>
      <c r="O33" s="141" t="s">
        <v>462</v>
      </c>
      <c r="P33" s="749" t="s">
        <v>462</v>
      </c>
      <c r="Q33" s="751"/>
      <c r="R33" s="746" t="s">
        <v>466</v>
      </c>
      <c r="S33" s="74" t="s">
        <v>462</v>
      </c>
      <c r="T33" s="749" t="s">
        <v>462</v>
      </c>
      <c r="U33" s="746" t="s">
        <v>466</v>
      </c>
      <c r="V33" s="74" t="s">
        <v>462</v>
      </c>
      <c r="W33" s="749" t="s">
        <v>462</v>
      </c>
      <c r="X33" s="746" t="s">
        <v>466</v>
      </c>
      <c r="Y33" s="74" t="s">
        <v>462</v>
      </c>
      <c r="Z33" s="749" t="s">
        <v>462</v>
      </c>
      <c r="AA33" s="746" t="s">
        <v>466</v>
      </c>
      <c r="AB33" s="74" t="s">
        <v>462</v>
      </c>
      <c r="AC33" s="753" t="s">
        <v>462</v>
      </c>
      <c r="AD33" s="746" t="s">
        <v>466</v>
      </c>
      <c r="AE33" s="74" t="s">
        <v>462</v>
      </c>
      <c r="AF33" s="753" t="s">
        <v>462</v>
      </c>
      <c r="AG33" s="746" t="s">
        <v>466</v>
      </c>
      <c r="AH33" s="74" t="s">
        <v>462</v>
      </c>
      <c r="AI33" s="753" t="s">
        <v>462</v>
      </c>
      <c r="AJ33" s="746" t="s">
        <v>466</v>
      </c>
      <c r="AK33" s="74" t="s">
        <v>462</v>
      </c>
      <c r="AL33" s="753" t="s">
        <v>462</v>
      </c>
      <c r="AM33" s="746" t="s">
        <v>466</v>
      </c>
      <c r="AN33" s="74" t="s">
        <v>462</v>
      </c>
      <c r="AO33" s="749" t="s">
        <v>462</v>
      </c>
      <c r="AP33" s="746" t="s">
        <v>466</v>
      </c>
      <c r="AQ33" s="74" t="s">
        <v>462</v>
      </c>
      <c r="AR33" s="749" t="s">
        <v>462</v>
      </c>
      <c r="AS33" s="746" t="s">
        <v>466</v>
      </c>
      <c r="AT33" s="74" t="s">
        <v>462</v>
      </c>
      <c r="AU33" s="749" t="s">
        <v>462</v>
      </c>
      <c r="AV33" s="746" t="s">
        <v>466</v>
      </c>
      <c r="AW33" s="74" t="s">
        <v>462</v>
      </c>
      <c r="AX33" s="753" t="s">
        <v>462</v>
      </c>
      <c r="AY33" s="746" t="s">
        <v>466</v>
      </c>
      <c r="AZ33" s="74" t="s">
        <v>462</v>
      </c>
      <c r="BA33" s="749" t="s">
        <v>462</v>
      </c>
      <c r="BB33" s="746" t="s">
        <v>466</v>
      </c>
      <c r="BC33" s="74" t="s">
        <v>462</v>
      </c>
      <c r="BD33" s="749" t="s">
        <v>462</v>
      </c>
      <c r="BE33" s="746" t="s">
        <v>466</v>
      </c>
      <c r="BF33" s="74" t="s">
        <v>462</v>
      </c>
      <c r="BG33" s="749" t="s">
        <v>462</v>
      </c>
      <c r="BH33" s="746" t="s">
        <v>466</v>
      </c>
      <c r="BI33" s="74" t="s">
        <v>462</v>
      </c>
      <c r="BJ33" s="1037" t="s">
        <v>462</v>
      </c>
      <c r="BK33" s="746" t="s">
        <v>466</v>
      </c>
      <c r="BL33" s="74" t="s">
        <v>462</v>
      </c>
      <c r="BM33" s="1037" t="s">
        <v>462</v>
      </c>
      <c r="BN33" s="746" t="s">
        <v>466</v>
      </c>
      <c r="BO33" s="74" t="s">
        <v>462</v>
      </c>
      <c r="BP33" s="1037" t="s">
        <v>462</v>
      </c>
      <c r="BQ33" s="126"/>
      <c r="BR33" s="141" t="s">
        <v>466</v>
      </c>
      <c r="BS33" s="125" t="s">
        <v>462</v>
      </c>
      <c r="BT33" s="749" t="s">
        <v>462</v>
      </c>
      <c r="BU33" s="746" t="s">
        <v>466</v>
      </c>
      <c r="BV33" s="125" t="s">
        <v>462</v>
      </c>
      <c r="BW33" s="749" t="s">
        <v>462</v>
      </c>
      <c r="BX33" s="746" t="s">
        <v>466</v>
      </c>
      <c r="BY33" s="74" t="s">
        <v>462</v>
      </c>
      <c r="BZ33" s="753" t="s">
        <v>462</v>
      </c>
      <c r="CA33" s="746" t="s">
        <v>466</v>
      </c>
      <c r="CB33" s="74" t="s">
        <v>462</v>
      </c>
      <c r="CC33" s="1714" t="s">
        <v>462</v>
      </c>
      <c r="CD33" s="746" t="s">
        <v>466</v>
      </c>
      <c r="CE33" s="74" t="s">
        <v>462</v>
      </c>
      <c r="CF33" s="1714" t="s">
        <v>462</v>
      </c>
      <c r="CG33" s="68"/>
      <c r="CH33" s="68"/>
      <c r="CI33" s="68"/>
    </row>
    <row r="34" ht="15.0" customHeight="1" outlineLevel="1">
      <c r="A34" s="60">
        <v>31.0</v>
      </c>
      <c r="B34" s="1731" t="str">
        <f t="shared" si="2"/>
        <v>CPQ11-ARCH-CEIL-GUAR-R22.rvt</v>
      </c>
      <c r="C34" s="60">
        <v>31.0</v>
      </c>
      <c r="D34" s="74" t="s">
        <v>2122</v>
      </c>
      <c r="E34" s="74" t="s">
        <v>2143</v>
      </c>
      <c r="F34" s="71" t="s">
        <v>127</v>
      </c>
      <c r="G34" s="74" t="s">
        <v>482</v>
      </c>
      <c r="H34" s="1713" t="s">
        <v>2124</v>
      </c>
      <c r="I34" s="138" t="s">
        <v>156</v>
      </c>
      <c r="J34" s="754">
        <v>0.0</v>
      </c>
      <c r="K34" s="154" t="s">
        <v>157</v>
      </c>
      <c r="L34" s="150"/>
      <c r="M34" s="746" t="str">
        <f>IFERROR(VLOOKUP(B31:B221,'RELATÓRIO ACC'!B:F,5,FALSE),"N/A")</f>
        <v>N/A</v>
      </c>
      <c r="N34" s="748" t="str">
        <f>IFERROR(VLOOKUP(B31:B221,'RELATÓRIO ACC'!B:P,15,FALSE),"N/A")</f>
        <v>N/A</v>
      </c>
      <c r="O34" s="141" t="s">
        <v>462</v>
      </c>
      <c r="P34" s="749" t="s">
        <v>462</v>
      </c>
      <c r="Q34" s="751"/>
      <c r="R34" s="746" t="s">
        <v>466</v>
      </c>
      <c r="S34" s="74" t="s">
        <v>462</v>
      </c>
      <c r="T34" s="749" t="s">
        <v>462</v>
      </c>
      <c r="U34" s="746" t="s">
        <v>466</v>
      </c>
      <c r="V34" s="74" t="s">
        <v>462</v>
      </c>
      <c r="W34" s="749" t="s">
        <v>462</v>
      </c>
      <c r="X34" s="746" t="s">
        <v>466</v>
      </c>
      <c r="Y34" s="74" t="s">
        <v>462</v>
      </c>
      <c r="Z34" s="749" t="s">
        <v>462</v>
      </c>
      <c r="AA34" s="746" t="s">
        <v>466</v>
      </c>
      <c r="AB34" s="74" t="s">
        <v>462</v>
      </c>
      <c r="AC34" s="753" t="s">
        <v>462</v>
      </c>
      <c r="AD34" s="746" t="s">
        <v>466</v>
      </c>
      <c r="AE34" s="74" t="s">
        <v>462</v>
      </c>
      <c r="AF34" s="753" t="s">
        <v>462</v>
      </c>
      <c r="AG34" s="746" t="s">
        <v>466</v>
      </c>
      <c r="AH34" s="74" t="s">
        <v>462</v>
      </c>
      <c r="AI34" s="753" t="s">
        <v>462</v>
      </c>
      <c r="AJ34" s="746" t="s">
        <v>466</v>
      </c>
      <c r="AK34" s="74" t="s">
        <v>462</v>
      </c>
      <c r="AL34" s="753" t="s">
        <v>462</v>
      </c>
      <c r="AM34" s="746" t="s">
        <v>466</v>
      </c>
      <c r="AN34" s="74" t="s">
        <v>462</v>
      </c>
      <c r="AO34" s="749" t="s">
        <v>462</v>
      </c>
      <c r="AP34" s="746" t="s">
        <v>466</v>
      </c>
      <c r="AQ34" s="74" t="s">
        <v>462</v>
      </c>
      <c r="AR34" s="749" t="s">
        <v>462</v>
      </c>
      <c r="AS34" s="746" t="s">
        <v>466</v>
      </c>
      <c r="AT34" s="74" t="s">
        <v>462</v>
      </c>
      <c r="AU34" s="749" t="s">
        <v>462</v>
      </c>
      <c r="AV34" s="746" t="s">
        <v>466</v>
      </c>
      <c r="AW34" s="74" t="s">
        <v>462</v>
      </c>
      <c r="AX34" s="753" t="s">
        <v>462</v>
      </c>
      <c r="AY34" s="746" t="s">
        <v>466</v>
      </c>
      <c r="AZ34" s="74" t="s">
        <v>462</v>
      </c>
      <c r="BA34" s="749" t="s">
        <v>462</v>
      </c>
      <c r="BB34" s="746" t="s">
        <v>466</v>
      </c>
      <c r="BC34" s="74" t="s">
        <v>462</v>
      </c>
      <c r="BD34" s="749" t="s">
        <v>462</v>
      </c>
      <c r="BE34" s="746" t="s">
        <v>466</v>
      </c>
      <c r="BF34" s="74" t="s">
        <v>462</v>
      </c>
      <c r="BG34" s="749" t="s">
        <v>462</v>
      </c>
      <c r="BH34" s="746" t="s">
        <v>466</v>
      </c>
      <c r="BI34" s="74" t="s">
        <v>462</v>
      </c>
      <c r="BJ34" s="1037" t="s">
        <v>462</v>
      </c>
      <c r="BK34" s="746" t="s">
        <v>466</v>
      </c>
      <c r="BL34" s="74" t="s">
        <v>462</v>
      </c>
      <c r="BM34" s="1037" t="s">
        <v>462</v>
      </c>
      <c r="BN34" s="746" t="s">
        <v>466</v>
      </c>
      <c r="BO34" s="74" t="s">
        <v>462</v>
      </c>
      <c r="BP34" s="1037" t="s">
        <v>462</v>
      </c>
      <c r="BQ34" s="126"/>
      <c r="BR34" s="141" t="s">
        <v>466</v>
      </c>
      <c r="BS34" s="125" t="s">
        <v>462</v>
      </c>
      <c r="BT34" s="749" t="s">
        <v>462</v>
      </c>
      <c r="BU34" s="746" t="s">
        <v>466</v>
      </c>
      <c r="BV34" s="125" t="s">
        <v>462</v>
      </c>
      <c r="BW34" s="749" t="s">
        <v>462</v>
      </c>
      <c r="BX34" s="746" t="s">
        <v>466</v>
      </c>
      <c r="BY34" s="74" t="s">
        <v>462</v>
      </c>
      <c r="BZ34" s="753" t="s">
        <v>462</v>
      </c>
      <c r="CA34" s="746" t="s">
        <v>466</v>
      </c>
      <c r="CB34" s="74" t="s">
        <v>462</v>
      </c>
      <c r="CC34" s="1714" t="s">
        <v>462</v>
      </c>
      <c r="CD34" s="746" t="s">
        <v>466</v>
      </c>
      <c r="CE34" s="74" t="s">
        <v>462</v>
      </c>
      <c r="CF34" s="1714" t="s">
        <v>462</v>
      </c>
      <c r="CG34" s="68"/>
      <c r="CH34" s="68"/>
      <c r="CI34" s="68"/>
    </row>
    <row r="35" ht="15.0" customHeight="1" outlineLevel="1">
      <c r="A35" s="60">
        <v>24.0</v>
      </c>
      <c r="B35" s="747" t="str">
        <f t="shared" si="2"/>
        <v>CPQ11-ARCH-PART-SITE-R22.rvt</v>
      </c>
      <c r="C35" s="60">
        <v>24.0</v>
      </c>
      <c r="D35" s="74" t="s">
        <v>2122</v>
      </c>
      <c r="E35" s="1712" t="s">
        <v>2139</v>
      </c>
      <c r="F35" s="71" t="s">
        <v>90</v>
      </c>
      <c r="G35" s="71" t="s">
        <v>482</v>
      </c>
      <c r="H35" s="1713" t="s">
        <v>2124</v>
      </c>
      <c r="I35" s="146" t="s">
        <v>138</v>
      </c>
      <c r="J35" s="138">
        <v>1101.0</v>
      </c>
      <c r="K35" s="146" t="s">
        <v>139</v>
      </c>
      <c r="L35" s="139">
        <v>1126.0</v>
      </c>
      <c r="M35" s="746" t="str">
        <f>IFERROR(VLOOKUP(B32:B222,'RELATÓRIO ACC'!B:F,5,FALSE),"N/A")</f>
        <v>N/A</v>
      </c>
      <c r="N35" s="748" t="str">
        <f>IFERROR(VLOOKUP(B32:B222,'RELATÓRIO ACC'!B:P,15,FALSE),"N/A")</f>
        <v>N/A</v>
      </c>
      <c r="O35" s="141" t="s">
        <v>500</v>
      </c>
      <c r="P35" s="782">
        <v>45922.0</v>
      </c>
      <c r="Q35" s="751" t="s">
        <v>102</v>
      </c>
      <c r="R35" s="746" t="s">
        <v>462</v>
      </c>
      <c r="S35" s="74" t="s">
        <v>462</v>
      </c>
      <c r="T35" s="749" t="s">
        <v>462</v>
      </c>
      <c r="U35" s="746" t="s">
        <v>462</v>
      </c>
      <c r="V35" s="74" t="s">
        <v>462</v>
      </c>
      <c r="W35" s="749" t="s">
        <v>462</v>
      </c>
      <c r="X35" s="746" t="s">
        <v>462</v>
      </c>
      <c r="Y35" s="74" t="s">
        <v>462</v>
      </c>
      <c r="Z35" s="749" t="s">
        <v>462</v>
      </c>
      <c r="AA35" s="746" t="s">
        <v>462</v>
      </c>
      <c r="AB35" s="74" t="s">
        <v>462</v>
      </c>
      <c r="AC35" s="750" t="s">
        <v>462</v>
      </c>
      <c r="AD35" s="746" t="s">
        <v>462</v>
      </c>
      <c r="AE35" s="74" t="s">
        <v>462</v>
      </c>
      <c r="AF35" s="753" t="s">
        <v>462</v>
      </c>
      <c r="AG35" s="746" t="s">
        <v>462</v>
      </c>
      <c r="AH35" s="74" t="s">
        <v>462</v>
      </c>
      <c r="AI35" s="753" t="s">
        <v>462</v>
      </c>
      <c r="AJ35" s="746" t="s">
        <v>462</v>
      </c>
      <c r="AK35" s="74" t="s">
        <v>462</v>
      </c>
      <c r="AL35" s="749" t="s">
        <v>462</v>
      </c>
      <c r="AM35" s="746" t="s">
        <v>462</v>
      </c>
      <c r="AN35" s="74" t="s">
        <v>462</v>
      </c>
      <c r="AO35" s="749" t="s">
        <v>462</v>
      </c>
      <c r="AP35" s="746" t="s">
        <v>462</v>
      </c>
      <c r="AQ35" s="74" t="s">
        <v>462</v>
      </c>
      <c r="AR35" s="749" t="s">
        <v>462</v>
      </c>
      <c r="AS35" s="746" t="s">
        <v>462</v>
      </c>
      <c r="AT35" s="74" t="s">
        <v>462</v>
      </c>
      <c r="AU35" s="749" t="s">
        <v>462</v>
      </c>
      <c r="AV35" s="746" t="s">
        <v>462</v>
      </c>
      <c r="AW35" s="74" t="s">
        <v>462</v>
      </c>
      <c r="AX35" s="750" t="s">
        <v>462</v>
      </c>
      <c r="AY35" s="746" t="s">
        <v>462</v>
      </c>
      <c r="AZ35" s="74" t="s">
        <v>462</v>
      </c>
      <c r="BA35" s="749" t="s">
        <v>462</v>
      </c>
      <c r="BB35" s="746" t="s">
        <v>462</v>
      </c>
      <c r="BC35" s="74" t="s">
        <v>462</v>
      </c>
      <c r="BD35" s="749" t="s">
        <v>462</v>
      </c>
      <c r="BE35" s="746" t="s">
        <v>462</v>
      </c>
      <c r="BF35" s="74" t="s">
        <v>462</v>
      </c>
      <c r="BG35" s="749" t="s">
        <v>462</v>
      </c>
      <c r="BH35" s="746" t="s">
        <v>462</v>
      </c>
      <c r="BI35" s="74" t="s">
        <v>462</v>
      </c>
      <c r="BJ35" s="1037" t="s">
        <v>462</v>
      </c>
      <c r="BK35" s="746" t="s">
        <v>462</v>
      </c>
      <c r="BL35" s="74" t="s">
        <v>462</v>
      </c>
      <c r="BM35" s="1037" t="s">
        <v>462</v>
      </c>
      <c r="BN35" s="746" t="s">
        <v>462</v>
      </c>
      <c r="BO35" s="74" t="s">
        <v>462</v>
      </c>
      <c r="BP35" s="1037" t="s">
        <v>462</v>
      </c>
      <c r="BQ35" s="126"/>
      <c r="BR35" s="141" t="s">
        <v>477</v>
      </c>
      <c r="BS35" s="759" t="s">
        <v>476</v>
      </c>
      <c r="BT35" s="773">
        <v>0.39</v>
      </c>
      <c r="BU35" s="746" t="s">
        <v>477</v>
      </c>
      <c r="BV35" s="766" t="s">
        <v>476</v>
      </c>
      <c r="BW35" s="773">
        <v>0.96</v>
      </c>
      <c r="BX35" s="1728" t="s">
        <v>478</v>
      </c>
      <c r="BY35" s="74">
        <v>0.0</v>
      </c>
      <c r="BZ35" s="753">
        <v>0.0</v>
      </c>
      <c r="CA35" s="1195" t="s">
        <v>478</v>
      </c>
      <c r="CB35" s="74">
        <v>0.0</v>
      </c>
      <c r="CC35" s="1714">
        <v>0.0</v>
      </c>
      <c r="CD35" s="1195" t="s">
        <v>484</v>
      </c>
      <c r="CE35" s="766" t="s">
        <v>476</v>
      </c>
      <c r="CF35" s="1387">
        <v>1.0</v>
      </c>
      <c r="CG35" s="68"/>
      <c r="CH35" s="68"/>
      <c r="CI35" s="68"/>
    </row>
    <row r="36" ht="15.0" customHeight="1">
      <c r="A36" s="60">
        <v>23.0</v>
      </c>
      <c r="B36" s="769" t="str">
        <f t="shared" si="2"/>
        <v>CPQ11-ARCH-ROOF-DATA-R22.rvt</v>
      </c>
      <c r="C36" s="60">
        <v>23.0</v>
      </c>
      <c r="D36" s="126" t="s">
        <v>2122</v>
      </c>
      <c r="E36" s="1732" t="s">
        <v>2144</v>
      </c>
      <c r="F36" s="770" t="s">
        <v>85</v>
      </c>
      <c r="G36" s="770" t="s">
        <v>482</v>
      </c>
      <c r="H36" s="1733" t="s">
        <v>2124</v>
      </c>
      <c r="I36" s="771" t="s">
        <v>132</v>
      </c>
      <c r="J36" s="771">
        <v>1110.0</v>
      </c>
      <c r="K36" s="771" t="s">
        <v>133</v>
      </c>
      <c r="L36" s="139">
        <v>1128.0</v>
      </c>
      <c r="M36" s="852" t="str">
        <f>IFERROR(VLOOKUP(B33:B223,'RELATÓRIO ACC'!B:F,5,FALSE),"N/A")</f>
        <v>N/A</v>
      </c>
      <c r="N36" s="1197" t="str">
        <f>IFERROR(VLOOKUP(B33:B223,'RELATÓRIO ACC'!B:P,15,FALSE),"N/A")</f>
        <v>N/A</v>
      </c>
      <c r="O36" s="126" t="s">
        <v>498</v>
      </c>
      <c r="P36" s="857">
        <v>45930.0</v>
      </c>
      <c r="Q36" s="783" t="s">
        <v>129</v>
      </c>
      <c r="R36" s="746" t="s">
        <v>477</v>
      </c>
      <c r="S36" s="766" t="s">
        <v>476</v>
      </c>
      <c r="T36" s="773">
        <v>0.48</v>
      </c>
      <c r="U36" s="746" t="s">
        <v>477</v>
      </c>
      <c r="V36" s="766" t="s">
        <v>476</v>
      </c>
      <c r="W36" s="773">
        <v>0.9</v>
      </c>
      <c r="X36" s="746" t="s">
        <v>477</v>
      </c>
      <c r="Y36" s="759" t="s">
        <v>476</v>
      </c>
      <c r="Z36" s="773">
        <v>0.97</v>
      </c>
      <c r="AA36" s="774" t="s">
        <v>484</v>
      </c>
      <c r="AB36" s="775" t="s">
        <v>476</v>
      </c>
      <c r="AC36" s="768">
        <v>1.0</v>
      </c>
      <c r="AD36" s="776" t="s">
        <v>484</v>
      </c>
      <c r="AE36" s="777" t="s">
        <v>476</v>
      </c>
      <c r="AF36" s="778">
        <v>1.0</v>
      </c>
      <c r="AG36" s="68" t="s">
        <v>485</v>
      </c>
      <c r="AH36" s="779" t="s">
        <v>476</v>
      </c>
      <c r="AI36" s="135">
        <v>1.0</v>
      </c>
      <c r="AJ36" s="68" t="s">
        <v>485</v>
      </c>
      <c r="AK36" s="779" t="s">
        <v>476</v>
      </c>
      <c r="AL36" s="135">
        <v>1.0</v>
      </c>
      <c r="AM36" s="746" t="s">
        <v>477</v>
      </c>
      <c r="AN36" s="766" t="s">
        <v>476</v>
      </c>
      <c r="AO36" s="773">
        <v>0.48</v>
      </c>
      <c r="AP36" s="746" t="s">
        <v>477</v>
      </c>
      <c r="AQ36" s="766" t="s">
        <v>476</v>
      </c>
      <c r="AR36" s="773">
        <v>0.9</v>
      </c>
      <c r="AS36" s="746" t="s">
        <v>477</v>
      </c>
      <c r="AT36" s="759" t="s">
        <v>476</v>
      </c>
      <c r="AU36" s="773">
        <v>0.97</v>
      </c>
      <c r="AV36" s="774" t="s">
        <v>484</v>
      </c>
      <c r="AW36" s="775" t="s">
        <v>476</v>
      </c>
      <c r="AX36" s="768">
        <v>1.0</v>
      </c>
      <c r="AY36" s="68" t="s">
        <v>484</v>
      </c>
      <c r="AZ36" s="779" t="s">
        <v>476</v>
      </c>
      <c r="BA36" s="135">
        <v>1.0</v>
      </c>
      <c r="BB36" s="68" t="s">
        <v>485</v>
      </c>
      <c r="BC36" s="779" t="s">
        <v>476</v>
      </c>
      <c r="BD36" s="135">
        <v>1.0</v>
      </c>
      <c r="BE36" s="68" t="s">
        <v>485</v>
      </c>
      <c r="BF36" s="779" t="s">
        <v>476</v>
      </c>
      <c r="BG36" s="135">
        <v>1.0</v>
      </c>
      <c r="BH36" s="1204" t="s">
        <v>477</v>
      </c>
      <c r="BI36" s="791" t="s">
        <v>476</v>
      </c>
      <c r="BJ36" s="1207">
        <v>0.8</v>
      </c>
      <c r="BK36" s="763" t="s">
        <v>477</v>
      </c>
      <c r="BL36" s="791" t="s">
        <v>476</v>
      </c>
      <c r="BM36" s="135">
        <v>0.93</v>
      </c>
      <c r="BN36" s="763" t="s">
        <v>477</v>
      </c>
      <c r="BO36" s="791" t="s">
        <v>476</v>
      </c>
      <c r="BP36" s="135">
        <v>0.93</v>
      </c>
      <c r="BQ36" s="68" t="s">
        <v>708</v>
      </c>
      <c r="BR36" s="1723" t="s">
        <v>462</v>
      </c>
      <c r="BS36" s="125" t="s">
        <v>462</v>
      </c>
      <c r="BT36" s="147" t="s">
        <v>462</v>
      </c>
      <c r="BU36" s="1724" t="s">
        <v>462</v>
      </c>
      <c r="BV36" s="125" t="s">
        <v>462</v>
      </c>
      <c r="BW36" s="147" t="s">
        <v>462</v>
      </c>
      <c r="BX36" s="1734" t="s">
        <v>462</v>
      </c>
      <c r="BY36" s="111" t="s">
        <v>462</v>
      </c>
      <c r="BZ36" s="1735" t="s">
        <v>462</v>
      </c>
      <c r="CA36" s="1736" t="s">
        <v>462</v>
      </c>
      <c r="CB36" s="111" t="s">
        <v>462</v>
      </c>
      <c r="CC36" s="1737" t="s">
        <v>462</v>
      </c>
      <c r="CD36" s="1736" t="s">
        <v>462</v>
      </c>
      <c r="CE36" s="111" t="s">
        <v>462</v>
      </c>
      <c r="CF36" s="1737" t="s">
        <v>462</v>
      </c>
      <c r="CG36" s="111"/>
      <c r="CH36" s="111"/>
      <c r="CI36" s="111"/>
    </row>
    <row r="37" ht="15.0" customHeight="1" outlineLevel="1">
      <c r="A37" s="60">
        <v>32.0</v>
      </c>
      <c r="B37" s="747" t="str">
        <f t="shared" si="2"/>
        <v>CPQ11-ARCH-SHLV-DATA-R22.rvt</v>
      </c>
      <c r="C37" s="60">
        <v>32.0</v>
      </c>
      <c r="D37" s="74" t="s">
        <v>2122</v>
      </c>
      <c r="E37" s="74" t="s">
        <v>2145</v>
      </c>
      <c r="F37" s="71" t="s">
        <v>85</v>
      </c>
      <c r="G37" s="74" t="s">
        <v>482</v>
      </c>
      <c r="H37" s="1713" t="s">
        <v>2124</v>
      </c>
      <c r="I37" s="138" t="s">
        <v>162</v>
      </c>
      <c r="J37" s="125" t="s">
        <v>162</v>
      </c>
      <c r="K37" s="147" t="s">
        <v>162</v>
      </c>
      <c r="L37" s="150"/>
      <c r="M37" s="746" t="str">
        <f>IFERROR(VLOOKUP(B34:B224,'RELATÓRIO ACC'!B:F,5,FALSE),"N/A")</f>
        <v>N/A</v>
      </c>
      <c r="N37" s="748" t="str">
        <f>IFERROR(VLOOKUP(B34:B224,'RELATÓRIO ACC'!B:P,15,FALSE),"N/A")</f>
        <v>N/A</v>
      </c>
      <c r="O37" s="141" t="s">
        <v>507</v>
      </c>
      <c r="P37" s="756" t="s">
        <v>2146</v>
      </c>
      <c r="Q37" s="751"/>
      <c r="R37" s="746" t="s">
        <v>466</v>
      </c>
      <c r="S37" s="74" t="s">
        <v>462</v>
      </c>
      <c r="T37" s="749" t="s">
        <v>462</v>
      </c>
      <c r="U37" s="746" t="s">
        <v>466</v>
      </c>
      <c r="V37" s="74" t="s">
        <v>462</v>
      </c>
      <c r="W37" s="749" t="s">
        <v>462</v>
      </c>
      <c r="X37" s="746" t="s">
        <v>466</v>
      </c>
      <c r="Y37" s="74" t="s">
        <v>462</v>
      </c>
      <c r="Z37" s="749" t="s">
        <v>462</v>
      </c>
      <c r="AA37" s="746" t="s">
        <v>477</v>
      </c>
      <c r="AB37" s="786" t="s">
        <v>476</v>
      </c>
      <c r="AC37" s="768">
        <v>0.67</v>
      </c>
      <c r="AD37" s="755" t="s">
        <v>477</v>
      </c>
      <c r="AE37" s="786" t="s">
        <v>476</v>
      </c>
      <c r="AF37" s="768">
        <v>0.5</v>
      </c>
      <c r="AG37" s="1176" t="s">
        <v>477</v>
      </c>
      <c r="AH37" s="786" t="s">
        <v>476</v>
      </c>
      <c r="AI37" s="768">
        <v>0.92</v>
      </c>
      <c r="AJ37" s="755" t="s">
        <v>478</v>
      </c>
      <c r="AK37" s="76">
        <v>0.0</v>
      </c>
      <c r="AL37" s="750">
        <v>0.0</v>
      </c>
      <c r="AM37" s="746" t="s">
        <v>466</v>
      </c>
      <c r="AN37" s="74" t="s">
        <v>462</v>
      </c>
      <c r="AO37" s="749" t="s">
        <v>462</v>
      </c>
      <c r="AP37" s="746" t="s">
        <v>466</v>
      </c>
      <c r="AQ37" s="74" t="s">
        <v>462</v>
      </c>
      <c r="AR37" s="749" t="s">
        <v>462</v>
      </c>
      <c r="AS37" s="746" t="s">
        <v>466</v>
      </c>
      <c r="AT37" s="74" t="s">
        <v>462</v>
      </c>
      <c r="AU37" s="749" t="s">
        <v>462</v>
      </c>
      <c r="AV37" s="746" t="s">
        <v>462</v>
      </c>
      <c r="AW37" s="76" t="s">
        <v>462</v>
      </c>
      <c r="AX37" s="750" t="s">
        <v>462</v>
      </c>
      <c r="AY37" s="746" t="s">
        <v>462</v>
      </c>
      <c r="AZ37" s="76" t="s">
        <v>462</v>
      </c>
      <c r="BA37" s="1041" t="s">
        <v>462</v>
      </c>
      <c r="BB37" s="746" t="s">
        <v>462</v>
      </c>
      <c r="BC37" s="76" t="s">
        <v>462</v>
      </c>
      <c r="BD37" s="1041" t="s">
        <v>462</v>
      </c>
      <c r="BE37" s="746" t="s">
        <v>462</v>
      </c>
      <c r="BF37" s="76" t="s">
        <v>462</v>
      </c>
      <c r="BG37" s="1041" t="s">
        <v>462</v>
      </c>
      <c r="BH37" s="746" t="s">
        <v>462</v>
      </c>
      <c r="BI37" s="74" t="s">
        <v>462</v>
      </c>
      <c r="BJ37" s="1037" t="s">
        <v>462</v>
      </c>
      <c r="BK37" s="746" t="s">
        <v>462</v>
      </c>
      <c r="BL37" s="74" t="s">
        <v>462</v>
      </c>
      <c r="BM37" s="1037" t="s">
        <v>462</v>
      </c>
      <c r="BN37" s="746" t="s">
        <v>462</v>
      </c>
      <c r="BO37" s="74" t="s">
        <v>462</v>
      </c>
      <c r="BP37" s="1037" t="s">
        <v>462</v>
      </c>
      <c r="BQ37" s="126"/>
      <c r="BR37" s="138" t="s">
        <v>462</v>
      </c>
      <c r="BS37" s="125" t="s">
        <v>462</v>
      </c>
      <c r="BT37" s="749" t="s">
        <v>462</v>
      </c>
      <c r="BU37" s="1724" t="s">
        <v>462</v>
      </c>
      <c r="BV37" s="125" t="s">
        <v>462</v>
      </c>
      <c r="BW37" s="749" t="s">
        <v>462</v>
      </c>
      <c r="BX37" s="1725" t="s">
        <v>462</v>
      </c>
      <c r="BY37" s="125" t="s">
        <v>462</v>
      </c>
      <c r="BZ37" s="1726" t="s">
        <v>462</v>
      </c>
      <c r="CA37" s="1723" t="s">
        <v>462</v>
      </c>
      <c r="CB37" s="125" t="s">
        <v>462</v>
      </c>
      <c r="CC37" s="1727" t="s">
        <v>462</v>
      </c>
      <c r="CD37" s="1723" t="s">
        <v>462</v>
      </c>
      <c r="CE37" s="125" t="s">
        <v>462</v>
      </c>
      <c r="CF37" s="1727" t="s">
        <v>462</v>
      </c>
      <c r="CG37" s="111"/>
      <c r="CH37" s="111"/>
      <c r="CI37" s="111"/>
    </row>
    <row r="38" ht="15.0" customHeight="1" outlineLevel="1">
      <c r="A38" s="60">
        <v>14.0</v>
      </c>
      <c r="B38" s="747" t="str">
        <f t="shared" si="2"/>
        <v>CPQ11-ARCH-WMES-DATA-R22.rvt</v>
      </c>
      <c r="C38" s="60">
        <v>14.0</v>
      </c>
      <c r="D38" s="74" t="s">
        <v>2122</v>
      </c>
      <c r="E38" s="1712" t="s">
        <v>2147</v>
      </c>
      <c r="F38" s="71" t="s">
        <v>85</v>
      </c>
      <c r="G38" s="71" t="s">
        <v>482</v>
      </c>
      <c r="H38" s="1713" t="s">
        <v>2124</v>
      </c>
      <c r="I38" s="138" t="s">
        <v>100</v>
      </c>
      <c r="J38" s="72">
        <v>1104.0</v>
      </c>
      <c r="K38" s="139" t="s">
        <v>101</v>
      </c>
      <c r="L38" s="139">
        <v>1127.0</v>
      </c>
      <c r="M38" s="746" t="str">
        <f>IFERROR(VLOOKUP(B35:B225,'RELATÓRIO ACC'!B:F,5,FALSE),"N/A")</f>
        <v>N/A</v>
      </c>
      <c r="N38" s="748" t="str">
        <f>IFERROR(VLOOKUP(B35:B225,'RELATÓRIO ACC'!B:P,15,FALSE),"N/A")</f>
        <v>N/A</v>
      </c>
      <c r="O38" s="141" t="s">
        <v>508</v>
      </c>
      <c r="P38" s="756" t="s">
        <v>2148</v>
      </c>
      <c r="Q38" s="751" t="s">
        <v>102</v>
      </c>
      <c r="R38" s="746" t="s">
        <v>477</v>
      </c>
      <c r="S38" s="766" t="s">
        <v>476</v>
      </c>
      <c r="T38" s="773">
        <v>0.78</v>
      </c>
      <c r="U38" s="746" t="s">
        <v>484</v>
      </c>
      <c r="V38" s="766" t="s">
        <v>476</v>
      </c>
      <c r="W38" s="773">
        <v>1.0</v>
      </c>
      <c r="X38" s="746" t="s">
        <v>484</v>
      </c>
      <c r="Y38" s="766" t="s">
        <v>476</v>
      </c>
      <c r="Z38" s="773">
        <v>1.0</v>
      </c>
      <c r="AA38" s="746" t="s">
        <v>484</v>
      </c>
      <c r="AB38" s="766" t="s">
        <v>476</v>
      </c>
      <c r="AC38" s="762">
        <v>1.0</v>
      </c>
      <c r="AD38" s="746" t="s">
        <v>484</v>
      </c>
      <c r="AE38" s="766" t="s">
        <v>476</v>
      </c>
      <c r="AF38" s="762">
        <v>1.0</v>
      </c>
      <c r="AG38" s="746" t="s">
        <v>485</v>
      </c>
      <c r="AH38" s="766" t="s">
        <v>476</v>
      </c>
      <c r="AI38" s="762">
        <v>1.0</v>
      </c>
      <c r="AJ38" s="746" t="s">
        <v>485</v>
      </c>
      <c r="AK38" s="766" t="s">
        <v>476</v>
      </c>
      <c r="AL38" s="762">
        <v>1.0</v>
      </c>
      <c r="AM38" s="746" t="s">
        <v>477</v>
      </c>
      <c r="AN38" s="766" t="s">
        <v>476</v>
      </c>
      <c r="AO38" s="773">
        <v>0.78</v>
      </c>
      <c r="AP38" s="746" t="s">
        <v>484</v>
      </c>
      <c r="AQ38" s="766" t="s">
        <v>476</v>
      </c>
      <c r="AR38" s="773">
        <v>1.0</v>
      </c>
      <c r="AS38" s="746" t="s">
        <v>484</v>
      </c>
      <c r="AT38" s="766" t="s">
        <v>476</v>
      </c>
      <c r="AU38" s="773">
        <v>1.0</v>
      </c>
      <c r="AV38" s="746" t="s">
        <v>484</v>
      </c>
      <c r="AW38" s="766" t="s">
        <v>476</v>
      </c>
      <c r="AX38" s="762">
        <v>1.0</v>
      </c>
      <c r="AY38" s="746" t="s">
        <v>484</v>
      </c>
      <c r="AZ38" s="766" t="s">
        <v>476</v>
      </c>
      <c r="BA38" s="773">
        <v>1.0</v>
      </c>
      <c r="BB38" s="746" t="s">
        <v>485</v>
      </c>
      <c r="BC38" s="766" t="s">
        <v>476</v>
      </c>
      <c r="BD38" s="773">
        <v>1.0</v>
      </c>
      <c r="BE38" s="746" t="s">
        <v>485</v>
      </c>
      <c r="BF38" s="766" t="s">
        <v>476</v>
      </c>
      <c r="BG38" s="773">
        <v>1.0</v>
      </c>
      <c r="BH38" s="746" t="s">
        <v>477</v>
      </c>
      <c r="BI38" s="759" t="s">
        <v>476</v>
      </c>
      <c r="BJ38" s="1057">
        <v>0.62</v>
      </c>
      <c r="BK38" s="755" t="s">
        <v>478</v>
      </c>
      <c r="BL38" s="74">
        <v>0.0</v>
      </c>
      <c r="BM38" s="1037">
        <v>0.0</v>
      </c>
      <c r="BN38" s="755" t="s">
        <v>478</v>
      </c>
      <c r="BO38" s="74">
        <v>0.0</v>
      </c>
      <c r="BP38" s="1037">
        <v>0.0</v>
      </c>
      <c r="BQ38" s="126" t="s">
        <v>708</v>
      </c>
      <c r="BR38" s="1723" t="s">
        <v>462</v>
      </c>
      <c r="BS38" s="125" t="s">
        <v>462</v>
      </c>
      <c r="BT38" s="147" t="s">
        <v>462</v>
      </c>
      <c r="BU38" s="1724" t="s">
        <v>462</v>
      </c>
      <c r="BV38" s="74" t="s">
        <v>462</v>
      </c>
      <c r="BW38" s="147" t="s">
        <v>462</v>
      </c>
      <c r="BX38" s="1724" t="s">
        <v>462</v>
      </c>
      <c r="BY38" s="125" t="s">
        <v>462</v>
      </c>
      <c r="BZ38" s="1726" t="s">
        <v>462</v>
      </c>
      <c r="CA38" s="1724" t="s">
        <v>462</v>
      </c>
      <c r="CB38" s="125" t="s">
        <v>462</v>
      </c>
      <c r="CC38" s="1727" t="s">
        <v>462</v>
      </c>
      <c r="CD38" s="1724" t="s">
        <v>462</v>
      </c>
      <c r="CE38" s="125" t="s">
        <v>462</v>
      </c>
      <c r="CF38" s="1727" t="s">
        <v>462</v>
      </c>
      <c r="CG38" s="111"/>
      <c r="CH38" s="111"/>
      <c r="CI38" s="111"/>
    </row>
    <row r="39" ht="15.0" customHeight="1">
      <c r="A39" s="60">
        <v>52.0</v>
      </c>
      <c r="B39" s="1203" t="str">
        <f t="shared" si="2"/>
        <v>CPQ11-BASM-DEVS-DATA-R22.rvt</v>
      </c>
      <c r="C39" s="60">
        <v>52.0</v>
      </c>
      <c r="D39" s="126" t="s">
        <v>2149</v>
      </c>
      <c r="E39" s="126" t="s">
        <v>2150</v>
      </c>
      <c r="F39" s="770" t="s">
        <v>85</v>
      </c>
      <c r="G39" s="126" t="s">
        <v>482</v>
      </c>
      <c r="H39" s="1733" t="s">
        <v>2124</v>
      </c>
      <c r="I39" s="771" t="s">
        <v>180</v>
      </c>
      <c r="J39" s="771">
        <v>1114.0</v>
      </c>
      <c r="K39" s="771" t="s">
        <v>180</v>
      </c>
      <c r="L39" s="139">
        <v>1114.0</v>
      </c>
      <c r="M39" s="852" t="str">
        <f>IFERROR(VLOOKUP(B36:B226,'RELATÓRIO ACC'!B:F,5,FALSE),"N/A")</f>
        <v>N/A</v>
      </c>
      <c r="N39" s="1197" t="str">
        <f>IFERROR(VLOOKUP(B36:B226,'RELATÓRIO ACC'!B:P,15,FALSE),"N/A")</f>
        <v>N/A</v>
      </c>
      <c r="O39" s="126" t="s">
        <v>500</v>
      </c>
      <c r="P39" s="772">
        <v>45869.0</v>
      </c>
      <c r="Q39" s="844" t="s">
        <v>87</v>
      </c>
      <c r="R39" s="746" t="s">
        <v>477</v>
      </c>
      <c r="S39" s="766" t="s">
        <v>476</v>
      </c>
      <c r="T39" s="773">
        <v>0.63</v>
      </c>
      <c r="U39" s="746" t="s">
        <v>477</v>
      </c>
      <c r="V39" s="766" t="s">
        <v>476</v>
      </c>
      <c r="W39" s="1738">
        <v>0.93</v>
      </c>
      <c r="X39" s="746" t="s">
        <v>477</v>
      </c>
      <c r="Y39" s="780" t="s">
        <v>476</v>
      </c>
      <c r="Z39" s="781">
        <v>0.93</v>
      </c>
      <c r="AA39" s="774" t="s">
        <v>484</v>
      </c>
      <c r="AB39" s="775" t="s">
        <v>476</v>
      </c>
      <c r="AC39" s="768">
        <v>1.0</v>
      </c>
      <c r="AD39" s="776" t="s">
        <v>484</v>
      </c>
      <c r="AE39" s="777" t="s">
        <v>476</v>
      </c>
      <c r="AF39" s="778">
        <v>1.0</v>
      </c>
      <c r="AG39" s="68" t="s">
        <v>485</v>
      </c>
      <c r="AH39" s="779" t="s">
        <v>476</v>
      </c>
      <c r="AI39" s="135">
        <v>1.0</v>
      </c>
      <c r="AJ39" s="68" t="s">
        <v>485</v>
      </c>
      <c r="AK39" s="779" t="s">
        <v>476</v>
      </c>
      <c r="AL39" s="135">
        <v>1.0</v>
      </c>
      <c r="AM39" s="746" t="s">
        <v>477</v>
      </c>
      <c r="AN39" s="766" t="s">
        <v>476</v>
      </c>
      <c r="AO39" s="773">
        <v>0.69</v>
      </c>
      <c r="AP39" s="746" t="s">
        <v>477</v>
      </c>
      <c r="AQ39" s="766" t="s">
        <v>476</v>
      </c>
      <c r="AR39" s="773">
        <v>0.87</v>
      </c>
      <c r="AS39" s="746" t="s">
        <v>484</v>
      </c>
      <c r="AT39" s="766" t="s">
        <v>476</v>
      </c>
      <c r="AU39" s="773">
        <v>1.0</v>
      </c>
      <c r="AV39" s="774" t="s">
        <v>484</v>
      </c>
      <c r="AW39" s="775" t="s">
        <v>476</v>
      </c>
      <c r="AX39" s="768">
        <v>1.0</v>
      </c>
      <c r="AY39" s="68" t="s">
        <v>484</v>
      </c>
      <c r="AZ39" s="779" t="s">
        <v>476</v>
      </c>
      <c r="BA39" s="135">
        <v>1.0</v>
      </c>
      <c r="BB39" s="68" t="s">
        <v>485</v>
      </c>
      <c r="BC39" s="779" t="s">
        <v>476</v>
      </c>
      <c r="BD39" s="135">
        <v>1.0</v>
      </c>
      <c r="BE39" s="68" t="s">
        <v>485</v>
      </c>
      <c r="BF39" s="779" t="s">
        <v>476</v>
      </c>
      <c r="BG39" s="135">
        <v>1.0</v>
      </c>
      <c r="BH39" s="1204" t="s">
        <v>477</v>
      </c>
      <c r="BI39" s="791" t="s">
        <v>476</v>
      </c>
      <c r="BJ39" s="1207">
        <v>0.76</v>
      </c>
      <c r="BK39" s="763" t="s">
        <v>478</v>
      </c>
      <c r="BL39" s="68">
        <v>0.0</v>
      </c>
      <c r="BM39" s="68">
        <v>0.0</v>
      </c>
      <c r="BN39" s="763" t="s">
        <v>478</v>
      </c>
      <c r="BO39" s="68">
        <v>0.0</v>
      </c>
      <c r="BP39" s="68">
        <v>0.0</v>
      </c>
      <c r="BQ39" s="68" t="s">
        <v>91</v>
      </c>
      <c r="BR39" s="1723" t="s">
        <v>462</v>
      </c>
      <c r="BS39" s="125" t="s">
        <v>462</v>
      </c>
      <c r="BT39" s="147" t="s">
        <v>462</v>
      </c>
      <c r="BU39" s="1724" t="s">
        <v>462</v>
      </c>
      <c r="BV39" s="125" t="s">
        <v>462</v>
      </c>
      <c r="BW39" s="147" t="s">
        <v>462</v>
      </c>
      <c r="BX39" s="1734" t="s">
        <v>462</v>
      </c>
      <c r="BY39" s="111" t="s">
        <v>462</v>
      </c>
      <c r="BZ39" s="1735" t="s">
        <v>462</v>
      </c>
      <c r="CA39" s="1736" t="s">
        <v>462</v>
      </c>
      <c r="CB39" s="111" t="s">
        <v>462</v>
      </c>
      <c r="CC39" s="1737" t="s">
        <v>462</v>
      </c>
      <c r="CD39" s="1736" t="s">
        <v>462</v>
      </c>
      <c r="CE39" s="111" t="s">
        <v>462</v>
      </c>
      <c r="CF39" s="1737" t="s">
        <v>462</v>
      </c>
      <c r="CG39" s="111"/>
      <c r="CH39" s="111"/>
      <c r="CI39" s="111"/>
    </row>
    <row r="40" ht="15.0" customHeight="1" outlineLevel="1">
      <c r="A40" s="60">
        <v>51.0</v>
      </c>
      <c r="B40" s="747" t="str">
        <f t="shared" si="2"/>
        <v>CPQ11-BASM-DEVS-PUMP-R22.rvt</v>
      </c>
      <c r="C40" s="60">
        <v>51.0</v>
      </c>
      <c r="D40" s="74" t="s">
        <v>2149</v>
      </c>
      <c r="E40" s="74" t="s">
        <v>2150</v>
      </c>
      <c r="F40" s="71" t="s">
        <v>200</v>
      </c>
      <c r="G40" s="74" t="s">
        <v>482</v>
      </c>
      <c r="H40" s="1713" t="s">
        <v>2124</v>
      </c>
      <c r="I40" s="146" t="s">
        <v>180</v>
      </c>
      <c r="J40" s="72">
        <v>1114.0</v>
      </c>
      <c r="K40" s="139" t="s">
        <v>180</v>
      </c>
      <c r="L40" s="139">
        <v>1114.0</v>
      </c>
      <c r="M40" s="746" t="str">
        <f>IFERROR(VLOOKUP(B37:B227,'RELATÓRIO ACC'!B:F,5,FALSE),"N/A")</f>
        <v>N/A</v>
      </c>
      <c r="N40" s="748" t="str">
        <f>IFERROR(VLOOKUP(B37:B227,'RELATÓRIO ACC'!B:P,15,FALSE),"N/A")</f>
        <v>N/A</v>
      </c>
      <c r="O40" s="141" t="s">
        <v>489</v>
      </c>
      <c r="P40" s="1038">
        <v>45896.0</v>
      </c>
      <c r="Q40" s="751" t="s">
        <v>129</v>
      </c>
      <c r="R40" s="746" t="s">
        <v>462</v>
      </c>
      <c r="S40" s="74" t="s">
        <v>462</v>
      </c>
      <c r="T40" s="749" t="s">
        <v>462</v>
      </c>
      <c r="U40" s="746" t="s">
        <v>462</v>
      </c>
      <c r="V40" s="74" t="s">
        <v>462</v>
      </c>
      <c r="W40" s="749" t="s">
        <v>462</v>
      </c>
      <c r="X40" s="746" t="s">
        <v>462</v>
      </c>
      <c r="Y40" s="74" t="s">
        <v>462</v>
      </c>
      <c r="Z40" s="749" t="s">
        <v>462</v>
      </c>
      <c r="AA40" s="746" t="s">
        <v>462</v>
      </c>
      <c r="AB40" s="74" t="s">
        <v>462</v>
      </c>
      <c r="AC40" s="750" t="s">
        <v>462</v>
      </c>
      <c r="AD40" s="746" t="s">
        <v>462</v>
      </c>
      <c r="AE40" s="74" t="s">
        <v>462</v>
      </c>
      <c r="AF40" s="1730" t="s">
        <v>462</v>
      </c>
      <c r="AG40" s="746" t="s">
        <v>462</v>
      </c>
      <c r="AH40" s="74" t="s">
        <v>462</v>
      </c>
      <c r="AI40" s="753" t="s">
        <v>462</v>
      </c>
      <c r="AJ40" s="746" t="s">
        <v>462</v>
      </c>
      <c r="AK40" s="74" t="s">
        <v>462</v>
      </c>
      <c r="AL40" s="749" t="s">
        <v>462</v>
      </c>
      <c r="AM40" s="746" t="s">
        <v>462</v>
      </c>
      <c r="AN40" s="74" t="s">
        <v>462</v>
      </c>
      <c r="AO40" s="749" t="s">
        <v>462</v>
      </c>
      <c r="AP40" s="746" t="s">
        <v>462</v>
      </c>
      <c r="AQ40" s="74" t="s">
        <v>462</v>
      </c>
      <c r="AR40" s="749" t="s">
        <v>462</v>
      </c>
      <c r="AS40" s="746" t="s">
        <v>462</v>
      </c>
      <c r="AT40" s="74" t="s">
        <v>462</v>
      </c>
      <c r="AU40" s="749" t="s">
        <v>462</v>
      </c>
      <c r="AV40" s="746" t="s">
        <v>462</v>
      </c>
      <c r="AW40" s="74" t="s">
        <v>462</v>
      </c>
      <c r="AX40" s="750" t="s">
        <v>462</v>
      </c>
      <c r="AY40" s="746" t="s">
        <v>462</v>
      </c>
      <c r="AZ40" s="74" t="s">
        <v>462</v>
      </c>
      <c r="BA40" s="1041" t="s">
        <v>462</v>
      </c>
      <c r="BB40" s="746" t="s">
        <v>462</v>
      </c>
      <c r="BC40" s="74" t="s">
        <v>462</v>
      </c>
      <c r="BD40" s="1041" t="s">
        <v>462</v>
      </c>
      <c r="BE40" s="746" t="s">
        <v>462</v>
      </c>
      <c r="BF40" s="74" t="s">
        <v>462</v>
      </c>
      <c r="BG40" s="1041" t="s">
        <v>462</v>
      </c>
      <c r="BH40" s="746" t="s">
        <v>462</v>
      </c>
      <c r="BI40" s="74" t="s">
        <v>462</v>
      </c>
      <c r="BJ40" s="1037" t="s">
        <v>462</v>
      </c>
      <c r="BK40" s="746" t="s">
        <v>462</v>
      </c>
      <c r="BL40" s="74" t="s">
        <v>462</v>
      </c>
      <c r="BM40" s="753" t="s">
        <v>462</v>
      </c>
      <c r="BN40" s="746" t="s">
        <v>462</v>
      </c>
      <c r="BO40" s="74" t="s">
        <v>462</v>
      </c>
      <c r="BP40" s="1037" t="s">
        <v>462</v>
      </c>
      <c r="BQ40" s="126"/>
      <c r="BR40" s="141" t="s">
        <v>477</v>
      </c>
      <c r="BS40" s="759" t="s">
        <v>476</v>
      </c>
      <c r="BT40" s="773">
        <v>0.84</v>
      </c>
      <c r="BU40" s="746" t="s">
        <v>484</v>
      </c>
      <c r="BV40" s="766" t="s">
        <v>476</v>
      </c>
      <c r="BW40" s="773">
        <v>1.0</v>
      </c>
      <c r="BX40" s="1729" t="s">
        <v>484</v>
      </c>
      <c r="BY40" s="766" t="s">
        <v>476</v>
      </c>
      <c r="BZ40" s="762">
        <v>1.0</v>
      </c>
      <c r="CA40" s="141" t="s">
        <v>485</v>
      </c>
      <c r="CB40" s="766" t="s">
        <v>476</v>
      </c>
      <c r="CC40" s="1387">
        <v>1.0</v>
      </c>
      <c r="CD40" s="141" t="s">
        <v>485</v>
      </c>
      <c r="CE40" s="766" t="s">
        <v>476</v>
      </c>
      <c r="CF40" s="1387">
        <v>1.0</v>
      </c>
      <c r="CG40" s="135"/>
      <c r="CH40" s="135"/>
      <c r="CI40" s="135"/>
    </row>
    <row r="41" ht="13.5" customHeight="1">
      <c r="A41" s="60">
        <v>48.0</v>
      </c>
      <c r="B41" s="1203" t="str">
        <f t="shared" si="2"/>
        <v>CPQ11-BASM-INFR-DATA-R22.rvt</v>
      </c>
      <c r="C41" s="60">
        <v>48.0</v>
      </c>
      <c r="D41" s="126" t="s">
        <v>2149</v>
      </c>
      <c r="E41" s="126" t="s">
        <v>2151</v>
      </c>
      <c r="F41" s="770" t="s">
        <v>85</v>
      </c>
      <c r="G41" s="126" t="s">
        <v>482</v>
      </c>
      <c r="H41" s="1733" t="s">
        <v>2124</v>
      </c>
      <c r="I41" s="771" t="s">
        <v>169</v>
      </c>
      <c r="J41" s="771">
        <v>1112.0</v>
      </c>
      <c r="K41" s="771" t="s">
        <v>170</v>
      </c>
      <c r="L41" s="139">
        <v>1129.0</v>
      </c>
      <c r="M41" s="852" t="str">
        <f>IFERROR(VLOOKUP(B38:B228,'RELATÓRIO ACC'!B:F,5,FALSE),"N/A")</f>
        <v>N/A</v>
      </c>
      <c r="N41" s="1197" t="str">
        <f>IFERROR(VLOOKUP(B38:B228,'RELATÓRIO ACC'!B:P,15,FALSE),"N/A")</f>
        <v>N/A</v>
      </c>
      <c r="O41" s="126" t="s">
        <v>1475</v>
      </c>
      <c r="P41" s="857">
        <v>45863.0</v>
      </c>
      <c r="Q41" s="751" t="s">
        <v>102</v>
      </c>
      <c r="R41" s="746" t="s">
        <v>477</v>
      </c>
      <c r="S41" s="766" t="s">
        <v>476</v>
      </c>
      <c r="T41" s="773">
        <v>0.52</v>
      </c>
      <c r="U41" s="746" t="s">
        <v>477</v>
      </c>
      <c r="V41" s="766" t="s">
        <v>476</v>
      </c>
      <c r="W41" s="773">
        <v>0.94</v>
      </c>
      <c r="X41" s="68" t="s">
        <v>484</v>
      </c>
      <c r="Y41" s="766" t="s">
        <v>476</v>
      </c>
      <c r="Z41" s="784">
        <v>1.0</v>
      </c>
      <c r="AA41" s="774" t="s">
        <v>484</v>
      </c>
      <c r="AB41" s="775" t="s">
        <v>476</v>
      </c>
      <c r="AC41" s="768">
        <v>1.0</v>
      </c>
      <c r="AD41" s="776" t="s">
        <v>484</v>
      </c>
      <c r="AE41" s="777" t="s">
        <v>476</v>
      </c>
      <c r="AF41" s="778">
        <v>1.0</v>
      </c>
      <c r="AG41" s="68" t="s">
        <v>485</v>
      </c>
      <c r="AH41" s="779" t="s">
        <v>476</v>
      </c>
      <c r="AI41" s="135">
        <v>1.0</v>
      </c>
      <c r="AJ41" s="68" t="s">
        <v>485</v>
      </c>
      <c r="AK41" s="779" t="s">
        <v>476</v>
      </c>
      <c r="AL41" s="135">
        <v>1.0</v>
      </c>
      <c r="AM41" s="746" t="s">
        <v>477</v>
      </c>
      <c r="AN41" s="766" t="s">
        <v>476</v>
      </c>
      <c r="AO41" s="773">
        <v>0.5</v>
      </c>
      <c r="AP41" s="746" t="s">
        <v>477</v>
      </c>
      <c r="AQ41" s="766" t="s">
        <v>476</v>
      </c>
      <c r="AR41" s="773">
        <v>0.95</v>
      </c>
      <c r="AS41" s="746" t="s">
        <v>484</v>
      </c>
      <c r="AT41" s="766" t="s">
        <v>476</v>
      </c>
      <c r="AU41" s="773">
        <v>1.0</v>
      </c>
      <c r="AV41" s="774" t="s">
        <v>484</v>
      </c>
      <c r="AW41" s="775" t="s">
        <v>476</v>
      </c>
      <c r="AX41" s="768">
        <v>1.0</v>
      </c>
      <c r="AY41" s="68" t="s">
        <v>484</v>
      </c>
      <c r="AZ41" s="779" t="s">
        <v>476</v>
      </c>
      <c r="BA41" s="1207">
        <v>1.0</v>
      </c>
      <c r="BB41" s="68" t="s">
        <v>485</v>
      </c>
      <c r="BC41" s="779" t="s">
        <v>476</v>
      </c>
      <c r="BD41" s="1207">
        <v>1.0</v>
      </c>
      <c r="BE41" s="68" t="s">
        <v>485</v>
      </c>
      <c r="BF41" s="779" t="s">
        <v>476</v>
      </c>
      <c r="BG41" s="1207">
        <v>1.0</v>
      </c>
      <c r="BH41" s="68" t="s">
        <v>477</v>
      </c>
      <c r="BI41" s="791" t="s">
        <v>476</v>
      </c>
      <c r="BJ41" s="1207">
        <v>0.44</v>
      </c>
      <c r="BK41" s="763" t="s">
        <v>478</v>
      </c>
      <c r="BL41" s="68">
        <v>0.0</v>
      </c>
      <c r="BM41" s="68">
        <v>0.0</v>
      </c>
      <c r="BN41" s="763" t="s">
        <v>478</v>
      </c>
      <c r="BO41" s="68">
        <v>0.0</v>
      </c>
      <c r="BP41" s="68">
        <v>0.0</v>
      </c>
      <c r="BQ41" s="68" t="s">
        <v>708</v>
      </c>
      <c r="BR41" s="1723" t="s">
        <v>462</v>
      </c>
      <c r="BS41" s="125" t="s">
        <v>462</v>
      </c>
      <c r="BT41" s="147" t="s">
        <v>462</v>
      </c>
      <c r="BU41" s="1724" t="s">
        <v>462</v>
      </c>
      <c r="BV41" s="125" t="s">
        <v>462</v>
      </c>
      <c r="BW41" s="147" t="s">
        <v>462</v>
      </c>
      <c r="BX41" s="1734" t="s">
        <v>462</v>
      </c>
      <c r="BY41" s="111" t="s">
        <v>462</v>
      </c>
      <c r="BZ41" s="1735" t="s">
        <v>462</v>
      </c>
      <c r="CA41" s="1736" t="s">
        <v>462</v>
      </c>
      <c r="CB41" s="111" t="s">
        <v>462</v>
      </c>
      <c r="CC41" s="1737" t="s">
        <v>462</v>
      </c>
      <c r="CD41" s="1736" t="s">
        <v>462</v>
      </c>
      <c r="CE41" s="111" t="s">
        <v>462</v>
      </c>
      <c r="CF41" s="1737" t="s">
        <v>462</v>
      </c>
      <c r="CG41" s="111"/>
      <c r="CH41" s="111"/>
      <c r="CI41" s="111"/>
    </row>
    <row r="42" ht="15.0" customHeight="1" outlineLevel="1">
      <c r="A42" s="60">
        <v>49.0</v>
      </c>
      <c r="B42" s="849" t="str">
        <f t="shared" si="2"/>
        <v>CPQ11-BASM-INFR-PUMP-R22.rvt</v>
      </c>
      <c r="C42" s="60">
        <v>49.0</v>
      </c>
      <c r="D42" s="74" t="s">
        <v>2149</v>
      </c>
      <c r="E42" s="74" t="s">
        <v>2151</v>
      </c>
      <c r="F42" s="71" t="s">
        <v>200</v>
      </c>
      <c r="G42" s="74" t="s">
        <v>482</v>
      </c>
      <c r="H42" s="1713" t="s">
        <v>2124</v>
      </c>
      <c r="I42" s="146" t="s">
        <v>169</v>
      </c>
      <c r="J42" s="72">
        <v>1112.0</v>
      </c>
      <c r="K42" s="139" t="s">
        <v>170</v>
      </c>
      <c r="L42" s="139">
        <v>1129.0</v>
      </c>
      <c r="M42" s="746" t="str">
        <f>IFERROR(VLOOKUP(B39:B229,'RELATÓRIO ACC'!B:F,5,FALSE),"N/A")</f>
        <v>N/A</v>
      </c>
      <c r="N42" s="748" t="str">
        <f>IFERROR(VLOOKUP(B39:B229,'RELATÓRIO ACC'!B:P,15,FALSE),"N/A")</f>
        <v>N/A</v>
      </c>
      <c r="O42" s="141" t="s">
        <v>481</v>
      </c>
      <c r="P42" s="1038">
        <v>45894.0</v>
      </c>
      <c r="Q42" s="751" t="s">
        <v>129</v>
      </c>
      <c r="R42" s="746" t="s">
        <v>462</v>
      </c>
      <c r="S42" s="74" t="s">
        <v>462</v>
      </c>
      <c r="T42" s="749" t="s">
        <v>462</v>
      </c>
      <c r="U42" s="746" t="s">
        <v>462</v>
      </c>
      <c r="V42" s="74" t="s">
        <v>462</v>
      </c>
      <c r="W42" s="749" t="s">
        <v>462</v>
      </c>
      <c r="X42" s="746" t="s">
        <v>462</v>
      </c>
      <c r="Y42" s="74" t="s">
        <v>462</v>
      </c>
      <c r="Z42" s="1739" t="s">
        <v>462</v>
      </c>
      <c r="AA42" s="746" t="s">
        <v>462</v>
      </c>
      <c r="AB42" s="74" t="s">
        <v>462</v>
      </c>
      <c r="AC42" s="750" t="s">
        <v>462</v>
      </c>
      <c r="AD42" s="746" t="s">
        <v>462</v>
      </c>
      <c r="AE42" s="74" t="s">
        <v>462</v>
      </c>
      <c r="AF42" s="750" t="s">
        <v>462</v>
      </c>
      <c r="AG42" s="746" t="s">
        <v>462</v>
      </c>
      <c r="AH42" s="74" t="s">
        <v>462</v>
      </c>
      <c r="AI42" s="750" t="s">
        <v>462</v>
      </c>
      <c r="AJ42" s="746" t="s">
        <v>462</v>
      </c>
      <c r="AK42" s="74" t="s">
        <v>462</v>
      </c>
      <c r="AL42" s="750" t="s">
        <v>462</v>
      </c>
      <c r="AM42" s="746" t="s">
        <v>462</v>
      </c>
      <c r="AN42" s="74" t="s">
        <v>462</v>
      </c>
      <c r="AO42" s="749" t="s">
        <v>462</v>
      </c>
      <c r="AP42" s="746" t="s">
        <v>462</v>
      </c>
      <c r="AQ42" s="74" t="s">
        <v>462</v>
      </c>
      <c r="AR42" s="749" t="s">
        <v>462</v>
      </c>
      <c r="AS42" s="746" t="s">
        <v>462</v>
      </c>
      <c r="AT42" s="74" t="s">
        <v>462</v>
      </c>
      <c r="AU42" s="749" t="s">
        <v>462</v>
      </c>
      <c r="AV42" s="746" t="s">
        <v>462</v>
      </c>
      <c r="AW42" s="74" t="s">
        <v>462</v>
      </c>
      <c r="AX42" s="750" t="s">
        <v>462</v>
      </c>
      <c r="AY42" s="746" t="s">
        <v>462</v>
      </c>
      <c r="AZ42" s="74" t="s">
        <v>462</v>
      </c>
      <c r="BA42" s="1740" t="s">
        <v>462</v>
      </c>
      <c r="BB42" s="746" t="s">
        <v>462</v>
      </c>
      <c r="BC42" s="74" t="s">
        <v>462</v>
      </c>
      <c r="BD42" s="1740" t="s">
        <v>462</v>
      </c>
      <c r="BE42" s="746" t="s">
        <v>462</v>
      </c>
      <c r="BF42" s="74" t="s">
        <v>462</v>
      </c>
      <c r="BG42" s="1740" t="s">
        <v>462</v>
      </c>
      <c r="BH42" s="746" t="s">
        <v>462</v>
      </c>
      <c r="BI42" s="74" t="s">
        <v>462</v>
      </c>
      <c r="BJ42" s="1037" t="s">
        <v>462</v>
      </c>
      <c r="BK42" s="746" t="s">
        <v>462</v>
      </c>
      <c r="BL42" s="74" t="s">
        <v>462</v>
      </c>
      <c r="BM42" s="1037" t="s">
        <v>462</v>
      </c>
      <c r="BN42" s="746" t="s">
        <v>462</v>
      </c>
      <c r="BO42" s="74" t="s">
        <v>462</v>
      </c>
      <c r="BP42" s="1037" t="s">
        <v>462</v>
      </c>
      <c r="BQ42" s="126"/>
      <c r="BR42" s="141" t="s">
        <v>477</v>
      </c>
      <c r="BS42" s="759" t="s">
        <v>476</v>
      </c>
      <c r="BT42" s="773">
        <v>0.83</v>
      </c>
      <c r="BU42" s="746" t="s">
        <v>477</v>
      </c>
      <c r="BV42" s="766" t="s">
        <v>476</v>
      </c>
      <c r="BW42" s="773">
        <v>0.98</v>
      </c>
      <c r="BX42" s="1728" t="s">
        <v>478</v>
      </c>
      <c r="BY42" s="74">
        <v>0.0</v>
      </c>
      <c r="BZ42" s="753">
        <v>0.0</v>
      </c>
      <c r="CA42" s="1195" t="s">
        <v>478</v>
      </c>
      <c r="CB42" s="74">
        <v>0.0</v>
      </c>
      <c r="CC42" s="1714">
        <v>0.0</v>
      </c>
      <c r="CD42" s="1195" t="s">
        <v>478</v>
      </c>
      <c r="CE42" s="74">
        <v>0.0</v>
      </c>
      <c r="CF42" s="1714">
        <v>0.0</v>
      </c>
      <c r="CG42" s="68"/>
      <c r="CH42" s="68"/>
      <c r="CI42" s="68"/>
    </row>
    <row r="43" ht="15.0" customHeight="1" outlineLevel="1">
      <c r="A43" s="60">
        <v>87.0</v>
      </c>
      <c r="B43" s="849" t="str">
        <f t="shared" si="2"/>
        <v>CPQ11-CIVL-DRNG-SITE-R22.rvt</v>
      </c>
      <c r="C43" s="60">
        <v>87.0</v>
      </c>
      <c r="D43" s="74" t="s">
        <v>2152</v>
      </c>
      <c r="E43" s="74" t="s">
        <v>2153</v>
      </c>
      <c r="F43" s="71" t="s">
        <v>90</v>
      </c>
      <c r="G43" s="74" t="s">
        <v>482</v>
      </c>
      <c r="H43" s="1713" t="s">
        <v>2124</v>
      </c>
      <c r="I43" s="146" t="s">
        <v>273</v>
      </c>
      <c r="J43" s="72">
        <v>1119.0</v>
      </c>
      <c r="K43" s="147" t="s">
        <v>133</v>
      </c>
      <c r="L43" s="150">
        <v>0.0</v>
      </c>
      <c r="M43" s="746" t="str">
        <f>IFERROR(VLOOKUP(B40:B230,'RELATÓRIO ACC'!B:F,5,FALSE),"N/A")</f>
        <v>N/A</v>
      </c>
      <c r="N43" s="748" t="str">
        <f>IFERROR(VLOOKUP(B40:B230,'RELATÓRIO ACC'!B:P,15,FALSE),"N/A")</f>
        <v>N/A</v>
      </c>
      <c r="O43" s="141" t="s">
        <v>596</v>
      </c>
      <c r="P43" s="756" t="s">
        <v>2154</v>
      </c>
      <c r="Q43" s="751"/>
      <c r="R43" s="746" t="s">
        <v>466</v>
      </c>
      <c r="S43" s="74" t="s">
        <v>462</v>
      </c>
      <c r="T43" s="749" t="s">
        <v>462</v>
      </c>
      <c r="U43" s="746" t="s">
        <v>466</v>
      </c>
      <c r="V43" s="74" t="s">
        <v>462</v>
      </c>
      <c r="W43" s="749" t="s">
        <v>462</v>
      </c>
      <c r="X43" s="746" t="s">
        <v>466</v>
      </c>
      <c r="Y43" s="74" t="s">
        <v>462</v>
      </c>
      <c r="Z43" s="1741" t="s">
        <v>462</v>
      </c>
      <c r="AA43" s="746" t="s">
        <v>466</v>
      </c>
      <c r="AB43" s="74" t="s">
        <v>462</v>
      </c>
      <c r="AC43" s="753" t="s">
        <v>462</v>
      </c>
      <c r="AD43" s="746" t="s">
        <v>466</v>
      </c>
      <c r="AE43" s="74" t="s">
        <v>462</v>
      </c>
      <c r="AF43" s="753" t="s">
        <v>462</v>
      </c>
      <c r="AG43" s="746" t="s">
        <v>466</v>
      </c>
      <c r="AH43" s="74" t="s">
        <v>462</v>
      </c>
      <c r="AI43" s="753" t="s">
        <v>462</v>
      </c>
      <c r="AJ43" s="746" t="s">
        <v>466</v>
      </c>
      <c r="AK43" s="74" t="s">
        <v>462</v>
      </c>
      <c r="AL43" s="753" t="s">
        <v>462</v>
      </c>
      <c r="AM43" s="746" t="s">
        <v>466</v>
      </c>
      <c r="AN43" s="74" t="s">
        <v>462</v>
      </c>
      <c r="AO43" s="749" t="s">
        <v>462</v>
      </c>
      <c r="AP43" s="746" t="s">
        <v>466</v>
      </c>
      <c r="AQ43" s="74" t="s">
        <v>462</v>
      </c>
      <c r="AR43" s="749" t="s">
        <v>462</v>
      </c>
      <c r="AS43" s="746" t="s">
        <v>466</v>
      </c>
      <c r="AT43" s="74" t="s">
        <v>462</v>
      </c>
      <c r="AU43" s="749" t="s">
        <v>462</v>
      </c>
      <c r="AV43" s="746" t="s">
        <v>466</v>
      </c>
      <c r="AW43" s="74" t="s">
        <v>462</v>
      </c>
      <c r="AX43" s="753" t="s">
        <v>462</v>
      </c>
      <c r="AY43" s="746" t="s">
        <v>466</v>
      </c>
      <c r="AZ43" s="74" t="s">
        <v>462</v>
      </c>
      <c r="BA43" s="1037" t="s">
        <v>462</v>
      </c>
      <c r="BB43" s="746" t="s">
        <v>466</v>
      </c>
      <c r="BC43" s="74" t="s">
        <v>462</v>
      </c>
      <c r="BD43" s="1037" t="s">
        <v>462</v>
      </c>
      <c r="BE43" s="746" t="s">
        <v>466</v>
      </c>
      <c r="BF43" s="74" t="s">
        <v>462</v>
      </c>
      <c r="BG43" s="1037" t="s">
        <v>462</v>
      </c>
      <c r="BH43" s="746" t="s">
        <v>466</v>
      </c>
      <c r="BI43" s="74" t="s">
        <v>462</v>
      </c>
      <c r="BJ43" s="1037" t="s">
        <v>462</v>
      </c>
      <c r="BK43" s="746" t="s">
        <v>466</v>
      </c>
      <c r="BL43" s="74" t="s">
        <v>462</v>
      </c>
      <c r="BM43" s="1037" t="s">
        <v>462</v>
      </c>
      <c r="BN43" s="746" t="s">
        <v>466</v>
      </c>
      <c r="BO43" s="74" t="s">
        <v>462</v>
      </c>
      <c r="BP43" s="1037" t="s">
        <v>462</v>
      </c>
      <c r="BQ43" s="126"/>
      <c r="BR43" s="141" t="s">
        <v>466</v>
      </c>
      <c r="BS43" s="125" t="s">
        <v>462</v>
      </c>
      <c r="BT43" s="749" t="s">
        <v>462</v>
      </c>
      <c r="BU43" s="746" t="s">
        <v>466</v>
      </c>
      <c r="BV43" s="74" t="s">
        <v>462</v>
      </c>
      <c r="BW43" s="749" t="s">
        <v>462</v>
      </c>
      <c r="BX43" s="746" t="s">
        <v>466</v>
      </c>
      <c r="BY43" s="74" t="s">
        <v>462</v>
      </c>
      <c r="BZ43" s="753" t="s">
        <v>462</v>
      </c>
      <c r="CA43" s="746" t="s">
        <v>477</v>
      </c>
      <c r="CB43" s="766" t="s">
        <v>476</v>
      </c>
      <c r="CC43" s="1387">
        <v>0.51</v>
      </c>
      <c r="CD43" s="755" t="s">
        <v>478</v>
      </c>
      <c r="CE43" s="74">
        <v>0.0</v>
      </c>
      <c r="CF43" s="1714">
        <v>0.0</v>
      </c>
      <c r="CG43" s="68"/>
      <c r="CH43" s="68"/>
      <c r="CI43" s="68"/>
    </row>
    <row r="44" ht="15.0" customHeight="1" collapsed="1">
      <c r="A44" s="60">
        <v>88.0</v>
      </c>
      <c r="B44" s="769" t="str">
        <f t="shared" si="2"/>
        <v>CPQ11-CIVL-ERTH-SITE-R22.rvt</v>
      </c>
      <c r="C44" s="60">
        <v>88.0</v>
      </c>
      <c r="D44" s="126" t="s">
        <v>2152</v>
      </c>
      <c r="E44" s="126" t="s">
        <v>2155</v>
      </c>
      <c r="F44" s="770" t="s">
        <v>90</v>
      </c>
      <c r="G44" s="126" t="s">
        <v>482</v>
      </c>
      <c r="H44" s="1733" t="s">
        <v>2124</v>
      </c>
      <c r="I44" s="771" t="s">
        <v>273</v>
      </c>
      <c r="J44" s="771">
        <v>1119.0</v>
      </c>
      <c r="K44" s="157" t="s">
        <v>133</v>
      </c>
      <c r="L44" s="150">
        <v>0.0</v>
      </c>
      <c r="M44" s="852" t="str">
        <f>IFERROR(VLOOKUP(B41:B231,'RELATÓRIO ACC'!B:F,5,FALSE),"N/A")</f>
        <v>N/A</v>
      </c>
      <c r="N44" s="1197" t="str">
        <f>IFERROR(VLOOKUP(B41:B231,'RELATÓRIO ACC'!B:P,15,FALSE),"N/A")</f>
        <v>N/A</v>
      </c>
      <c r="O44" s="126" t="s">
        <v>596</v>
      </c>
      <c r="P44" s="855">
        <v>45895.0</v>
      </c>
      <c r="Q44" s="751"/>
      <c r="R44" s="746" t="s">
        <v>466</v>
      </c>
      <c r="S44" s="74" t="s">
        <v>462</v>
      </c>
      <c r="T44" s="749" t="s">
        <v>462</v>
      </c>
      <c r="U44" s="746" t="s">
        <v>466</v>
      </c>
      <c r="V44" s="74" t="s">
        <v>462</v>
      </c>
      <c r="W44" s="749" t="s">
        <v>462</v>
      </c>
      <c r="X44" s="746" t="s">
        <v>466</v>
      </c>
      <c r="Y44" s="74" t="s">
        <v>462</v>
      </c>
      <c r="Z44" s="749" t="s">
        <v>462</v>
      </c>
      <c r="AA44" s="774" t="s">
        <v>466</v>
      </c>
      <c r="AB44" s="76" t="s">
        <v>462</v>
      </c>
      <c r="AC44" s="750" t="s">
        <v>462</v>
      </c>
      <c r="AD44" s="776" t="s">
        <v>466</v>
      </c>
      <c r="AE44" s="858" t="s">
        <v>462</v>
      </c>
      <c r="AF44" s="859" t="s">
        <v>462</v>
      </c>
      <c r="AG44" s="776" t="s">
        <v>466</v>
      </c>
      <c r="AH44" s="858" t="s">
        <v>462</v>
      </c>
      <c r="AI44" s="859" t="s">
        <v>462</v>
      </c>
      <c r="AJ44" s="776" t="s">
        <v>466</v>
      </c>
      <c r="AK44" s="858" t="s">
        <v>462</v>
      </c>
      <c r="AL44" s="859" t="s">
        <v>462</v>
      </c>
      <c r="AM44" s="746" t="s">
        <v>466</v>
      </c>
      <c r="AN44" s="74" t="s">
        <v>462</v>
      </c>
      <c r="AO44" s="749" t="s">
        <v>462</v>
      </c>
      <c r="AP44" s="746" t="s">
        <v>466</v>
      </c>
      <c r="AQ44" s="74" t="s">
        <v>462</v>
      </c>
      <c r="AR44" s="749" t="s">
        <v>462</v>
      </c>
      <c r="AS44" s="746" t="s">
        <v>466</v>
      </c>
      <c r="AT44" s="74" t="s">
        <v>462</v>
      </c>
      <c r="AU44" s="749" t="s">
        <v>462</v>
      </c>
      <c r="AV44" s="774" t="s">
        <v>466</v>
      </c>
      <c r="AW44" s="76" t="s">
        <v>462</v>
      </c>
      <c r="AX44" s="750" t="s">
        <v>462</v>
      </c>
      <c r="AY44" s="68" t="s">
        <v>466</v>
      </c>
      <c r="AZ44" s="68" t="s">
        <v>462</v>
      </c>
      <c r="BA44" s="1198" t="s">
        <v>462</v>
      </c>
      <c r="BB44" s="68" t="s">
        <v>466</v>
      </c>
      <c r="BC44" s="68" t="s">
        <v>462</v>
      </c>
      <c r="BD44" s="1198" t="s">
        <v>462</v>
      </c>
      <c r="BE44" s="68" t="s">
        <v>466</v>
      </c>
      <c r="BF44" s="68" t="s">
        <v>462</v>
      </c>
      <c r="BG44" s="1198" t="s">
        <v>462</v>
      </c>
      <c r="BH44" s="68" t="s">
        <v>466</v>
      </c>
      <c r="BI44" s="68" t="s">
        <v>462</v>
      </c>
      <c r="BJ44" s="1198" t="s">
        <v>462</v>
      </c>
      <c r="BK44" s="68" t="s">
        <v>466</v>
      </c>
      <c r="BL44" s="68" t="s">
        <v>462</v>
      </c>
      <c r="BM44" s="68" t="s">
        <v>462</v>
      </c>
      <c r="BN44" s="68" t="s">
        <v>466</v>
      </c>
      <c r="BO44" s="68" t="s">
        <v>462</v>
      </c>
      <c r="BP44" s="68" t="s">
        <v>462</v>
      </c>
      <c r="BQ44" s="68"/>
      <c r="BR44" s="141" t="s">
        <v>477</v>
      </c>
      <c r="BS44" s="759" t="s">
        <v>476</v>
      </c>
      <c r="BT44" s="773">
        <v>0.67</v>
      </c>
      <c r="BU44" s="746" t="s">
        <v>484</v>
      </c>
      <c r="BV44" s="759" t="s">
        <v>476</v>
      </c>
      <c r="BW44" s="773">
        <v>1.0</v>
      </c>
      <c r="BX44" s="1742" t="s">
        <v>484</v>
      </c>
      <c r="BY44" s="791" t="s">
        <v>476</v>
      </c>
      <c r="BZ44" s="778">
        <v>1.0</v>
      </c>
      <c r="CA44" s="68" t="s">
        <v>485</v>
      </c>
      <c r="CB44" s="791" t="s">
        <v>476</v>
      </c>
      <c r="CC44" s="1743">
        <v>1.0</v>
      </c>
      <c r="CD44" s="68" t="s">
        <v>485</v>
      </c>
      <c r="CE44" s="791" t="s">
        <v>476</v>
      </c>
      <c r="CF44" s="1743">
        <v>1.0</v>
      </c>
      <c r="CG44" s="135"/>
      <c r="CH44" s="135"/>
      <c r="CI44" s="135"/>
    </row>
    <row r="45" ht="15.0" customHeight="1" outlineLevel="1">
      <c r="A45" s="60">
        <v>91.0</v>
      </c>
      <c r="B45" s="747" t="str">
        <f t="shared" si="2"/>
        <v>CPQ11-CIVL-LOCK-SITE-R22.rvt</v>
      </c>
      <c r="C45" s="60">
        <v>91.0</v>
      </c>
      <c r="D45" s="74" t="s">
        <v>2152</v>
      </c>
      <c r="E45" s="74" t="s">
        <v>2156</v>
      </c>
      <c r="F45" s="71" t="s">
        <v>90</v>
      </c>
      <c r="G45" s="74" t="s">
        <v>482</v>
      </c>
      <c r="H45" s="1713" t="s">
        <v>2124</v>
      </c>
      <c r="I45" s="138" t="s">
        <v>282</v>
      </c>
      <c r="J45" s="754">
        <v>0.0</v>
      </c>
      <c r="K45" s="147" t="s">
        <v>283</v>
      </c>
      <c r="L45" s="150">
        <v>0.0</v>
      </c>
      <c r="M45" s="746" t="str">
        <f>IFERROR(VLOOKUP(B42:B232,'RELATÓRIO ACC'!B:F,5,FALSE),"N/A")</f>
        <v>N/A</v>
      </c>
      <c r="N45" s="748" t="str">
        <f>IFERROR(VLOOKUP(B42:B232,'RELATÓRIO ACC'!B:P,15,FALSE),"N/A")</f>
        <v>N/A</v>
      </c>
      <c r="O45" s="1195" t="s">
        <v>486</v>
      </c>
      <c r="P45" s="1744">
        <v>45896.0</v>
      </c>
      <c r="Q45" s="751" t="s">
        <v>129</v>
      </c>
      <c r="R45" s="746" t="s">
        <v>466</v>
      </c>
      <c r="S45" s="74" t="s">
        <v>462</v>
      </c>
      <c r="T45" s="749" t="s">
        <v>462</v>
      </c>
      <c r="U45" s="746" t="s">
        <v>466</v>
      </c>
      <c r="V45" s="74" t="s">
        <v>462</v>
      </c>
      <c r="W45" s="749" t="s">
        <v>462</v>
      </c>
      <c r="X45" s="746" t="s">
        <v>466</v>
      </c>
      <c r="Y45" s="74" t="s">
        <v>462</v>
      </c>
      <c r="Z45" s="749" t="s">
        <v>462</v>
      </c>
      <c r="AA45" s="746" t="s">
        <v>466</v>
      </c>
      <c r="AB45" s="74" t="s">
        <v>462</v>
      </c>
      <c r="AC45" s="753" t="s">
        <v>462</v>
      </c>
      <c r="AD45" s="746" t="s">
        <v>466</v>
      </c>
      <c r="AE45" s="74" t="s">
        <v>462</v>
      </c>
      <c r="AF45" s="753" t="s">
        <v>462</v>
      </c>
      <c r="AG45" s="746" t="s">
        <v>466</v>
      </c>
      <c r="AH45" s="74" t="s">
        <v>462</v>
      </c>
      <c r="AI45" s="753" t="s">
        <v>462</v>
      </c>
      <c r="AJ45" s="746" t="s">
        <v>466</v>
      </c>
      <c r="AK45" s="74" t="s">
        <v>462</v>
      </c>
      <c r="AL45" s="753" t="s">
        <v>462</v>
      </c>
      <c r="AM45" s="746" t="s">
        <v>466</v>
      </c>
      <c r="AN45" s="74" t="s">
        <v>462</v>
      </c>
      <c r="AO45" s="749" t="s">
        <v>462</v>
      </c>
      <c r="AP45" s="746" t="s">
        <v>466</v>
      </c>
      <c r="AQ45" s="74" t="s">
        <v>462</v>
      </c>
      <c r="AR45" s="749" t="s">
        <v>462</v>
      </c>
      <c r="AS45" s="746" t="s">
        <v>466</v>
      </c>
      <c r="AT45" s="74" t="s">
        <v>462</v>
      </c>
      <c r="AU45" s="749" t="s">
        <v>462</v>
      </c>
      <c r="AV45" s="746" t="s">
        <v>466</v>
      </c>
      <c r="AW45" s="74" t="s">
        <v>462</v>
      </c>
      <c r="AX45" s="753" t="s">
        <v>462</v>
      </c>
      <c r="AY45" s="746" t="s">
        <v>466</v>
      </c>
      <c r="AZ45" s="74" t="s">
        <v>462</v>
      </c>
      <c r="BA45" s="1037" t="s">
        <v>462</v>
      </c>
      <c r="BB45" s="746" t="s">
        <v>466</v>
      </c>
      <c r="BC45" s="74" t="s">
        <v>462</v>
      </c>
      <c r="BD45" s="1037" t="s">
        <v>462</v>
      </c>
      <c r="BE45" s="746" t="s">
        <v>466</v>
      </c>
      <c r="BF45" s="74" t="s">
        <v>462</v>
      </c>
      <c r="BG45" s="1037" t="s">
        <v>462</v>
      </c>
      <c r="BH45" s="746" t="s">
        <v>466</v>
      </c>
      <c r="BI45" s="74" t="s">
        <v>462</v>
      </c>
      <c r="BJ45" s="1037" t="s">
        <v>462</v>
      </c>
      <c r="BK45" s="746" t="s">
        <v>466</v>
      </c>
      <c r="BL45" s="74" t="s">
        <v>462</v>
      </c>
      <c r="BM45" s="1037" t="s">
        <v>462</v>
      </c>
      <c r="BN45" s="746" t="s">
        <v>466</v>
      </c>
      <c r="BO45" s="74" t="s">
        <v>462</v>
      </c>
      <c r="BP45" s="1037" t="s">
        <v>462</v>
      </c>
      <c r="BQ45" s="126"/>
      <c r="BR45" s="141" t="s">
        <v>477</v>
      </c>
      <c r="BS45" s="759" t="s">
        <v>476</v>
      </c>
      <c r="BT45" s="773">
        <v>0.51</v>
      </c>
      <c r="BU45" s="755" t="s">
        <v>484</v>
      </c>
      <c r="BV45" s="759" t="s">
        <v>476</v>
      </c>
      <c r="BW45" s="1061">
        <v>1.0</v>
      </c>
      <c r="BX45" s="755" t="s">
        <v>484</v>
      </c>
      <c r="BY45" s="759" t="s">
        <v>476</v>
      </c>
      <c r="BZ45" s="1745">
        <v>1.0</v>
      </c>
      <c r="CA45" s="746" t="s">
        <v>485</v>
      </c>
      <c r="CB45" s="759" t="s">
        <v>476</v>
      </c>
      <c r="CC45" s="1746">
        <v>1.0</v>
      </c>
      <c r="CD45" s="746" t="s">
        <v>485</v>
      </c>
      <c r="CE45" s="759" t="s">
        <v>476</v>
      </c>
      <c r="CF45" s="1746">
        <v>1.0</v>
      </c>
      <c r="CG45" s="491"/>
      <c r="CH45" s="491"/>
      <c r="CI45" s="491"/>
    </row>
    <row r="46" ht="15.0" customHeight="1" outlineLevel="1">
      <c r="A46" s="60">
        <v>89.0</v>
      </c>
      <c r="B46" s="849" t="str">
        <f t="shared" si="2"/>
        <v>CPQ11-CIVL-PAVM-SITE-R22.rvt</v>
      </c>
      <c r="C46" s="60">
        <v>89.0</v>
      </c>
      <c r="D46" s="74" t="s">
        <v>2152</v>
      </c>
      <c r="E46" s="74" t="s">
        <v>2157</v>
      </c>
      <c r="F46" s="71" t="s">
        <v>90</v>
      </c>
      <c r="G46" s="74" t="s">
        <v>482</v>
      </c>
      <c r="H46" s="1713" t="s">
        <v>2124</v>
      </c>
      <c r="I46" s="146" t="s">
        <v>273</v>
      </c>
      <c r="J46" s="72">
        <v>1119.0</v>
      </c>
      <c r="K46" s="147" t="s">
        <v>133</v>
      </c>
      <c r="L46" s="150">
        <v>0.0</v>
      </c>
      <c r="M46" s="746" t="str">
        <f>IFERROR(VLOOKUP(B43:B233,'RELATÓRIO ACC'!B:F,5,FALSE),"N/A")</f>
        <v>N/A</v>
      </c>
      <c r="N46" s="748" t="str">
        <f>IFERROR(VLOOKUP(B43:B233,'RELATÓRIO ACC'!B:P,15,FALSE),"N/A")</f>
        <v>N/A</v>
      </c>
      <c r="O46" s="141" t="s">
        <v>470</v>
      </c>
      <c r="P46" s="756" t="s">
        <v>2158</v>
      </c>
      <c r="Q46" s="751"/>
      <c r="R46" s="746" t="s">
        <v>466</v>
      </c>
      <c r="S46" s="74" t="s">
        <v>462</v>
      </c>
      <c r="T46" s="749" t="s">
        <v>462</v>
      </c>
      <c r="U46" s="746" t="s">
        <v>466</v>
      </c>
      <c r="V46" s="74" t="s">
        <v>462</v>
      </c>
      <c r="W46" s="753" t="s">
        <v>462</v>
      </c>
      <c r="X46" s="126" t="s">
        <v>466</v>
      </c>
      <c r="Y46" s="749" t="s">
        <v>462</v>
      </c>
      <c r="Z46" s="749" t="s">
        <v>462</v>
      </c>
      <c r="AA46" s="746" t="s">
        <v>466</v>
      </c>
      <c r="AB46" s="74" t="s">
        <v>462</v>
      </c>
      <c r="AC46" s="750" t="s">
        <v>462</v>
      </c>
      <c r="AD46" s="746" t="s">
        <v>466</v>
      </c>
      <c r="AE46" s="74" t="s">
        <v>462</v>
      </c>
      <c r="AF46" s="750" t="s">
        <v>462</v>
      </c>
      <c r="AG46" s="746" t="s">
        <v>466</v>
      </c>
      <c r="AH46" s="74" t="s">
        <v>462</v>
      </c>
      <c r="AI46" s="750" t="s">
        <v>462</v>
      </c>
      <c r="AJ46" s="746" t="s">
        <v>466</v>
      </c>
      <c r="AK46" s="74" t="s">
        <v>462</v>
      </c>
      <c r="AL46" s="750" t="s">
        <v>462</v>
      </c>
      <c r="AM46" s="746" t="s">
        <v>466</v>
      </c>
      <c r="AN46" s="74" t="s">
        <v>462</v>
      </c>
      <c r="AO46" s="749" t="s">
        <v>462</v>
      </c>
      <c r="AP46" s="746" t="s">
        <v>466</v>
      </c>
      <c r="AQ46" s="74" t="s">
        <v>462</v>
      </c>
      <c r="AR46" s="749" t="s">
        <v>462</v>
      </c>
      <c r="AS46" s="746" t="s">
        <v>466</v>
      </c>
      <c r="AT46" s="74" t="s">
        <v>462</v>
      </c>
      <c r="AU46" s="749" t="s">
        <v>462</v>
      </c>
      <c r="AV46" s="746" t="s">
        <v>466</v>
      </c>
      <c r="AW46" s="74" t="s">
        <v>462</v>
      </c>
      <c r="AX46" s="750" t="s">
        <v>462</v>
      </c>
      <c r="AY46" s="746" t="s">
        <v>466</v>
      </c>
      <c r="AZ46" s="74" t="s">
        <v>462</v>
      </c>
      <c r="BA46" s="1740" t="s">
        <v>462</v>
      </c>
      <c r="BB46" s="746" t="s">
        <v>466</v>
      </c>
      <c r="BC46" s="74" t="s">
        <v>462</v>
      </c>
      <c r="BD46" s="1740" t="s">
        <v>462</v>
      </c>
      <c r="BE46" s="746" t="s">
        <v>466</v>
      </c>
      <c r="BF46" s="74" t="s">
        <v>462</v>
      </c>
      <c r="BG46" s="1740" t="s">
        <v>462</v>
      </c>
      <c r="BH46" s="746" t="s">
        <v>466</v>
      </c>
      <c r="BI46" s="74" t="s">
        <v>462</v>
      </c>
      <c r="BJ46" s="1037" t="s">
        <v>462</v>
      </c>
      <c r="BK46" s="746" t="s">
        <v>466</v>
      </c>
      <c r="BL46" s="74" t="s">
        <v>462</v>
      </c>
      <c r="BM46" s="753" t="s">
        <v>462</v>
      </c>
      <c r="BN46" s="746" t="s">
        <v>466</v>
      </c>
      <c r="BO46" s="74" t="s">
        <v>462</v>
      </c>
      <c r="BP46" s="1037" t="s">
        <v>462</v>
      </c>
      <c r="BQ46" s="126"/>
      <c r="BR46" s="141" t="s">
        <v>466</v>
      </c>
      <c r="BS46" s="125" t="s">
        <v>462</v>
      </c>
      <c r="BT46" s="749" t="s">
        <v>462</v>
      </c>
      <c r="BU46" s="746" t="s">
        <v>466</v>
      </c>
      <c r="BV46" s="74" t="s">
        <v>462</v>
      </c>
      <c r="BW46" s="749" t="s">
        <v>462</v>
      </c>
      <c r="BX46" s="1729" t="s">
        <v>466</v>
      </c>
      <c r="BY46" s="74" t="s">
        <v>462</v>
      </c>
      <c r="BZ46" s="753" t="s">
        <v>462</v>
      </c>
      <c r="CA46" s="141" t="s">
        <v>477</v>
      </c>
      <c r="CB46" s="766" t="s">
        <v>476</v>
      </c>
      <c r="CC46" s="1387">
        <v>0.58</v>
      </c>
      <c r="CD46" s="1195" t="s">
        <v>478</v>
      </c>
      <c r="CE46" s="74">
        <v>0.0</v>
      </c>
      <c r="CF46" s="1714">
        <v>0.0</v>
      </c>
      <c r="CG46" s="68"/>
      <c r="CH46" s="68"/>
      <c r="CI46" s="68"/>
    </row>
    <row r="47" ht="15.0" customHeight="1">
      <c r="A47" s="60">
        <v>66.0</v>
      </c>
      <c r="B47" s="769" t="str">
        <f t="shared" si="2"/>
        <v>CPQ11-DALI-DEVS-DATA-R22.rvt</v>
      </c>
      <c r="C47" s="60">
        <v>66.0</v>
      </c>
      <c r="D47" s="126" t="s">
        <v>2159</v>
      </c>
      <c r="E47" s="126" t="s">
        <v>2150</v>
      </c>
      <c r="F47" s="770" t="s">
        <v>85</v>
      </c>
      <c r="G47" s="126" t="s">
        <v>482</v>
      </c>
      <c r="H47" s="1733" t="s">
        <v>2124</v>
      </c>
      <c r="I47" s="771" t="s">
        <v>232</v>
      </c>
      <c r="J47" s="771">
        <v>1116.0</v>
      </c>
      <c r="K47" s="771" t="s">
        <v>232</v>
      </c>
      <c r="L47" s="139">
        <v>1116.0</v>
      </c>
      <c r="M47" s="852" t="str">
        <f>IFERROR(VLOOKUP(B44:B234,'RELATÓRIO ACC'!B:F,5,FALSE),"N/A")</f>
        <v>N/A</v>
      </c>
      <c r="N47" s="1197" t="str">
        <f>IFERROR(VLOOKUP(B44:B234,'RELATÓRIO ACC'!B:P,15,FALSE),"N/A")</f>
        <v>N/A</v>
      </c>
      <c r="O47" s="126" t="s">
        <v>490</v>
      </c>
      <c r="P47" s="855">
        <v>45915.0</v>
      </c>
      <c r="Q47" s="751" t="s">
        <v>91</v>
      </c>
      <c r="R47" s="746" t="s">
        <v>466</v>
      </c>
      <c r="S47" s="74" t="s">
        <v>462</v>
      </c>
      <c r="T47" s="749" t="s">
        <v>462</v>
      </c>
      <c r="U47" s="746" t="s">
        <v>466</v>
      </c>
      <c r="V47" s="74" t="s">
        <v>462</v>
      </c>
      <c r="W47" s="749" t="s">
        <v>462</v>
      </c>
      <c r="X47" s="746" t="s">
        <v>477</v>
      </c>
      <c r="Y47" s="759" t="s">
        <v>476</v>
      </c>
      <c r="Z47" s="773">
        <v>0.52</v>
      </c>
      <c r="AA47" s="774" t="s">
        <v>477</v>
      </c>
      <c r="AB47" s="786" t="s">
        <v>476</v>
      </c>
      <c r="AC47" s="768">
        <v>0.97</v>
      </c>
      <c r="AD47" s="776" t="s">
        <v>484</v>
      </c>
      <c r="AE47" s="788" t="s">
        <v>476</v>
      </c>
      <c r="AF47" s="778">
        <v>1.0</v>
      </c>
      <c r="AG47" s="776" t="s">
        <v>485</v>
      </c>
      <c r="AH47" s="788" t="s">
        <v>476</v>
      </c>
      <c r="AI47" s="778">
        <v>1.0</v>
      </c>
      <c r="AJ47" s="776" t="s">
        <v>485</v>
      </c>
      <c r="AK47" s="788" t="s">
        <v>476</v>
      </c>
      <c r="AL47" s="778">
        <v>1.0</v>
      </c>
      <c r="AM47" s="746" t="s">
        <v>466</v>
      </c>
      <c r="AN47" s="74" t="s">
        <v>462</v>
      </c>
      <c r="AO47" s="749" t="s">
        <v>462</v>
      </c>
      <c r="AP47" s="746" t="s">
        <v>466</v>
      </c>
      <c r="AQ47" s="74" t="s">
        <v>462</v>
      </c>
      <c r="AR47" s="749" t="s">
        <v>462</v>
      </c>
      <c r="AS47" s="746" t="s">
        <v>477</v>
      </c>
      <c r="AT47" s="759" t="s">
        <v>476</v>
      </c>
      <c r="AU47" s="773">
        <v>0.36</v>
      </c>
      <c r="AV47" s="774" t="s">
        <v>477</v>
      </c>
      <c r="AW47" s="786" t="s">
        <v>476</v>
      </c>
      <c r="AX47" s="768">
        <v>0.94</v>
      </c>
      <c r="AY47" s="68" t="s">
        <v>484</v>
      </c>
      <c r="AZ47" s="791" t="s">
        <v>476</v>
      </c>
      <c r="BA47" s="1207">
        <v>1.0</v>
      </c>
      <c r="BB47" s="68" t="s">
        <v>485</v>
      </c>
      <c r="BC47" s="791" t="s">
        <v>476</v>
      </c>
      <c r="BD47" s="1207">
        <v>1.0</v>
      </c>
      <c r="BE47" s="68" t="s">
        <v>485</v>
      </c>
      <c r="BF47" s="791" t="s">
        <v>476</v>
      </c>
      <c r="BG47" s="1207">
        <v>1.0</v>
      </c>
      <c r="BH47" s="68" t="s">
        <v>477</v>
      </c>
      <c r="BI47" s="791" t="s">
        <v>476</v>
      </c>
      <c r="BJ47" s="1207">
        <v>0.81</v>
      </c>
      <c r="BK47" s="1747" t="s">
        <v>477</v>
      </c>
      <c r="BL47" s="791" t="s">
        <v>476</v>
      </c>
      <c r="BM47" s="1178">
        <v>0.86</v>
      </c>
      <c r="BN47" s="763" t="s">
        <v>478</v>
      </c>
      <c r="BO47" s="68">
        <v>0.0</v>
      </c>
      <c r="BP47" s="68">
        <v>0.0</v>
      </c>
      <c r="BQ47" s="68" t="s">
        <v>709</v>
      </c>
      <c r="BR47" s="1723" t="s">
        <v>462</v>
      </c>
      <c r="BS47" s="125" t="s">
        <v>462</v>
      </c>
      <c r="BT47" s="749" t="s">
        <v>462</v>
      </c>
      <c r="BU47" s="1724" t="s">
        <v>462</v>
      </c>
      <c r="BV47" s="125" t="s">
        <v>462</v>
      </c>
      <c r="BW47" s="749" t="s">
        <v>462</v>
      </c>
      <c r="BX47" s="1734" t="s">
        <v>462</v>
      </c>
      <c r="BY47" s="111" t="s">
        <v>462</v>
      </c>
      <c r="BZ47" s="1735" t="s">
        <v>462</v>
      </c>
      <c r="CA47" s="1736" t="s">
        <v>462</v>
      </c>
      <c r="CB47" s="111" t="s">
        <v>462</v>
      </c>
      <c r="CC47" s="1737" t="s">
        <v>462</v>
      </c>
      <c r="CD47" s="1736" t="s">
        <v>462</v>
      </c>
      <c r="CE47" s="111" t="s">
        <v>462</v>
      </c>
      <c r="CF47" s="1737" t="s">
        <v>462</v>
      </c>
      <c r="CG47" s="111"/>
      <c r="CH47" s="111"/>
      <c r="CI47" s="111"/>
    </row>
    <row r="48" ht="15.0" customHeight="1" outlineLevel="1">
      <c r="A48" s="60">
        <v>37.0</v>
      </c>
      <c r="B48" s="849" t="str">
        <f t="shared" si="2"/>
        <v>CPQ11-DASM-DEVS-DATA-R22.rvt</v>
      </c>
      <c r="C48" s="60">
        <v>37.0</v>
      </c>
      <c r="D48" s="74" t="s">
        <v>2160</v>
      </c>
      <c r="E48" s="74" t="s">
        <v>2150</v>
      </c>
      <c r="F48" s="71" t="s">
        <v>85</v>
      </c>
      <c r="G48" s="74" t="s">
        <v>482</v>
      </c>
      <c r="H48" s="1713" t="s">
        <v>2124</v>
      </c>
      <c r="I48" s="146" t="s">
        <v>176</v>
      </c>
      <c r="J48" s="72">
        <v>1113.0</v>
      </c>
      <c r="K48" s="139" t="s">
        <v>176</v>
      </c>
      <c r="L48" s="139">
        <v>1113.0</v>
      </c>
      <c r="M48" s="746" t="str">
        <f>IFERROR(VLOOKUP(B45:B235,'RELATÓRIO ACC'!B:F,5,FALSE),"N/A")</f>
        <v>N/A</v>
      </c>
      <c r="N48" s="748" t="str">
        <f>IFERROR(VLOOKUP(B45:B235,'RELATÓRIO ACC'!B:P,15,FALSE),"N/A")</f>
        <v>N/A</v>
      </c>
      <c r="O48" s="141" t="s">
        <v>722</v>
      </c>
      <c r="P48" s="756" t="s">
        <v>858</v>
      </c>
      <c r="Q48" s="751" t="s">
        <v>129</v>
      </c>
      <c r="R48" s="746" t="s">
        <v>477</v>
      </c>
      <c r="S48" s="766" t="s">
        <v>476</v>
      </c>
      <c r="T48" s="773">
        <v>0.41</v>
      </c>
      <c r="U48" s="746" t="s">
        <v>477</v>
      </c>
      <c r="V48" s="766" t="s">
        <v>476</v>
      </c>
      <c r="W48" s="773">
        <v>0.41</v>
      </c>
      <c r="X48" s="746" t="s">
        <v>477</v>
      </c>
      <c r="Y48" s="766" t="s">
        <v>476</v>
      </c>
      <c r="Z48" s="773">
        <v>0.43</v>
      </c>
      <c r="AA48" s="746" t="s">
        <v>477</v>
      </c>
      <c r="AB48" s="766" t="s">
        <v>476</v>
      </c>
      <c r="AC48" s="762">
        <v>0.88</v>
      </c>
      <c r="AD48" s="755" t="s">
        <v>478</v>
      </c>
      <c r="AE48" s="74">
        <v>0.0</v>
      </c>
      <c r="AF48" s="753">
        <v>0.0</v>
      </c>
      <c r="AG48" s="1176" t="s">
        <v>477</v>
      </c>
      <c r="AH48" s="759" t="s">
        <v>476</v>
      </c>
      <c r="AI48" s="762">
        <v>0.93</v>
      </c>
      <c r="AJ48" s="755" t="s">
        <v>478</v>
      </c>
      <c r="AK48" s="74">
        <v>0.0</v>
      </c>
      <c r="AL48" s="753">
        <v>0.0</v>
      </c>
      <c r="AM48" s="746" t="s">
        <v>477</v>
      </c>
      <c r="AN48" s="766" t="s">
        <v>476</v>
      </c>
      <c r="AO48" s="773">
        <v>0.44</v>
      </c>
      <c r="AP48" s="746" t="s">
        <v>477</v>
      </c>
      <c r="AQ48" s="766" t="s">
        <v>476</v>
      </c>
      <c r="AR48" s="773">
        <v>0.41</v>
      </c>
      <c r="AS48" s="746" t="s">
        <v>477</v>
      </c>
      <c r="AT48" s="766" t="s">
        <v>476</v>
      </c>
      <c r="AU48" s="773">
        <v>0.43</v>
      </c>
      <c r="AV48" s="746" t="s">
        <v>484</v>
      </c>
      <c r="AW48" s="766" t="s">
        <v>476</v>
      </c>
      <c r="AX48" s="762">
        <v>1.0</v>
      </c>
      <c r="AY48" s="746" t="s">
        <v>484</v>
      </c>
      <c r="AZ48" s="766" t="s">
        <v>476</v>
      </c>
      <c r="BA48" s="1057">
        <v>1.0</v>
      </c>
      <c r="BB48" s="746" t="s">
        <v>485</v>
      </c>
      <c r="BC48" s="766" t="s">
        <v>476</v>
      </c>
      <c r="BD48" s="1057">
        <v>1.0</v>
      </c>
      <c r="BE48" s="746" t="s">
        <v>485</v>
      </c>
      <c r="BF48" s="766" t="s">
        <v>476</v>
      </c>
      <c r="BG48" s="1057">
        <v>1.0</v>
      </c>
      <c r="BH48" s="746" t="s">
        <v>477</v>
      </c>
      <c r="BI48" s="759" t="s">
        <v>476</v>
      </c>
      <c r="BJ48" s="1057">
        <v>0.64</v>
      </c>
      <c r="BK48" s="1176" t="s">
        <v>477</v>
      </c>
      <c r="BL48" s="759" t="s">
        <v>476</v>
      </c>
      <c r="BM48" s="1057">
        <v>0.79</v>
      </c>
      <c r="BN48" s="755" t="s">
        <v>478</v>
      </c>
      <c r="BO48" s="74">
        <v>0.0</v>
      </c>
      <c r="BP48" s="1037">
        <v>0.0</v>
      </c>
      <c r="BQ48" s="126" t="s">
        <v>708</v>
      </c>
      <c r="BR48" s="1723" t="s">
        <v>462</v>
      </c>
      <c r="BS48" s="125" t="s">
        <v>462</v>
      </c>
      <c r="BT48" s="147" t="s">
        <v>462</v>
      </c>
      <c r="BU48" s="1724" t="s">
        <v>462</v>
      </c>
      <c r="BV48" s="125" t="s">
        <v>462</v>
      </c>
      <c r="BW48" s="147" t="s">
        <v>462</v>
      </c>
      <c r="BX48" s="1724" t="s">
        <v>462</v>
      </c>
      <c r="BY48" s="125" t="s">
        <v>462</v>
      </c>
      <c r="BZ48" s="1726" t="s">
        <v>462</v>
      </c>
      <c r="CA48" s="1724" t="s">
        <v>462</v>
      </c>
      <c r="CB48" s="125" t="s">
        <v>462</v>
      </c>
      <c r="CC48" s="1727" t="s">
        <v>462</v>
      </c>
      <c r="CD48" s="1724" t="s">
        <v>462</v>
      </c>
      <c r="CE48" s="125" t="s">
        <v>462</v>
      </c>
      <c r="CF48" s="1727" t="s">
        <v>462</v>
      </c>
      <c r="CG48" s="111"/>
      <c r="CH48" s="111"/>
      <c r="CI48" s="111"/>
    </row>
    <row r="49" ht="15.0" customHeight="1" outlineLevel="1">
      <c r="A49" s="60">
        <v>61.0</v>
      </c>
      <c r="B49" s="849" t="str">
        <f t="shared" si="2"/>
        <v>CPQ11-ELEC-ELEC-DATA-R22.rvt</v>
      </c>
      <c r="C49" s="60">
        <v>61.0</v>
      </c>
      <c r="D49" s="74" t="s">
        <v>2161</v>
      </c>
      <c r="E49" s="74" t="s">
        <v>2161</v>
      </c>
      <c r="F49" s="71" t="s">
        <v>85</v>
      </c>
      <c r="G49" s="74" t="s">
        <v>482</v>
      </c>
      <c r="H49" s="1713" t="s">
        <v>2124</v>
      </c>
      <c r="I49" s="146" t="s">
        <v>169</v>
      </c>
      <c r="J49" s="72">
        <v>1112.0</v>
      </c>
      <c r="K49" s="139" t="s">
        <v>170</v>
      </c>
      <c r="L49" s="139">
        <v>1129.0</v>
      </c>
      <c r="M49" s="746" t="str">
        <f>IFERROR(VLOOKUP(B46:B236,'RELATÓRIO ACC'!B:F,5,FALSE),"N/A")</f>
        <v>N/A</v>
      </c>
      <c r="N49" s="748" t="str">
        <f>IFERROR(VLOOKUP(B46:B236,'RELATÓRIO ACC'!B:P,15,FALSE),"N/A")</f>
        <v>N/A</v>
      </c>
      <c r="O49" s="141" t="s">
        <v>727</v>
      </c>
      <c r="P49" s="1748">
        <v>45912.0</v>
      </c>
      <c r="Q49" s="751" t="s">
        <v>129</v>
      </c>
      <c r="R49" s="746" t="s">
        <v>477</v>
      </c>
      <c r="S49" s="766" t="s">
        <v>476</v>
      </c>
      <c r="T49" s="773">
        <v>0.46</v>
      </c>
      <c r="U49" s="746" t="s">
        <v>477</v>
      </c>
      <c r="V49" s="766" t="s">
        <v>476</v>
      </c>
      <c r="W49" s="773">
        <v>0.94</v>
      </c>
      <c r="X49" s="746" t="s">
        <v>484</v>
      </c>
      <c r="Y49" s="792" t="s">
        <v>476</v>
      </c>
      <c r="Z49" s="773">
        <v>1.0</v>
      </c>
      <c r="AA49" s="746" t="s">
        <v>484</v>
      </c>
      <c r="AB49" s="759" t="s">
        <v>476</v>
      </c>
      <c r="AC49" s="768">
        <v>1.0</v>
      </c>
      <c r="AD49" s="746" t="s">
        <v>484</v>
      </c>
      <c r="AE49" s="759" t="s">
        <v>476</v>
      </c>
      <c r="AF49" s="768">
        <v>1.0</v>
      </c>
      <c r="AG49" s="746" t="s">
        <v>485</v>
      </c>
      <c r="AH49" s="759" t="s">
        <v>476</v>
      </c>
      <c r="AI49" s="768">
        <v>1.0</v>
      </c>
      <c r="AJ49" s="746" t="s">
        <v>485</v>
      </c>
      <c r="AK49" s="759" t="s">
        <v>476</v>
      </c>
      <c r="AL49" s="768">
        <v>1.0</v>
      </c>
      <c r="AM49" s="746" t="s">
        <v>477</v>
      </c>
      <c r="AN49" s="766" t="s">
        <v>476</v>
      </c>
      <c r="AO49" s="773">
        <v>0.46</v>
      </c>
      <c r="AP49" s="746" t="s">
        <v>477</v>
      </c>
      <c r="AQ49" s="766" t="s">
        <v>476</v>
      </c>
      <c r="AR49" s="773">
        <v>0.92</v>
      </c>
      <c r="AS49" s="746" t="s">
        <v>484</v>
      </c>
      <c r="AT49" s="792" t="s">
        <v>476</v>
      </c>
      <c r="AU49" s="773">
        <v>1.0</v>
      </c>
      <c r="AV49" s="746" t="s">
        <v>484</v>
      </c>
      <c r="AW49" s="861" t="s">
        <v>476</v>
      </c>
      <c r="AX49" s="768">
        <v>1.0</v>
      </c>
      <c r="AY49" s="746" t="s">
        <v>484</v>
      </c>
      <c r="AZ49" s="861" t="s">
        <v>476</v>
      </c>
      <c r="BA49" s="1068">
        <v>1.0</v>
      </c>
      <c r="BB49" s="746" t="s">
        <v>485</v>
      </c>
      <c r="BC49" s="861" t="s">
        <v>476</v>
      </c>
      <c r="BD49" s="1068">
        <v>1.0</v>
      </c>
      <c r="BE49" s="746" t="s">
        <v>485</v>
      </c>
      <c r="BF49" s="861" t="s">
        <v>476</v>
      </c>
      <c r="BG49" s="1068">
        <v>1.0</v>
      </c>
      <c r="BH49" s="746" t="s">
        <v>477</v>
      </c>
      <c r="BI49" s="759" t="s">
        <v>476</v>
      </c>
      <c r="BJ49" s="1057">
        <v>0.79</v>
      </c>
      <c r="BK49" s="755" t="s">
        <v>478</v>
      </c>
      <c r="BL49" s="74">
        <v>0.0</v>
      </c>
      <c r="BM49" s="1037">
        <v>0.0</v>
      </c>
      <c r="BN49" s="755" t="s">
        <v>478</v>
      </c>
      <c r="BO49" s="74">
        <v>0.0</v>
      </c>
      <c r="BP49" s="1037">
        <v>0.0</v>
      </c>
      <c r="BQ49" s="153" t="s">
        <v>87</v>
      </c>
      <c r="BR49" s="1723" t="s">
        <v>462</v>
      </c>
      <c r="BS49" s="125" t="s">
        <v>462</v>
      </c>
      <c r="BT49" s="147" t="s">
        <v>462</v>
      </c>
      <c r="BU49" s="1724" t="s">
        <v>462</v>
      </c>
      <c r="BV49" s="125" t="s">
        <v>462</v>
      </c>
      <c r="BW49" s="147" t="s">
        <v>462</v>
      </c>
      <c r="BX49" s="1725" t="s">
        <v>462</v>
      </c>
      <c r="BY49" s="125" t="s">
        <v>462</v>
      </c>
      <c r="BZ49" s="1726" t="s">
        <v>462</v>
      </c>
      <c r="CA49" s="1723" t="s">
        <v>462</v>
      </c>
      <c r="CB49" s="125" t="s">
        <v>462</v>
      </c>
      <c r="CC49" s="1727" t="s">
        <v>462</v>
      </c>
      <c r="CD49" s="1723" t="s">
        <v>462</v>
      </c>
      <c r="CE49" s="125" t="s">
        <v>462</v>
      </c>
      <c r="CF49" s="1727" t="s">
        <v>462</v>
      </c>
      <c r="CG49" s="111"/>
      <c r="CH49" s="111"/>
      <c r="CI49" s="111"/>
    </row>
    <row r="50" ht="15.0" customHeight="1">
      <c r="A50" s="60">
        <v>60.0</v>
      </c>
      <c r="B50" s="769" t="str">
        <f t="shared" si="2"/>
        <v>CPQ11-ELEC-ELEC-SITE-R22.rvt</v>
      </c>
      <c r="C50" s="60">
        <v>60.0</v>
      </c>
      <c r="D50" s="126" t="s">
        <v>2161</v>
      </c>
      <c r="E50" s="126" t="s">
        <v>2161</v>
      </c>
      <c r="F50" s="770" t="s">
        <v>90</v>
      </c>
      <c r="G50" s="126" t="s">
        <v>482</v>
      </c>
      <c r="H50" s="1733" t="s">
        <v>2124</v>
      </c>
      <c r="I50" s="771" t="s">
        <v>169</v>
      </c>
      <c r="J50" s="771">
        <v>1112.0</v>
      </c>
      <c r="K50" s="771" t="s">
        <v>170</v>
      </c>
      <c r="L50" s="139">
        <v>1129.0</v>
      </c>
      <c r="M50" s="852" t="str">
        <f>IFERROR(VLOOKUP(B47:B237,'RELATÓRIO ACC'!B:F,5,FALSE),"N/A")</f>
        <v>N/A</v>
      </c>
      <c r="N50" s="1197" t="str">
        <f>IFERROR(VLOOKUP(B47:B237,'RELATÓRIO ACC'!B:P,15,FALSE),"N/A")</f>
        <v>N/A</v>
      </c>
      <c r="O50" s="126" t="s">
        <v>856</v>
      </c>
      <c r="P50" s="855">
        <v>45889.0</v>
      </c>
      <c r="Q50" s="751" t="s">
        <v>129</v>
      </c>
      <c r="R50" s="746" t="s">
        <v>462</v>
      </c>
      <c r="S50" s="74" t="s">
        <v>462</v>
      </c>
      <c r="T50" s="749" t="s">
        <v>462</v>
      </c>
      <c r="U50" s="746" t="s">
        <v>462</v>
      </c>
      <c r="V50" s="74" t="s">
        <v>462</v>
      </c>
      <c r="W50" s="749" t="s">
        <v>462</v>
      </c>
      <c r="X50" s="746" t="s">
        <v>462</v>
      </c>
      <c r="Y50" s="74" t="s">
        <v>462</v>
      </c>
      <c r="Z50" s="749" t="s">
        <v>462</v>
      </c>
      <c r="AA50" s="774" t="s">
        <v>462</v>
      </c>
      <c r="AB50" s="76" t="s">
        <v>462</v>
      </c>
      <c r="AC50" s="750" t="s">
        <v>462</v>
      </c>
      <c r="AD50" s="776" t="s">
        <v>462</v>
      </c>
      <c r="AE50" s="858" t="s">
        <v>462</v>
      </c>
      <c r="AF50" s="859" t="s">
        <v>462</v>
      </c>
      <c r="AG50" s="68" t="s">
        <v>462</v>
      </c>
      <c r="AH50" s="68" t="s">
        <v>462</v>
      </c>
      <c r="AI50" s="68" t="s">
        <v>462</v>
      </c>
      <c r="AJ50" s="68" t="s">
        <v>462</v>
      </c>
      <c r="AK50" s="68" t="s">
        <v>462</v>
      </c>
      <c r="AL50" s="68" t="s">
        <v>462</v>
      </c>
      <c r="AM50" s="746" t="s">
        <v>462</v>
      </c>
      <c r="AN50" s="74" t="s">
        <v>462</v>
      </c>
      <c r="AO50" s="749" t="s">
        <v>462</v>
      </c>
      <c r="AP50" s="746" t="s">
        <v>462</v>
      </c>
      <c r="AQ50" s="74" t="s">
        <v>462</v>
      </c>
      <c r="AR50" s="749" t="s">
        <v>462</v>
      </c>
      <c r="AS50" s="746" t="s">
        <v>462</v>
      </c>
      <c r="AT50" s="74" t="s">
        <v>462</v>
      </c>
      <c r="AU50" s="749" t="s">
        <v>462</v>
      </c>
      <c r="AV50" s="774" t="s">
        <v>462</v>
      </c>
      <c r="AW50" s="76" t="s">
        <v>462</v>
      </c>
      <c r="AX50" s="750" t="s">
        <v>462</v>
      </c>
      <c r="AY50" s="68" t="s">
        <v>462</v>
      </c>
      <c r="AZ50" s="68" t="s">
        <v>462</v>
      </c>
      <c r="BA50" s="1198" t="s">
        <v>462</v>
      </c>
      <c r="BB50" s="68" t="s">
        <v>462</v>
      </c>
      <c r="BC50" s="68" t="s">
        <v>462</v>
      </c>
      <c r="BD50" s="1198" t="s">
        <v>462</v>
      </c>
      <c r="BE50" s="68" t="s">
        <v>462</v>
      </c>
      <c r="BF50" s="68" t="s">
        <v>462</v>
      </c>
      <c r="BG50" s="1198" t="s">
        <v>462</v>
      </c>
      <c r="BH50" s="68" t="s">
        <v>462</v>
      </c>
      <c r="BI50" s="68" t="s">
        <v>462</v>
      </c>
      <c r="BJ50" s="1198" t="s">
        <v>462</v>
      </c>
      <c r="BK50" s="68" t="s">
        <v>462</v>
      </c>
      <c r="BL50" s="68" t="s">
        <v>462</v>
      </c>
      <c r="BM50" s="68" t="s">
        <v>462</v>
      </c>
      <c r="BN50" s="68" t="s">
        <v>462</v>
      </c>
      <c r="BO50" s="68" t="s">
        <v>462</v>
      </c>
      <c r="BP50" s="68" t="s">
        <v>462</v>
      </c>
      <c r="BQ50" s="68"/>
      <c r="BR50" s="141" t="s">
        <v>477</v>
      </c>
      <c r="BS50" s="759" t="s">
        <v>476</v>
      </c>
      <c r="BT50" s="1061">
        <v>0.69</v>
      </c>
      <c r="BU50" s="746" t="s">
        <v>484</v>
      </c>
      <c r="BV50" s="759" t="s">
        <v>476</v>
      </c>
      <c r="BW50" s="773">
        <v>1.0</v>
      </c>
      <c r="BX50" s="1742" t="s">
        <v>484</v>
      </c>
      <c r="BY50" s="791" t="s">
        <v>476</v>
      </c>
      <c r="BZ50" s="778">
        <v>1.0</v>
      </c>
      <c r="CA50" s="68" t="s">
        <v>485</v>
      </c>
      <c r="CB50" s="791" t="s">
        <v>476</v>
      </c>
      <c r="CC50" s="1743">
        <v>1.0</v>
      </c>
      <c r="CD50" s="68" t="s">
        <v>485</v>
      </c>
      <c r="CE50" s="791" t="s">
        <v>476</v>
      </c>
      <c r="CF50" s="1743">
        <v>1.0</v>
      </c>
      <c r="CG50" s="135"/>
      <c r="CH50" s="135"/>
      <c r="CI50" s="135"/>
    </row>
    <row r="51" ht="15.0" customHeight="1" outlineLevel="1">
      <c r="A51" s="60">
        <v>63.0</v>
      </c>
      <c r="B51" s="747" t="str">
        <f t="shared" si="2"/>
        <v>CPQ11-ELEC-SPDA-DATA-R22.rvt</v>
      </c>
      <c r="C51" s="60">
        <v>63.0</v>
      </c>
      <c r="D51" s="74" t="s">
        <v>2161</v>
      </c>
      <c r="E51" s="74" t="s">
        <v>2162</v>
      </c>
      <c r="F51" s="71" t="s">
        <v>85</v>
      </c>
      <c r="G51" s="74" t="s">
        <v>482</v>
      </c>
      <c r="H51" s="1713" t="s">
        <v>2124</v>
      </c>
      <c r="I51" s="146" t="s">
        <v>169</v>
      </c>
      <c r="J51" s="72" t="s">
        <v>169</v>
      </c>
      <c r="K51" s="139" t="s">
        <v>169</v>
      </c>
      <c r="L51" s="139"/>
      <c r="M51" s="746" t="str">
        <f>IFERROR(VLOOKUP(B48:B238,'RELATÓRIO ACC'!B:F,5,FALSE),"N/A")</f>
        <v>N/A</v>
      </c>
      <c r="N51" s="748" t="str">
        <f>IFERROR(VLOOKUP(B48:B238,'RELATÓRIO ACC'!B:P,15,FALSE),"N/A")</f>
        <v>N/A</v>
      </c>
      <c r="O51" s="141" t="s">
        <v>462</v>
      </c>
      <c r="P51" s="749" t="s">
        <v>462</v>
      </c>
      <c r="Q51" s="751"/>
      <c r="R51" s="746" t="s">
        <v>466</v>
      </c>
      <c r="S51" s="74" t="s">
        <v>462</v>
      </c>
      <c r="T51" s="749" t="s">
        <v>462</v>
      </c>
      <c r="U51" s="746" t="s">
        <v>466</v>
      </c>
      <c r="V51" s="74" t="s">
        <v>462</v>
      </c>
      <c r="W51" s="749" t="s">
        <v>462</v>
      </c>
      <c r="X51" s="746" t="s">
        <v>466</v>
      </c>
      <c r="Y51" s="749" t="s">
        <v>462</v>
      </c>
      <c r="Z51" s="749" t="s">
        <v>462</v>
      </c>
      <c r="AA51" s="746" t="s">
        <v>466</v>
      </c>
      <c r="AB51" s="76" t="s">
        <v>462</v>
      </c>
      <c r="AC51" s="750" t="s">
        <v>462</v>
      </c>
      <c r="AD51" s="746" t="s">
        <v>466</v>
      </c>
      <c r="AE51" s="76" t="s">
        <v>462</v>
      </c>
      <c r="AF51" s="750" t="s">
        <v>462</v>
      </c>
      <c r="AG51" s="746" t="s">
        <v>466</v>
      </c>
      <c r="AH51" s="76" t="s">
        <v>462</v>
      </c>
      <c r="AI51" s="750" t="s">
        <v>462</v>
      </c>
      <c r="AJ51" s="746" t="s">
        <v>466</v>
      </c>
      <c r="AK51" s="76" t="s">
        <v>462</v>
      </c>
      <c r="AL51" s="750" t="s">
        <v>462</v>
      </c>
      <c r="AM51" s="746" t="s">
        <v>466</v>
      </c>
      <c r="AN51" s="74" t="s">
        <v>462</v>
      </c>
      <c r="AO51" s="749" t="s">
        <v>462</v>
      </c>
      <c r="AP51" s="746" t="s">
        <v>466</v>
      </c>
      <c r="AQ51" s="74" t="s">
        <v>462</v>
      </c>
      <c r="AR51" s="749" t="s">
        <v>462</v>
      </c>
      <c r="AS51" s="746" t="s">
        <v>466</v>
      </c>
      <c r="AT51" s="749" t="s">
        <v>462</v>
      </c>
      <c r="AU51" s="749" t="s">
        <v>462</v>
      </c>
      <c r="AV51" s="746" t="s">
        <v>466</v>
      </c>
      <c r="AW51" s="749" t="s">
        <v>462</v>
      </c>
      <c r="AX51" s="753" t="s">
        <v>462</v>
      </c>
      <c r="AY51" s="746" t="s">
        <v>466</v>
      </c>
      <c r="AZ51" s="749" t="s">
        <v>462</v>
      </c>
      <c r="BA51" s="1037" t="s">
        <v>462</v>
      </c>
      <c r="BB51" s="746" t="s">
        <v>466</v>
      </c>
      <c r="BC51" s="749" t="s">
        <v>462</v>
      </c>
      <c r="BD51" s="1037" t="s">
        <v>462</v>
      </c>
      <c r="BE51" s="746" t="s">
        <v>466</v>
      </c>
      <c r="BF51" s="749" t="s">
        <v>462</v>
      </c>
      <c r="BG51" s="1037" t="s">
        <v>462</v>
      </c>
      <c r="BH51" s="746" t="s">
        <v>466</v>
      </c>
      <c r="BI51" s="74" t="s">
        <v>462</v>
      </c>
      <c r="BJ51" s="1037" t="s">
        <v>462</v>
      </c>
      <c r="BK51" s="746" t="s">
        <v>466</v>
      </c>
      <c r="BL51" s="74" t="s">
        <v>462</v>
      </c>
      <c r="BM51" s="1037" t="s">
        <v>462</v>
      </c>
      <c r="BN51" s="746" t="s">
        <v>466</v>
      </c>
      <c r="BO51" s="74" t="s">
        <v>462</v>
      </c>
      <c r="BP51" s="1037" t="s">
        <v>462</v>
      </c>
      <c r="BQ51" s="126"/>
      <c r="BR51" s="141" t="s">
        <v>462</v>
      </c>
      <c r="BS51" s="74" t="s">
        <v>462</v>
      </c>
      <c r="BT51" s="749" t="s">
        <v>462</v>
      </c>
      <c r="BU51" s="746" t="s">
        <v>462</v>
      </c>
      <c r="BV51" s="74" t="s">
        <v>462</v>
      </c>
      <c r="BW51" s="749" t="s">
        <v>462</v>
      </c>
      <c r="BX51" s="1725" t="s">
        <v>462</v>
      </c>
      <c r="BY51" s="125" t="s">
        <v>462</v>
      </c>
      <c r="BZ51" s="1726" t="s">
        <v>462</v>
      </c>
      <c r="CA51" s="1723" t="s">
        <v>462</v>
      </c>
      <c r="CB51" s="125" t="s">
        <v>462</v>
      </c>
      <c r="CC51" s="1727" t="s">
        <v>462</v>
      </c>
      <c r="CD51" s="1723" t="s">
        <v>462</v>
      </c>
      <c r="CE51" s="125" t="s">
        <v>462</v>
      </c>
      <c r="CF51" s="1727" t="s">
        <v>462</v>
      </c>
      <c r="CG51" s="111"/>
      <c r="CH51" s="111"/>
      <c r="CI51" s="111"/>
    </row>
    <row r="52" ht="15.0" customHeight="1" outlineLevel="1">
      <c r="A52" s="60">
        <v>64.0</v>
      </c>
      <c r="B52" s="1731" t="str">
        <f t="shared" si="2"/>
        <v>CPQ11-ELEC-SPDA-SITE-R22.rvt</v>
      </c>
      <c r="C52" s="60">
        <v>64.0</v>
      </c>
      <c r="D52" s="74" t="s">
        <v>2161</v>
      </c>
      <c r="E52" s="74" t="s">
        <v>2162</v>
      </c>
      <c r="F52" s="71" t="s">
        <v>90</v>
      </c>
      <c r="G52" s="74" t="s">
        <v>482</v>
      </c>
      <c r="H52" s="1713" t="s">
        <v>2124</v>
      </c>
      <c r="I52" s="146" t="s">
        <v>169</v>
      </c>
      <c r="J52" s="72" t="s">
        <v>169</v>
      </c>
      <c r="K52" s="139" t="s">
        <v>169</v>
      </c>
      <c r="L52" s="139"/>
      <c r="M52" s="746" t="str">
        <f>IFERROR(VLOOKUP(B49:B239,'RELATÓRIO ACC'!B:F,5,FALSE),"N/A")</f>
        <v>N/A</v>
      </c>
      <c r="N52" s="748" t="str">
        <f>IFERROR(VLOOKUP(B49:B239,'RELATÓRIO ACC'!B:P,15,FALSE),"N/A")</f>
        <v>N/A</v>
      </c>
      <c r="O52" s="141" t="s">
        <v>462</v>
      </c>
      <c r="P52" s="749" t="s">
        <v>462</v>
      </c>
      <c r="Q52" s="751"/>
      <c r="R52" s="746" t="s">
        <v>462</v>
      </c>
      <c r="S52" s="74" t="s">
        <v>462</v>
      </c>
      <c r="T52" s="749" t="s">
        <v>462</v>
      </c>
      <c r="U52" s="746" t="s">
        <v>462</v>
      </c>
      <c r="V52" s="74" t="s">
        <v>462</v>
      </c>
      <c r="W52" s="749" t="s">
        <v>462</v>
      </c>
      <c r="X52" s="746" t="s">
        <v>462</v>
      </c>
      <c r="Y52" s="74" t="s">
        <v>462</v>
      </c>
      <c r="Z52" s="749" t="s">
        <v>462</v>
      </c>
      <c r="AA52" s="746" t="s">
        <v>462</v>
      </c>
      <c r="AB52" s="74" t="s">
        <v>462</v>
      </c>
      <c r="AC52" s="753" t="s">
        <v>462</v>
      </c>
      <c r="AD52" s="746" t="s">
        <v>462</v>
      </c>
      <c r="AE52" s="74" t="s">
        <v>462</v>
      </c>
      <c r="AF52" s="753" t="s">
        <v>462</v>
      </c>
      <c r="AG52" s="746" t="s">
        <v>462</v>
      </c>
      <c r="AH52" s="74" t="s">
        <v>462</v>
      </c>
      <c r="AI52" s="753" t="s">
        <v>462</v>
      </c>
      <c r="AJ52" s="746" t="s">
        <v>462</v>
      </c>
      <c r="AK52" s="74" t="s">
        <v>462</v>
      </c>
      <c r="AL52" s="753" t="s">
        <v>462</v>
      </c>
      <c r="AM52" s="746" t="s">
        <v>462</v>
      </c>
      <c r="AN52" s="74" t="s">
        <v>462</v>
      </c>
      <c r="AO52" s="749" t="s">
        <v>462</v>
      </c>
      <c r="AP52" s="746" t="s">
        <v>462</v>
      </c>
      <c r="AQ52" s="74" t="s">
        <v>462</v>
      </c>
      <c r="AR52" s="749" t="s">
        <v>462</v>
      </c>
      <c r="AS52" s="746" t="s">
        <v>462</v>
      </c>
      <c r="AT52" s="74" t="s">
        <v>462</v>
      </c>
      <c r="AU52" s="749" t="s">
        <v>462</v>
      </c>
      <c r="AV52" s="746" t="s">
        <v>462</v>
      </c>
      <c r="AW52" s="74" t="s">
        <v>462</v>
      </c>
      <c r="AX52" s="753" t="s">
        <v>462</v>
      </c>
      <c r="AY52" s="746" t="s">
        <v>462</v>
      </c>
      <c r="AZ52" s="74" t="s">
        <v>462</v>
      </c>
      <c r="BA52" s="1037" t="s">
        <v>462</v>
      </c>
      <c r="BB52" s="746" t="s">
        <v>462</v>
      </c>
      <c r="BC52" s="74" t="s">
        <v>462</v>
      </c>
      <c r="BD52" s="1037" t="s">
        <v>462</v>
      </c>
      <c r="BE52" s="746" t="s">
        <v>462</v>
      </c>
      <c r="BF52" s="74" t="s">
        <v>462</v>
      </c>
      <c r="BG52" s="1037" t="s">
        <v>462</v>
      </c>
      <c r="BH52" s="746" t="s">
        <v>462</v>
      </c>
      <c r="BI52" s="74" t="s">
        <v>462</v>
      </c>
      <c r="BJ52" s="1037" t="s">
        <v>462</v>
      </c>
      <c r="BK52" s="746" t="s">
        <v>462</v>
      </c>
      <c r="BL52" s="74" t="s">
        <v>462</v>
      </c>
      <c r="BM52" s="1037" t="s">
        <v>462</v>
      </c>
      <c r="BN52" s="746" t="s">
        <v>462</v>
      </c>
      <c r="BO52" s="74" t="s">
        <v>462</v>
      </c>
      <c r="BP52" s="1037" t="s">
        <v>462</v>
      </c>
      <c r="BQ52" s="126"/>
      <c r="BR52" s="141" t="s">
        <v>466</v>
      </c>
      <c r="BS52" s="74" t="s">
        <v>462</v>
      </c>
      <c r="BT52" s="749" t="s">
        <v>462</v>
      </c>
      <c r="BU52" s="746" t="s">
        <v>466</v>
      </c>
      <c r="BV52" s="74" t="s">
        <v>462</v>
      </c>
      <c r="BW52" s="749" t="s">
        <v>462</v>
      </c>
      <c r="BX52" s="1729" t="s">
        <v>466</v>
      </c>
      <c r="BY52" s="74" t="s">
        <v>462</v>
      </c>
      <c r="BZ52" s="753" t="s">
        <v>462</v>
      </c>
      <c r="CA52" s="141" t="s">
        <v>466</v>
      </c>
      <c r="CB52" s="74" t="s">
        <v>462</v>
      </c>
      <c r="CC52" s="1714" t="s">
        <v>462</v>
      </c>
      <c r="CD52" s="141" t="s">
        <v>466</v>
      </c>
      <c r="CE52" s="74" t="s">
        <v>462</v>
      </c>
      <c r="CF52" s="1714" t="s">
        <v>462</v>
      </c>
      <c r="CG52" s="68"/>
      <c r="CH52" s="68"/>
      <c r="CI52" s="68"/>
    </row>
    <row r="53" ht="15.0" customHeight="1">
      <c r="A53" s="60">
        <v>39.0</v>
      </c>
      <c r="B53" s="769" t="str">
        <f t="shared" si="2"/>
        <v>CPQ11-EPMS-DEVS-DATA-R22.rvt</v>
      </c>
      <c r="C53" s="60">
        <v>39.0</v>
      </c>
      <c r="D53" s="126" t="s">
        <v>2163</v>
      </c>
      <c r="E53" s="126" t="s">
        <v>2150</v>
      </c>
      <c r="F53" s="770" t="s">
        <v>85</v>
      </c>
      <c r="G53" s="126" t="s">
        <v>482</v>
      </c>
      <c r="H53" s="1733" t="s">
        <v>2124</v>
      </c>
      <c r="I53" s="771" t="s">
        <v>180</v>
      </c>
      <c r="J53" s="771">
        <v>1114.0</v>
      </c>
      <c r="K53" s="771" t="s">
        <v>180</v>
      </c>
      <c r="L53" s="139">
        <v>1114.0</v>
      </c>
      <c r="M53" s="852" t="str">
        <f>IFERROR(VLOOKUP(B50:B240,'RELATÓRIO ACC'!B:F,5,FALSE),"N/A")</f>
        <v>N/A</v>
      </c>
      <c r="N53" s="1197" t="str">
        <f>IFERROR(VLOOKUP(B50:B240,'RELATÓRIO ACC'!B:P,15,FALSE),"N/A")</f>
        <v>N/A</v>
      </c>
      <c r="O53" s="126" t="s">
        <v>500</v>
      </c>
      <c r="P53" s="857">
        <v>45929.0</v>
      </c>
      <c r="Q53" s="751" t="s">
        <v>102</v>
      </c>
      <c r="R53" s="746" t="s">
        <v>477</v>
      </c>
      <c r="S53" s="766" t="s">
        <v>476</v>
      </c>
      <c r="T53" s="773">
        <v>0.7</v>
      </c>
      <c r="U53" s="746" t="s">
        <v>484</v>
      </c>
      <c r="V53" s="766" t="s">
        <v>476</v>
      </c>
      <c r="W53" s="773">
        <v>1.0</v>
      </c>
      <c r="X53" s="746" t="s">
        <v>477</v>
      </c>
      <c r="Y53" s="766" t="s">
        <v>476</v>
      </c>
      <c r="Z53" s="773">
        <v>0.9</v>
      </c>
      <c r="AA53" s="774" t="s">
        <v>484</v>
      </c>
      <c r="AB53" s="786" t="s">
        <v>476</v>
      </c>
      <c r="AC53" s="768">
        <v>1.0</v>
      </c>
      <c r="AD53" s="776" t="s">
        <v>484</v>
      </c>
      <c r="AE53" s="788" t="s">
        <v>476</v>
      </c>
      <c r="AF53" s="778">
        <v>1.0</v>
      </c>
      <c r="AG53" s="776" t="s">
        <v>485</v>
      </c>
      <c r="AH53" s="788" t="s">
        <v>476</v>
      </c>
      <c r="AI53" s="778">
        <v>1.0</v>
      </c>
      <c r="AJ53" s="776" t="s">
        <v>485</v>
      </c>
      <c r="AK53" s="788" t="s">
        <v>476</v>
      </c>
      <c r="AL53" s="778">
        <v>1.0</v>
      </c>
      <c r="AM53" s="746" t="s">
        <v>477</v>
      </c>
      <c r="AN53" s="766" t="s">
        <v>476</v>
      </c>
      <c r="AO53" s="773">
        <v>0.6</v>
      </c>
      <c r="AP53" s="746" t="s">
        <v>477</v>
      </c>
      <c r="AQ53" s="766" t="s">
        <v>476</v>
      </c>
      <c r="AR53" s="773">
        <v>0.9</v>
      </c>
      <c r="AS53" s="746" t="s">
        <v>477</v>
      </c>
      <c r="AT53" s="766" t="s">
        <v>476</v>
      </c>
      <c r="AU53" s="773">
        <v>0.9</v>
      </c>
      <c r="AV53" s="774" t="s">
        <v>484</v>
      </c>
      <c r="AW53" s="786" t="s">
        <v>476</v>
      </c>
      <c r="AX53" s="768">
        <v>1.0</v>
      </c>
      <c r="AY53" s="68" t="s">
        <v>484</v>
      </c>
      <c r="AZ53" s="791" t="s">
        <v>476</v>
      </c>
      <c r="BA53" s="1207">
        <v>1.0</v>
      </c>
      <c r="BB53" s="68" t="s">
        <v>485</v>
      </c>
      <c r="BC53" s="791" t="s">
        <v>476</v>
      </c>
      <c r="BD53" s="1207">
        <v>1.0</v>
      </c>
      <c r="BE53" s="68" t="s">
        <v>485</v>
      </c>
      <c r="BF53" s="791" t="s">
        <v>476</v>
      </c>
      <c r="BG53" s="1207">
        <v>1.0</v>
      </c>
      <c r="BH53" s="68" t="s">
        <v>477</v>
      </c>
      <c r="BI53" s="791" t="s">
        <v>476</v>
      </c>
      <c r="BJ53" s="1207">
        <v>0.9</v>
      </c>
      <c r="BK53" s="763" t="s">
        <v>478</v>
      </c>
      <c r="BL53" s="68">
        <v>0.0</v>
      </c>
      <c r="BM53" s="68">
        <v>0.0</v>
      </c>
      <c r="BN53" s="763" t="s">
        <v>484</v>
      </c>
      <c r="BO53" s="791" t="s">
        <v>476</v>
      </c>
      <c r="BP53" s="135">
        <v>1.0</v>
      </c>
      <c r="BQ53" s="68" t="s">
        <v>708</v>
      </c>
      <c r="BR53" s="1723" t="s">
        <v>462</v>
      </c>
      <c r="BS53" s="125" t="s">
        <v>462</v>
      </c>
      <c r="BT53" s="147" t="s">
        <v>462</v>
      </c>
      <c r="BU53" s="1724" t="s">
        <v>462</v>
      </c>
      <c r="BV53" s="125" t="s">
        <v>462</v>
      </c>
      <c r="BW53" s="147" t="s">
        <v>462</v>
      </c>
      <c r="BX53" s="1734" t="s">
        <v>462</v>
      </c>
      <c r="BY53" s="111" t="s">
        <v>462</v>
      </c>
      <c r="BZ53" s="1735" t="s">
        <v>462</v>
      </c>
      <c r="CA53" s="1736" t="s">
        <v>462</v>
      </c>
      <c r="CB53" s="111" t="s">
        <v>462</v>
      </c>
      <c r="CC53" s="1737" t="s">
        <v>462</v>
      </c>
      <c r="CD53" s="1736" t="s">
        <v>462</v>
      </c>
      <c r="CE53" s="111" t="s">
        <v>462</v>
      </c>
      <c r="CF53" s="1737" t="s">
        <v>462</v>
      </c>
      <c r="CG53" s="111"/>
      <c r="CH53" s="111"/>
      <c r="CI53" s="111"/>
    </row>
    <row r="54" ht="15.0" customHeight="1" outlineLevel="1">
      <c r="A54" s="60">
        <v>40.0</v>
      </c>
      <c r="B54" s="747" t="str">
        <f t="shared" si="2"/>
        <v>CPQ11-EPMS-DEVS-SITE-R22.rvt</v>
      </c>
      <c r="C54" s="60">
        <v>40.0</v>
      </c>
      <c r="D54" s="74" t="s">
        <v>2163</v>
      </c>
      <c r="E54" s="74" t="s">
        <v>2150</v>
      </c>
      <c r="F54" s="71" t="s">
        <v>90</v>
      </c>
      <c r="G54" s="74" t="s">
        <v>482</v>
      </c>
      <c r="H54" s="1713" t="s">
        <v>2124</v>
      </c>
      <c r="I54" s="146" t="s">
        <v>180</v>
      </c>
      <c r="J54" s="72">
        <v>1114.0</v>
      </c>
      <c r="K54" s="139" t="s">
        <v>180</v>
      </c>
      <c r="L54" s="139">
        <v>1114.0</v>
      </c>
      <c r="M54" s="746" t="str">
        <f>IFERROR(VLOOKUP(B51:B241,'RELATÓRIO ACC'!B:F,5,FALSE),"N/A")</f>
        <v>N/A</v>
      </c>
      <c r="N54" s="748" t="str">
        <f>IFERROR(VLOOKUP(B51:B241,'RELATÓRIO ACC'!B:P,15,FALSE),"N/A")</f>
        <v>N/A</v>
      </c>
      <c r="O54" s="141" t="s">
        <v>490</v>
      </c>
      <c r="P54" s="782">
        <v>45896.0</v>
      </c>
      <c r="Q54" s="751" t="s">
        <v>87</v>
      </c>
      <c r="R54" s="746" t="s">
        <v>462</v>
      </c>
      <c r="S54" s="74" t="s">
        <v>462</v>
      </c>
      <c r="T54" s="749" t="s">
        <v>462</v>
      </c>
      <c r="U54" s="746" t="s">
        <v>462</v>
      </c>
      <c r="V54" s="74" t="s">
        <v>462</v>
      </c>
      <c r="W54" s="749" t="s">
        <v>462</v>
      </c>
      <c r="X54" s="746" t="s">
        <v>462</v>
      </c>
      <c r="Y54" s="74" t="s">
        <v>462</v>
      </c>
      <c r="Z54" s="749" t="s">
        <v>462</v>
      </c>
      <c r="AA54" s="746" t="s">
        <v>462</v>
      </c>
      <c r="AB54" s="74" t="s">
        <v>462</v>
      </c>
      <c r="AC54" s="750" t="s">
        <v>462</v>
      </c>
      <c r="AD54" s="746" t="s">
        <v>462</v>
      </c>
      <c r="AE54" s="74" t="s">
        <v>462</v>
      </c>
      <c r="AF54" s="753" t="s">
        <v>462</v>
      </c>
      <c r="AG54" s="746" t="s">
        <v>462</v>
      </c>
      <c r="AH54" s="74" t="s">
        <v>462</v>
      </c>
      <c r="AI54" s="753" t="s">
        <v>462</v>
      </c>
      <c r="AJ54" s="746" t="s">
        <v>462</v>
      </c>
      <c r="AK54" s="74" t="s">
        <v>462</v>
      </c>
      <c r="AL54" s="753" t="s">
        <v>462</v>
      </c>
      <c r="AM54" s="746" t="s">
        <v>462</v>
      </c>
      <c r="AN54" s="74" t="s">
        <v>462</v>
      </c>
      <c r="AO54" s="749" t="s">
        <v>462</v>
      </c>
      <c r="AP54" s="746" t="s">
        <v>462</v>
      </c>
      <c r="AQ54" s="74" t="s">
        <v>462</v>
      </c>
      <c r="AR54" s="749" t="s">
        <v>462</v>
      </c>
      <c r="AS54" s="746" t="s">
        <v>462</v>
      </c>
      <c r="AT54" s="74" t="s">
        <v>462</v>
      </c>
      <c r="AU54" s="749" t="s">
        <v>462</v>
      </c>
      <c r="AV54" s="746" t="s">
        <v>462</v>
      </c>
      <c r="AW54" s="74" t="s">
        <v>462</v>
      </c>
      <c r="AX54" s="753" t="s">
        <v>462</v>
      </c>
      <c r="AY54" s="746" t="s">
        <v>462</v>
      </c>
      <c r="AZ54" s="74" t="s">
        <v>462</v>
      </c>
      <c r="BA54" s="1037" t="s">
        <v>462</v>
      </c>
      <c r="BB54" s="746" t="s">
        <v>462</v>
      </c>
      <c r="BC54" s="74" t="s">
        <v>462</v>
      </c>
      <c r="BD54" s="1037" t="s">
        <v>462</v>
      </c>
      <c r="BE54" s="746" t="s">
        <v>462</v>
      </c>
      <c r="BF54" s="74" t="s">
        <v>462</v>
      </c>
      <c r="BG54" s="1037" t="s">
        <v>462</v>
      </c>
      <c r="BH54" s="746" t="s">
        <v>462</v>
      </c>
      <c r="BI54" s="74" t="s">
        <v>462</v>
      </c>
      <c r="BJ54" s="1037" t="s">
        <v>462</v>
      </c>
      <c r="BK54" s="746" t="s">
        <v>462</v>
      </c>
      <c r="BL54" s="74" t="s">
        <v>462</v>
      </c>
      <c r="BM54" s="1037" t="s">
        <v>462</v>
      </c>
      <c r="BN54" s="746" t="s">
        <v>462</v>
      </c>
      <c r="BO54" s="74" t="s">
        <v>462</v>
      </c>
      <c r="BP54" s="1037" t="s">
        <v>462</v>
      </c>
      <c r="BQ54" s="126"/>
      <c r="BR54" s="141" t="s">
        <v>477</v>
      </c>
      <c r="BS54" s="759" t="s">
        <v>476</v>
      </c>
      <c r="BT54" s="773">
        <v>0.69</v>
      </c>
      <c r="BU54" s="746" t="s">
        <v>484</v>
      </c>
      <c r="BV54" s="766" t="s">
        <v>476</v>
      </c>
      <c r="BW54" s="773">
        <v>1.0</v>
      </c>
      <c r="BX54" s="746" t="s">
        <v>484</v>
      </c>
      <c r="BY54" s="766" t="s">
        <v>476</v>
      </c>
      <c r="BZ54" s="762">
        <v>1.0</v>
      </c>
      <c r="CA54" s="746" t="s">
        <v>485</v>
      </c>
      <c r="CB54" s="766" t="s">
        <v>476</v>
      </c>
      <c r="CC54" s="1387">
        <v>1.0</v>
      </c>
      <c r="CD54" s="746" t="s">
        <v>485</v>
      </c>
      <c r="CE54" s="766" t="s">
        <v>476</v>
      </c>
      <c r="CF54" s="1387">
        <v>1.0</v>
      </c>
      <c r="CG54" s="135"/>
      <c r="CH54" s="135"/>
      <c r="CI54" s="135"/>
    </row>
    <row r="55" ht="15.0" customHeight="1" outlineLevel="1">
      <c r="A55" s="60">
        <v>69.0</v>
      </c>
      <c r="B55" s="747" t="str">
        <f t="shared" si="2"/>
        <v>CPQ11-FALM-FALM-DATA-R22.rvt</v>
      </c>
      <c r="C55" s="60">
        <v>69.0</v>
      </c>
      <c r="D55" s="74" t="s">
        <v>2164</v>
      </c>
      <c r="E55" s="74" t="s">
        <v>2164</v>
      </c>
      <c r="F55" s="71" t="s">
        <v>85</v>
      </c>
      <c r="G55" s="74" t="s">
        <v>482</v>
      </c>
      <c r="H55" s="1713" t="s">
        <v>2124</v>
      </c>
      <c r="I55" s="146" t="s">
        <v>169</v>
      </c>
      <c r="J55" s="72">
        <v>1112.0</v>
      </c>
      <c r="K55" s="139" t="s">
        <v>169</v>
      </c>
      <c r="L55" s="139">
        <v>1112.0</v>
      </c>
      <c r="M55" s="746" t="str">
        <f>IFERROR(VLOOKUP(B52:B242,'RELATÓRIO ACC'!B:F,5,FALSE),"N/A")</f>
        <v>N/A</v>
      </c>
      <c r="N55" s="748" t="str">
        <f>IFERROR(VLOOKUP(B52:B242,'RELATÓRIO ACC'!B:P,15,FALSE),"N/A")</f>
        <v>N/A</v>
      </c>
      <c r="O55" s="141" t="s">
        <v>494</v>
      </c>
      <c r="P55" s="756">
        <v>45868.0</v>
      </c>
      <c r="Q55" s="751" t="s">
        <v>87</v>
      </c>
      <c r="R55" s="746" t="s">
        <v>477</v>
      </c>
      <c r="S55" s="766" t="s">
        <v>476</v>
      </c>
      <c r="T55" s="773">
        <v>0.75</v>
      </c>
      <c r="U55" s="746" t="s">
        <v>466</v>
      </c>
      <c r="V55" s="466" t="s">
        <v>483</v>
      </c>
      <c r="W55" s="749">
        <v>0.0</v>
      </c>
      <c r="X55" s="746" t="s">
        <v>477</v>
      </c>
      <c r="Y55" s="792" t="s">
        <v>476</v>
      </c>
      <c r="Z55" s="773">
        <v>0.56</v>
      </c>
      <c r="AA55" s="746" t="s">
        <v>477</v>
      </c>
      <c r="AB55" s="775" t="s">
        <v>476</v>
      </c>
      <c r="AC55" s="768">
        <v>0.63</v>
      </c>
      <c r="AD55" s="755" t="s">
        <v>478</v>
      </c>
      <c r="AE55" s="76">
        <v>0.0</v>
      </c>
      <c r="AF55" s="750">
        <v>0.0</v>
      </c>
      <c r="AG55" s="755" t="s">
        <v>478</v>
      </c>
      <c r="AH55" s="76">
        <v>0.0</v>
      </c>
      <c r="AI55" s="750">
        <v>0.0</v>
      </c>
      <c r="AJ55" s="755" t="s">
        <v>478</v>
      </c>
      <c r="AK55" s="76">
        <v>0.0</v>
      </c>
      <c r="AL55" s="750">
        <v>0.0</v>
      </c>
      <c r="AM55" s="746" t="s">
        <v>477</v>
      </c>
      <c r="AN55" s="766" t="s">
        <v>476</v>
      </c>
      <c r="AO55" s="773">
        <v>0.4</v>
      </c>
      <c r="AP55" s="746" t="s">
        <v>466</v>
      </c>
      <c r="AQ55" s="466" t="s">
        <v>483</v>
      </c>
      <c r="AR55" s="749">
        <v>0.0</v>
      </c>
      <c r="AS55" s="746" t="s">
        <v>477</v>
      </c>
      <c r="AT55" s="792" t="s">
        <v>476</v>
      </c>
      <c r="AU55" s="773">
        <v>0.57</v>
      </c>
      <c r="AV55" s="746" t="s">
        <v>477</v>
      </c>
      <c r="AW55" s="775" t="s">
        <v>476</v>
      </c>
      <c r="AX55" s="768">
        <v>0.66</v>
      </c>
      <c r="AY55" s="755" t="s">
        <v>478</v>
      </c>
      <c r="AZ55" s="76">
        <v>0.0</v>
      </c>
      <c r="BA55" s="1740">
        <v>0.0</v>
      </c>
      <c r="BB55" s="755" t="s">
        <v>478</v>
      </c>
      <c r="BC55" s="76">
        <v>0.0</v>
      </c>
      <c r="BD55" s="1740">
        <v>0.0</v>
      </c>
      <c r="BE55" s="755" t="s">
        <v>478</v>
      </c>
      <c r="BF55" s="76">
        <v>0.0</v>
      </c>
      <c r="BG55" s="1740">
        <v>0.0</v>
      </c>
      <c r="BH55" s="746" t="s">
        <v>477</v>
      </c>
      <c r="BI55" s="759" t="s">
        <v>476</v>
      </c>
      <c r="BJ55" s="1183">
        <v>0.69</v>
      </c>
      <c r="BK55" s="755" t="s">
        <v>478</v>
      </c>
      <c r="BL55" s="74">
        <v>0.0</v>
      </c>
      <c r="BM55" s="1037">
        <v>0.0</v>
      </c>
      <c r="BN55" s="755" t="s">
        <v>478</v>
      </c>
      <c r="BO55" s="74">
        <v>0.0</v>
      </c>
      <c r="BP55" s="1037">
        <v>0.0</v>
      </c>
      <c r="BQ55" s="126" t="s">
        <v>709</v>
      </c>
      <c r="BR55" s="1723" t="s">
        <v>462</v>
      </c>
      <c r="BS55" s="125" t="s">
        <v>462</v>
      </c>
      <c r="BT55" s="147" t="s">
        <v>462</v>
      </c>
      <c r="BU55" s="1724" t="s">
        <v>462</v>
      </c>
      <c r="BV55" s="125" t="s">
        <v>462</v>
      </c>
      <c r="BW55" s="147" t="s">
        <v>462</v>
      </c>
      <c r="BX55" s="1725" t="s">
        <v>462</v>
      </c>
      <c r="BY55" s="125" t="s">
        <v>462</v>
      </c>
      <c r="BZ55" s="1726" t="s">
        <v>462</v>
      </c>
      <c r="CA55" s="1723" t="s">
        <v>462</v>
      </c>
      <c r="CB55" s="125" t="s">
        <v>462</v>
      </c>
      <c r="CC55" s="1727" t="s">
        <v>462</v>
      </c>
      <c r="CD55" s="1723" t="s">
        <v>462</v>
      </c>
      <c r="CE55" s="125" t="s">
        <v>462</v>
      </c>
      <c r="CF55" s="1727" t="s">
        <v>462</v>
      </c>
      <c r="CG55" s="111"/>
      <c r="CH55" s="111"/>
      <c r="CI55" s="111"/>
    </row>
    <row r="56" ht="15.0" customHeight="1">
      <c r="A56" s="60">
        <v>68.0</v>
      </c>
      <c r="B56" s="769" t="str">
        <f t="shared" si="2"/>
        <v>CPQ11-FALM-FALM-SITE-R22.rvt</v>
      </c>
      <c r="C56" s="60">
        <v>68.0</v>
      </c>
      <c r="D56" s="126" t="s">
        <v>2164</v>
      </c>
      <c r="E56" s="126" t="s">
        <v>2164</v>
      </c>
      <c r="F56" s="770" t="s">
        <v>90</v>
      </c>
      <c r="G56" s="126" t="s">
        <v>482</v>
      </c>
      <c r="H56" s="1733" t="s">
        <v>2124</v>
      </c>
      <c r="I56" s="771" t="s">
        <v>169</v>
      </c>
      <c r="J56" s="771">
        <v>1112.0</v>
      </c>
      <c r="K56" s="771" t="s">
        <v>169</v>
      </c>
      <c r="L56" s="139">
        <v>1112.0</v>
      </c>
      <c r="M56" s="852" t="str">
        <f>IFERROR(VLOOKUP(B53:B243,'RELATÓRIO ACC'!B:F,5,FALSE),"N/A")</f>
        <v>N/A</v>
      </c>
      <c r="N56" s="1197" t="str">
        <f>IFERROR(VLOOKUP(B53:B243,'RELATÓRIO ACC'!B:P,15,FALSE),"N/A")</f>
        <v>N/A</v>
      </c>
      <c r="O56" s="126" t="s">
        <v>596</v>
      </c>
      <c r="P56" s="772">
        <v>45868.0</v>
      </c>
      <c r="Q56" s="751" t="s">
        <v>87</v>
      </c>
      <c r="R56" s="746" t="s">
        <v>466</v>
      </c>
      <c r="S56" s="74" t="s">
        <v>462</v>
      </c>
      <c r="T56" s="749" t="s">
        <v>462</v>
      </c>
      <c r="U56" s="746" t="s">
        <v>466</v>
      </c>
      <c r="V56" s="74" t="s">
        <v>462</v>
      </c>
      <c r="W56" s="749" t="s">
        <v>462</v>
      </c>
      <c r="X56" s="746" t="s">
        <v>466</v>
      </c>
      <c r="Y56" s="74" t="s">
        <v>462</v>
      </c>
      <c r="Z56" s="749" t="s">
        <v>462</v>
      </c>
      <c r="AA56" s="774" t="s">
        <v>466</v>
      </c>
      <c r="AB56" s="76" t="s">
        <v>462</v>
      </c>
      <c r="AC56" s="750" t="s">
        <v>462</v>
      </c>
      <c r="AD56" s="776" t="s">
        <v>466</v>
      </c>
      <c r="AE56" s="858" t="s">
        <v>462</v>
      </c>
      <c r="AF56" s="859" t="s">
        <v>462</v>
      </c>
      <c r="AG56" s="68" t="s">
        <v>466</v>
      </c>
      <c r="AH56" s="68" t="s">
        <v>462</v>
      </c>
      <c r="AI56" s="68" t="s">
        <v>462</v>
      </c>
      <c r="AJ56" s="68" t="s">
        <v>466</v>
      </c>
      <c r="AK56" s="68" t="s">
        <v>462</v>
      </c>
      <c r="AL56" s="68" t="s">
        <v>462</v>
      </c>
      <c r="AM56" s="746" t="s">
        <v>466</v>
      </c>
      <c r="AN56" s="74" t="s">
        <v>462</v>
      </c>
      <c r="AO56" s="749" t="s">
        <v>462</v>
      </c>
      <c r="AP56" s="746" t="s">
        <v>466</v>
      </c>
      <c r="AQ56" s="74" t="s">
        <v>462</v>
      </c>
      <c r="AR56" s="749" t="s">
        <v>462</v>
      </c>
      <c r="AS56" s="746" t="s">
        <v>466</v>
      </c>
      <c r="AT56" s="74" t="s">
        <v>462</v>
      </c>
      <c r="AU56" s="749" t="s">
        <v>462</v>
      </c>
      <c r="AV56" s="774" t="s">
        <v>466</v>
      </c>
      <c r="AW56" s="76" t="s">
        <v>462</v>
      </c>
      <c r="AX56" s="750" t="s">
        <v>462</v>
      </c>
      <c r="AY56" s="68" t="s">
        <v>466</v>
      </c>
      <c r="AZ56" s="68" t="s">
        <v>462</v>
      </c>
      <c r="BA56" s="1198" t="s">
        <v>462</v>
      </c>
      <c r="BB56" s="68" t="s">
        <v>466</v>
      </c>
      <c r="BC56" s="68" t="s">
        <v>462</v>
      </c>
      <c r="BD56" s="1198" t="s">
        <v>462</v>
      </c>
      <c r="BE56" s="68" t="s">
        <v>466</v>
      </c>
      <c r="BF56" s="68" t="s">
        <v>462</v>
      </c>
      <c r="BG56" s="1198" t="s">
        <v>462</v>
      </c>
      <c r="BH56" s="68" t="s">
        <v>466</v>
      </c>
      <c r="BI56" s="68" t="s">
        <v>462</v>
      </c>
      <c r="BJ56" s="1198" t="s">
        <v>462</v>
      </c>
      <c r="BK56" s="68" t="s">
        <v>466</v>
      </c>
      <c r="BL56" s="68" t="s">
        <v>462</v>
      </c>
      <c r="BM56" s="1198" t="s">
        <v>462</v>
      </c>
      <c r="BN56" s="68" t="s">
        <v>466</v>
      </c>
      <c r="BO56" s="68" t="s">
        <v>462</v>
      </c>
      <c r="BP56" s="1198" t="s">
        <v>462</v>
      </c>
      <c r="BQ56" s="68"/>
      <c r="BR56" s="141" t="s">
        <v>477</v>
      </c>
      <c r="BS56" s="759" t="s">
        <v>476</v>
      </c>
      <c r="BT56" s="773">
        <v>0.73</v>
      </c>
      <c r="BU56" s="746" t="s">
        <v>477</v>
      </c>
      <c r="BV56" s="759" t="s">
        <v>476</v>
      </c>
      <c r="BW56" s="773">
        <v>0.92</v>
      </c>
      <c r="BX56" s="1749" t="s">
        <v>478</v>
      </c>
      <c r="BY56" s="68">
        <v>0.0</v>
      </c>
      <c r="BZ56" s="859">
        <v>0.0</v>
      </c>
      <c r="CA56" s="763" t="s">
        <v>478</v>
      </c>
      <c r="CB56" s="68">
        <v>0.0</v>
      </c>
      <c r="CC56" s="1750">
        <v>0.0</v>
      </c>
      <c r="CD56" s="763" t="s">
        <v>478</v>
      </c>
      <c r="CE56" s="68">
        <v>0.0</v>
      </c>
      <c r="CF56" s="1750">
        <v>0.0</v>
      </c>
      <c r="CG56" s="68"/>
      <c r="CH56" s="68"/>
      <c r="CI56" s="68"/>
    </row>
    <row r="57" ht="16.5" customHeight="1" outlineLevel="1">
      <c r="A57" s="60">
        <v>72.0</v>
      </c>
      <c r="B57" s="747" t="str">
        <f t="shared" si="2"/>
        <v>CPQ11-FPRT-FPRT-DATA-R22.rvt</v>
      </c>
      <c r="C57" s="60">
        <v>72.0</v>
      </c>
      <c r="D57" s="74" t="s">
        <v>2165</v>
      </c>
      <c r="E57" s="74" t="s">
        <v>2165</v>
      </c>
      <c r="F57" s="71" t="s">
        <v>85</v>
      </c>
      <c r="G57" s="74" t="s">
        <v>482</v>
      </c>
      <c r="H57" s="1713" t="s">
        <v>2124</v>
      </c>
      <c r="I57" s="146" t="s">
        <v>169</v>
      </c>
      <c r="J57" s="72">
        <v>1112.0</v>
      </c>
      <c r="K57" s="139" t="s">
        <v>169</v>
      </c>
      <c r="L57" s="139">
        <v>1112.0</v>
      </c>
      <c r="M57" s="746" t="str">
        <f>IFERROR(VLOOKUP(B54:B244,'RELATÓRIO ACC'!B:F,5,FALSE),"N/A")</f>
        <v>N/A</v>
      </c>
      <c r="N57" s="748" t="str">
        <f>IFERROR(VLOOKUP(B54:B244,'RELATÓRIO ACC'!B:P,15,FALSE),"N/A")</f>
        <v>N/A</v>
      </c>
      <c r="O57" s="141" t="s">
        <v>494</v>
      </c>
      <c r="P57" s="756">
        <v>45868.0</v>
      </c>
      <c r="Q57" s="751" t="s">
        <v>87</v>
      </c>
      <c r="R57" s="746" t="s">
        <v>477</v>
      </c>
      <c r="S57" s="766" t="s">
        <v>476</v>
      </c>
      <c r="T57" s="773">
        <v>0.45</v>
      </c>
      <c r="U57" s="746" t="s">
        <v>466</v>
      </c>
      <c r="V57" s="466" t="s">
        <v>483</v>
      </c>
      <c r="W57" s="749">
        <v>0.0</v>
      </c>
      <c r="X57" s="746" t="s">
        <v>477</v>
      </c>
      <c r="Y57" s="861" t="s">
        <v>476</v>
      </c>
      <c r="Z57" s="773">
        <v>0.56</v>
      </c>
      <c r="AA57" s="746" t="s">
        <v>477</v>
      </c>
      <c r="AB57" s="759" t="s">
        <v>476</v>
      </c>
      <c r="AC57" s="768">
        <v>0.63</v>
      </c>
      <c r="AD57" s="755" t="s">
        <v>478</v>
      </c>
      <c r="AE57" s="74">
        <v>0.0</v>
      </c>
      <c r="AF57" s="750">
        <v>0.0</v>
      </c>
      <c r="AG57" s="755" t="s">
        <v>478</v>
      </c>
      <c r="AH57" s="74">
        <v>0.0</v>
      </c>
      <c r="AI57" s="750">
        <v>0.0</v>
      </c>
      <c r="AJ57" s="755" t="s">
        <v>478</v>
      </c>
      <c r="AK57" s="74">
        <v>0.0</v>
      </c>
      <c r="AL57" s="750">
        <v>0.0</v>
      </c>
      <c r="AM57" s="746" t="s">
        <v>477</v>
      </c>
      <c r="AN57" s="766" t="s">
        <v>476</v>
      </c>
      <c r="AO57" s="773">
        <v>0.42</v>
      </c>
      <c r="AP57" s="746" t="s">
        <v>466</v>
      </c>
      <c r="AQ57" s="466" t="s">
        <v>483</v>
      </c>
      <c r="AR57" s="749">
        <v>0.0</v>
      </c>
      <c r="AS57" s="746" t="s">
        <v>477</v>
      </c>
      <c r="AT57" s="759" t="s">
        <v>476</v>
      </c>
      <c r="AU57" s="773">
        <v>0.52</v>
      </c>
      <c r="AV57" s="746" t="s">
        <v>477</v>
      </c>
      <c r="AW57" s="786" t="s">
        <v>476</v>
      </c>
      <c r="AX57" s="768">
        <v>0.57</v>
      </c>
      <c r="AY57" s="755" t="s">
        <v>478</v>
      </c>
      <c r="AZ57" s="76">
        <v>0.0</v>
      </c>
      <c r="BA57" s="1740">
        <v>0.0</v>
      </c>
      <c r="BB57" s="755" t="s">
        <v>478</v>
      </c>
      <c r="BC57" s="76">
        <v>0.0</v>
      </c>
      <c r="BD57" s="1740">
        <v>0.0</v>
      </c>
      <c r="BE57" s="755" t="s">
        <v>478</v>
      </c>
      <c r="BF57" s="76">
        <v>0.0</v>
      </c>
      <c r="BG57" s="1740">
        <v>0.0</v>
      </c>
      <c r="BH57" s="746" t="s">
        <v>477</v>
      </c>
      <c r="BI57" s="759" t="s">
        <v>476</v>
      </c>
      <c r="BJ57" s="1183">
        <v>0.67</v>
      </c>
      <c r="BK57" s="755" t="s">
        <v>478</v>
      </c>
      <c r="BL57" s="74">
        <v>0.0</v>
      </c>
      <c r="BM57" s="1037">
        <v>0.0</v>
      </c>
      <c r="BN57" s="755" t="s">
        <v>478</v>
      </c>
      <c r="BO57" s="74">
        <v>0.0</v>
      </c>
      <c r="BP57" s="1037">
        <v>0.0</v>
      </c>
      <c r="BQ57" s="126" t="s">
        <v>709</v>
      </c>
      <c r="BR57" s="1723" t="s">
        <v>462</v>
      </c>
      <c r="BS57" s="125" t="s">
        <v>462</v>
      </c>
      <c r="BT57" s="147" t="s">
        <v>462</v>
      </c>
      <c r="BU57" s="1724" t="s">
        <v>462</v>
      </c>
      <c r="BV57" s="125" t="s">
        <v>462</v>
      </c>
      <c r="BW57" s="147" t="s">
        <v>462</v>
      </c>
      <c r="BX57" s="1725" t="s">
        <v>462</v>
      </c>
      <c r="BY57" s="125" t="s">
        <v>462</v>
      </c>
      <c r="BZ57" s="1726" t="s">
        <v>462</v>
      </c>
      <c r="CA57" s="1723" t="s">
        <v>462</v>
      </c>
      <c r="CB57" s="125" t="s">
        <v>462</v>
      </c>
      <c r="CC57" s="1727" t="s">
        <v>462</v>
      </c>
      <c r="CD57" s="1723" t="s">
        <v>462</v>
      </c>
      <c r="CE57" s="125" t="s">
        <v>462</v>
      </c>
      <c r="CF57" s="1727" t="s">
        <v>462</v>
      </c>
      <c r="CG57" s="111"/>
      <c r="CH57" s="111"/>
      <c r="CI57" s="111"/>
    </row>
    <row r="58" ht="15.0" customHeight="1" outlineLevel="1">
      <c r="A58" s="60">
        <v>71.0</v>
      </c>
      <c r="B58" s="747" t="str">
        <f t="shared" si="2"/>
        <v>CPQ11-FPRT-FPRT-SITE-R22.rvt</v>
      </c>
      <c r="C58" s="60">
        <v>71.0</v>
      </c>
      <c r="D58" s="74" t="s">
        <v>2165</v>
      </c>
      <c r="E58" s="74" t="s">
        <v>2165</v>
      </c>
      <c r="F58" s="71" t="s">
        <v>90</v>
      </c>
      <c r="G58" s="74" t="s">
        <v>482</v>
      </c>
      <c r="H58" s="1713" t="s">
        <v>2124</v>
      </c>
      <c r="I58" s="146" t="s">
        <v>169</v>
      </c>
      <c r="J58" s="72">
        <v>1112.0</v>
      </c>
      <c r="K58" s="139" t="s">
        <v>169</v>
      </c>
      <c r="L58" s="139">
        <v>1112.0</v>
      </c>
      <c r="M58" s="746" t="str">
        <f>IFERROR(VLOOKUP(B55:B245,'RELATÓRIO ACC'!B:F,5,FALSE),"N/A")</f>
        <v>N/A</v>
      </c>
      <c r="N58" s="748" t="str">
        <f>IFERROR(VLOOKUP(B55:B245,'RELATÓRIO ACC'!B:P,15,FALSE),"N/A")</f>
        <v>N/A</v>
      </c>
      <c r="O58" s="141" t="s">
        <v>494</v>
      </c>
      <c r="P58" s="782">
        <v>45918.0</v>
      </c>
      <c r="Q58" s="751" t="s">
        <v>87</v>
      </c>
      <c r="R58" s="746" t="s">
        <v>462</v>
      </c>
      <c r="S58" s="74" t="s">
        <v>462</v>
      </c>
      <c r="T58" s="749" t="s">
        <v>462</v>
      </c>
      <c r="U58" s="746" t="s">
        <v>462</v>
      </c>
      <c r="V58" s="74" t="s">
        <v>462</v>
      </c>
      <c r="W58" s="749" t="s">
        <v>462</v>
      </c>
      <c r="X58" s="746" t="s">
        <v>462</v>
      </c>
      <c r="Y58" s="74" t="s">
        <v>462</v>
      </c>
      <c r="Z58" s="749" t="s">
        <v>462</v>
      </c>
      <c r="AA58" s="746" t="s">
        <v>462</v>
      </c>
      <c r="AB58" s="74" t="s">
        <v>462</v>
      </c>
      <c r="AC58" s="753" t="s">
        <v>462</v>
      </c>
      <c r="AD58" s="746" t="s">
        <v>462</v>
      </c>
      <c r="AE58" s="74" t="s">
        <v>462</v>
      </c>
      <c r="AF58" s="753" t="s">
        <v>462</v>
      </c>
      <c r="AG58" s="746" t="s">
        <v>462</v>
      </c>
      <c r="AH58" s="74" t="s">
        <v>462</v>
      </c>
      <c r="AI58" s="753" t="s">
        <v>462</v>
      </c>
      <c r="AJ58" s="746" t="s">
        <v>462</v>
      </c>
      <c r="AK58" s="74" t="s">
        <v>462</v>
      </c>
      <c r="AL58" s="753" t="s">
        <v>462</v>
      </c>
      <c r="AM58" s="746" t="s">
        <v>462</v>
      </c>
      <c r="AN58" s="74" t="s">
        <v>462</v>
      </c>
      <c r="AO58" s="749" t="s">
        <v>462</v>
      </c>
      <c r="AP58" s="746" t="s">
        <v>462</v>
      </c>
      <c r="AQ58" s="74" t="s">
        <v>462</v>
      </c>
      <c r="AR58" s="749" t="s">
        <v>462</v>
      </c>
      <c r="AS58" s="746" t="s">
        <v>462</v>
      </c>
      <c r="AT58" s="74" t="s">
        <v>462</v>
      </c>
      <c r="AU58" s="749" t="s">
        <v>462</v>
      </c>
      <c r="AV58" s="746" t="s">
        <v>462</v>
      </c>
      <c r="AW58" s="74" t="s">
        <v>462</v>
      </c>
      <c r="AX58" s="753" t="s">
        <v>462</v>
      </c>
      <c r="AY58" s="746" t="s">
        <v>462</v>
      </c>
      <c r="AZ58" s="74" t="s">
        <v>462</v>
      </c>
      <c r="BA58" s="1037" t="s">
        <v>462</v>
      </c>
      <c r="BB58" s="746" t="s">
        <v>462</v>
      </c>
      <c r="BC58" s="74" t="s">
        <v>462</v>
      </c>
      <c r="BD58" s="1037" t="s">
        <v>462</v>
      </c>
      <c r="BE58" s="746" t="s">
        <v>462</v>
      </c>
      <c r="BF58" s="74" t="s">
        <v>462</v>
      </c>
      <c r="BG58" s="1037" t="s">
        <v>462</v>
      </c>
      <c r="BH58" s="746" t="s">
        <v>462</v>
      </c>
      <c r="BI58" s="74" t="s">
        <v>462</v>
      </c>
      <c r="BJ58" s="1037" t="s">
        <v>462</v>
      </c>
      <c r="BK58" s="746" t="s">
        <v>462</v>
      </c>
      <c r="BL58" s="74" t="s">
        <v>462</v>
      </c>
      <c r="BM58" s="1037" t="s">
        <v>462</v>
      </c>
      <c r="BN58" s="746" t="s">
        <v>462</v>
      </c>
      <c r="BO58" s="74" t="s">
        <v>462</v>
      </c>
      <c r="BP58" s="1037" t="s">
        <v>462</v>
      </c>
      <c r="BQ58" s="126"/>
      <c r="BR58" s="141" t="s">
        <v>477</v>
      </c>
      <c r="BS58" s="759" t="s">
        <v>476</v>
      </c>
      <c r="BT58" s="773">
        <v>0.31</v>
      </c>
      <c r="BU58" s="746" t="s">
        <v>477</v>
      </c>
      <c r="BV58" s="759" t="s">
        <v>476</v>
      </c>
      <c r="BW58" s="773">
        <v>0.4</v>
      </c>
      <c r="BX58" s="755" t="s">
        <v>478</v>
      </c>
      <c r="BY58" s="74">
        <v>0.0</v>
      </c>
      <c r="BZ58" s="753">
        <v>0.0</v>
      </c>
      <c r="CA58" s="1176" t="s">
        <v>477</v>
      </c>
      <c r="CB58" s="766" t="s">
        <v>476</v>
      </c>
      <c r="CC58" s="1387">
        <v>0.59</v>
      </c>
      <c r="CD58" s="755" t="s">
        <v>478</v>
      </c>
      <c r="CE58" s="74">
        <v>0.0</v>
      </c>
      <c r="CF58" s="1714">
        <v>0.0</v>
      </c>
      <c r="CG58" s="68"/>
      <c r="CH58" s="68"/>
      <c r="CI58" s="68"/>
    </row>
    <row r="59" ht="15.0" customHeight="1">
      <c r="A59" s="60">
        <v>73.0</v>
      </c>
      <c r="B59" s="769" t="str">
        <f t="shared" si="2"/>
        <v>CPQ11-FPRT-METK-UTLS-R22.rvt</v>
      </c>
      <c r="C59" s="60">
        <v>73.0</v>
      </c>
      <c r="D59" s="126" t="s">
        <v>2165</v>
      </c>
      <c r="E59" s="126" t="s">
        <v>2166</v>
      </c>
      <c r="F59" s="770" t="s">
        <v>245</v>
      </c>
      <c r="G59" s="126" t="s">
        <v>482</v>
      </c>
      <c r="H59" s="1733" t="s">
        <v>2124</v>
      </c>
      <c r="I59" s="771" t="s">
        <v>246</v>
      </c>
      <c r="J59" s="771">
        <v>1117.0</v>
      </c>
      <c r="K59" s="771" t="s">
        <v>133</v>
      </c>
      <c r="L59" s="139">
        <v>1128.0</v>
      </c>
      <c r="M59" s="852" t="str">
        <f>IFERROR(VLOOKUP(B56:B246,'RELATÓRIO ACC'!B:F,5,FALSE),"N/A")</f>
        <v>N/A</v>
      </c>
      <c r="N59" s="1197" t="str">
        <f>IFERROR(VLOOKUP(B56:B246,'RELATÓRIO ACC'!B:P,15,FALSE),"N/A")</f>
        <v>N/A</v>
      </c>
      <c r="O59" s="126" t="s">
        <v>494</v>
      </c>
      <c r="P59" s="855">
        <v>45770.0</v>
      </c>
      <c r="Q59" s="751" t="s">
        <v>102</v>
      </c>
      <c r="R59" s="746" t="s">
        <v>462</v>
      </c>
      <c r="S59" s="74" t="s">
        <v>462</v>
      </c>
      <c r="T59" s="749" t="s">
        <v>462</v>
      </c>
      <c r="U59" s="746" t="s">
        <v>462</v>
      </c>
      <c r="V59" s="74" t="s">
        <v>462</v>
      </c>
      <c r="W59" s="749" t="s">
        <v>462</v>
      </c>
      <c r="X59" s="746" t="s">
        <v>462</v>
      </c>
      <c r="Y59" s="74" t="s">
        <v>462</v>
      </c>
      <c r="Z59" s="749" t="s">
        <v>462</v>
      </c>
      <c r="AA59" s="774" t="s">
        <v>462</v>
      </c>
      <c r="AB59" s="76" t="s">
        <v>462</v>
      </c>
      <c r="AC59" s="750" t="s">
        <v>462</v>
      </c>
      <c r="AD59" s="776" t="s">
        <v>462</v>
      </c>
      <c r="AE59" s="858" t="s">
        <v>462</v>
      </c>
      <c r="AF59" s="859" t="s">
        <v>462</v>
      </c>
      <c r="AG59" s="776" t="s">
        <v>462</v>
      </c>
      <c r="AH59" s="858" t="s">
        <v>462</v>
      </c>
      <c r="AI59" s="859" t="s">
        <v>462</v>
      </c>
      <c r="AJ59" s="776" t="s">
        <v>462</v>
      </c>
      <c r="AK59" s="858" t="s">
        <v>462</v>
      </c>
      <c r="AL59" s="859" t="s">
        <v>462</v>
      </c>
      <c r="AM59" s="746" t="s">
        <v>462</v>
      </c>
      <c r="AN59" s="74" t="s">
        <v>462</v>
      </c>
      <c r="AO59" s="749" t="s">
        <v>462</v>
      </c>
      <c r="AP59" s="746" t="s">
        <v>462</v>
      </c>
      <c r="AQ59" s="74" t="s">
        <v>462</v>
      </c>
      <c r="AR59" s="749" t="s">
        <v>462</v>
      </c>
      <c r="AS59" s="746" t="s">
        <v>462</v>
      </c>
      <c r="AT59" s="74" t="s">
        <v>462</v>
      </c>
      <c r="AU59" s="749" t="s">
        <v>462</v>
      </c>
      <c r="AV59" s="774" t="s">
        <v>462</v>
      </c>
      <c r="AW59" s="76" t="s">
        <v>462</v>
      </c>
      <c r="AX59" s="750" t="s">
        <v>462</v>
      </c>
      <c r="AY59" s="68" t="s">
        <v>462</v>
      </c>
      <c r="AZ59" s="68" t="s">
        <v>462</v>
      </c>
      <c r="BA59" s="1198" t="s">
        <v>462</v>
      </c>
      <c r="BB59" s="68" t="s">
        <v>462</v>
      </c>
      <c r="BC59" s="68" t="s">
        <v>462</v>
      </c>
      <c r="BD59" s="1198" t="s">
        <v>462</v>
      </c>
      <c r="BE59" s="68" t="s">
        <v>462</v>
      </c>
      <c r="BF59" s="68" t="s">
        <v>462</v>
      </c>
      <c r="BG59" s="1198" t="s">
        <v>462</v>
      </c>
      <c r="BH59" s="68" t="s">
        <v>462</v>
      </c>
      <c r="BI59" s="68" t="s">
        <v>462</v>
      </c>
      <c r="BJ59" s="1198" t="s">
        <v>462</v>
      </c>
      <c r="BK59" s="68" t="s">
        <v>462</v>
      </c>
      <c r="BL59" s="68" t="s">
        <v>462</v>
      </c>
      <c r="BM59" s="1198" t="s">
        <v>462</v>
      </c>
      <c r="BN59" s="68" t="s">
        <v>462</v>
      </c>
      <c r="BO59" s="68" t="s">
        <v>462</v>
      </c>
      <c r="BP59" s="1198" t="s">
        <v>462</v>
      </c>
      <c r="BQ59" s="68"/>
      <c r="BR59" s="141" t="s">
        <v>477</v>
      </c>
      <c r="BS59" s="759" t="s">
        <v>476</v>
      </c>
      <c r="BT59" s="773">
        <v>0.5</v>
      </c>
      <c r="BU59" s="746" t="s">
        <v>484</v>
      </c>
      <c r="BV59" s="759" t="s">
        <v>476</v>
      </c>
      <c r="BW59" s="773">
        <v>1.0</v>
      </c>
      <c r="BX59" s="1742" t="s">
        <v>484</v>
      </c>
      <c r="BY59" s="791" t="s">
        <v>476</v>
      </c>
      <c r="BZ59" s="778">
        <v>1.0</v>
      </c>
      <c r="CA59" s="68" t="s">
        <v>485</v>
      </c>
      <c r="CB59" s="791" t="s">
        <v>476</v>
      </c>
      <c r="CC59" s="1743">
        <v>1.0</v>
      </c>
      <c r="CD59" s="68" t="s">
        <v>485</v>
      </c>
      <c r="CE59" s="791" t="s">
        <v>476</v>
      </c>
      <c r="CF59" s="1743">
        <v>1.0</v>
      </c>
      <c r="CG59" s="135"/>
      <c r="CH59" s="135"/>
      <c r="CI59" s="135"/>
    </row>
    <row r="60" ht="15.0" customHeight="1" outlineLevel="1">
      <c r="A60" s="60">
        <v>82.0</v>
      </c>
      <c r="B60" s="849" t="str">
        <f t="shared" si="2"/>
        <v>CPQ11-MECH-MECH-DATA-R22.rvt</v>
      </c>
      <c r="C60" s="60">
        <v>82.0</v>
      </c>
      <c r="D60" s="74" t="s">
        <v>2167</v>
      </c>
      <c r="E60" s="74" t="s">
        <v>2167</v>
      </c>
      <c r="F60" s="71" t="s">
        <v>85</v>
      </c>
      <c r="G60" s="74" t="s">
        <v>482</v>
      </c>
      <c r="H60" s="1713" t="s">
        <v>2124</v>
      </c>
      <c r="I60" s="146" t="s">
        <v>256</v>
      </c>
      <c r="J60" s="72">
        <v>1118.0</v>
      </c>
      <c r="K60" s="139" t="s">
        <v>256</v>
      </c>
      <c r="L60" s="139">
        <v>1118.0</v>
      </c>
      <c r="M60" s="746" t="str">
        <f>IFERROR(VLOOKUP(B57:B247,'RELATÓRIO ACC'!B:F,5,FALSE),"N/A")</f>
        <v>N/A</v>
      </c>
      <c r="N60" s="748" t="str">
        <f>IFERROR(VLOOKUP(B57:B247,'RELATÓRIO ACC'!B:P,15,FALSE),"N/A")</f>
        <v>N/A</v>
      </c>
      <c r="O60" s="141" t="s">
        <v>2168</v>
      </c>
      <c r="P60" s="1748">
        <v>45924.0</v>
      </c>
      <c r="Q60" s="751" t="s">
        <v>102</v>
      </c>
      <c r="R60" s="746" t="s">
        <v>477</v>
      </c>
      <c r="S60" s="766" t="s">
        <v>476</v>
      </c>
      <c r="T60" s="773">
        <v>0.45</v>
      </c>
      <c r="U60" s="746" t="s">
        <v>477</v>
      </c>
      <c r="V60" s="766" t="s">
        <v>476</v>
      </c>
      <c r="W60" s="773">
        <v>0.71</v>
      </c>
      <c r="X60" s="746" t="s">
        <v>484</v>
      </c>
      <c r="Y60" s="766" t="s">
        <v>476</v>
      </c>
      <c r="Z60" s="773">
        <v>1.0</v>
      </c>
      <c r="AA60" s="746" t="s">
        <v>484</v>
      </c>
      <c r="AB60" s="759" t="s">
        <v>476</v>
      </c>
      <c r="AC60" s="762">
        <v>1.0</v>
      </c>
      <c r="AD60" s="746" t="s">
        <v>484</v>
      </c>
      <c r="AE60" s="759" t="s">
        <v>476</v>
      </c>
      <c r="AF60" s="762">
        <v>1.0</v>
      </c>
      <c r="AG60" s="746" t="s">
        <v>485</v>
      </c>
      <c r="AH60" s="759" t="s">
        <v>476</v>
      </c>
      <c r="AI60" s="762">
        <v>1.0</v>
      </c>
      <c r="AJ60" s="746" t="s">
        <v>485</v>
      </c>
      <c r="AK60" s="759" t="s">
        <v>476</v>
      </c>
      <c r="AL60" s="762">
        <v>1.0</v>
      </c>
      <c r="AM60" s="746" t="s">
        <v>477</v>
      </c>
      <c r="AN60" s="766" t="s">
        <v>476</v>
      </c>
      <c r="AO60" s="773">
        <v>0.48</v>
      </c>
      <c r="AP60" s="746" t="s">
        <v>477</v>
      </c>
      <c r="AQ60" s="766" t="s">
        <v>476</v>
      </c>
      <c r="AR60" s="773">
        <v>0.67</v>
      </c>
      <c r="AS60" s="746" t="s">
        <v>484</v>
      </c>
      <c r="AT60" s="766" t="s">
        <v>476</v>
      </c>
      <c r="AU60" s="773">
        <v>1.0</v>
      </c>
      <c r="AV60" s="746" t="s">
        <v>484</v>
      </c>
      <c r="AW60" s="766" t="s">
        <v>476</v>
      </c>
      <c r="AX60" s="762">
        <v>1.0</v>
      </c>
      <c r="AY60" s="746" t="s">
        <v>484</v>
      </c>
      <c r="AZ60" s="766" t="s">
        <v>476</v>
      </c>
      <c r="BA60" s="1057">
        <v>1.0</v>
      </c>
      <c r="BB60" s="746" t="s">
        <v>485</v>
      </c>
      <c r="BC60" s="766" t="s">
        <v>476</v>
      </c>
      <c r="BD60" s="1057">
        <v>1.0</v>
      </c>
      <c r="BE60" s="746" t="s">
        <v>485</v>
      </c>
      <c r="BF60" s="766" t="s">
        <v>476</v>
      </c>
      <c r="BG60" s="1057">
        <v>1.0</v>
      </c>
      <c r="BH60" s="746" t="s">
        <v>477</v>
      </c>
      <c r="BI60" s="759" t="s">
        <v>476</v>
      </c>
      <c r="BJ60" s="1057">
        <v>0.73</v>
      </c>
      <c r="BK60" s="755" t="s">
        <v>478</v>
      </c>
      <c r="BL60" s="74">
        <v>0.0</v>
      </c>
      <c r="BM60" s="1037">
        <v>0.0</v>
      </c>
      <c r="BN60" s="755" t="s">
        <v>477</v>
      </c>
      <c r="BO60" s="759" t="s">
        <v>476</v>
      </c>
      <c r="BP60" s="1057">
        <v>0.92</v>
      </c>
      <c r="BQ60" s="126" t="s">
        <v>129</v>
      </c>
      <c r="BR60" s="1723" t="s">
        <v>462</v>
      </c>
      <c r="BS60" s="125" t="s">
        <v>462</v>
      </c>
      <c r="BT60" s="147" t="s">
        <v>462</v>
      </c>
      <c r="BU60" s="1724" t="s">
        <v>462</v>
      </c>
      <c r="BV60" s="125" t="s">
        <v>462</v>
      </c>
      <c r="BW60" s="147" t="s">
        <v>462</v>
      </c>
      <c r="BX60" s="1724" t="s">
        <v>462</v>
      </c>
      <c r="BY60" s="125" t="s">
        <v>462</v>
      </c>
      <c r="BZ60" s="1726" t="s">
        <v>462</v>
      </c>
      <c r="CA60" s="1724" t="s">
        <v>462</v>
      </c>
      <c r="CB60" s="125" t="s">
        <v>462</v>
      </c>
      <c r="CC60" s="1727" t="s">
        <v>462</v>
      </c>
      <c r="CD60" s="1724" t="s">
        <v>462</v>
      </c>
      <c r="CE60" s="125" t="s">
        <v>462</v>
      </c>
      <c r="CF60" s="1727" t="s">
        <v>462</v>
      </c>
      <c r="CG60" s="111"/>
      <c r="CH60" s="111"/>
      <c r="CI60" s="111"/>
    </row>
    <row r="61" ht="15.0" customHeight="1" outlineLevel="1">
      <c r="A61" s="60">
        <v>83.0</v>
      </c>
      <c r="B61" s="747" t="str">
        <f t="shared" si="2"/>
        <v>CPQ11-MECH-MECH-GUAR-R22.rvt</v>
      </c>
      <c r="C61" s="60">
        <v>83.0</v>
      </c>
      <c r="D61" s="74" t="s">
        <v>2167</v>
      </c>
      <c r="E61" s="74" t="s">
        <v>2167</v>
      </c>
      <c r="F61" s="71" t="s">
        <v>127</v>
      </c>
      <c r="G61" s="74" t="s">
        <v>482</v>
      </c>
      <c r="H61" s="1713" t="s">
        <v>2124</v>
      </c>
      <c r="I61" s="146" t="s">
        <v>256</v>
      </c>
      <c r="J61" s="72">
        <v>1118.0</v>
      </c>
      <c r="K61" s="139" t="s">
        <v>256</v>
      </c>
      <c r="L61" s="139">
        <v>1118.0</v>
      </c>
      <c r="M61" s="746" t="str">
        <f>IFERROR(VLOOKUP(B58:B248,'RELATÓRIO ACC'!B:F,5,FALSE),"N/A")</f>
        <v>N/A</v>
      </c>
      <c r="N61" s="748" t="str">
        <f>IFERROR(VLOOKUP(B58:B248,'RELATÓRIO ACC'!B:P,15,FALSE),"N/A")</f>
        <v>N/A</v>
      </c>
      <c r="O61" s="141" t="s">
        <v>719</v>
      </c>
      <c r="P61" s="1038">
        <v>45862.0</v>
      </c>
      <c r="Q61" s="751" t="s">
        <v>129</v>
      </c>
      <c r="R61" s="746" t="s">
        <v>462</v>
      </c>
      <c r="S61" s="74" t="s">
        <v>462</v>
      </c>
      <c r="T61" s="749" t="s">
        <v>462</v>
      </c>
      <c r="U61" s="746" t="s">
        <v>462</v>
      </c>
      <c r="V61" s="74" t="s">
        <v>462</v>
      </c>
      <c r="W61" s="749" t="s">
        <v>462</v>
      </c>
      <c r="X61" s="746" t="s">
        <v>462</v>
      </c>
      <c r="Y61" s="74" t="s">
        <v>462</v>
      </c>
      <c r="Z61" s="749" t="s">
        <v>462</v>
      </c>
      <c r="AA61" s="746" t="s">
        <v>462</v>
      </c>
      <c r="AB61" s="74" t="s">
        <v>462</v>
      </c>
      <c r="AC61" s="753" t="s">
        <v>462</v>
      </c>
      <c r="AD61" s="746" t="s">
        <v>462</v>
      </c>
      <c r="AE61" s="74" t="s">
        <v>462</v>
      </c>
      <c r="AF61" s="753" t="s">
        <v>462</v>
      </c>
      <c r="AG61" s="746" t="s">
        <v>462</v>
      </c>
      <c r="AH61" s="74" t="s">
        <v>462</v>
      </c>
      <c r="AI61" s="753" t="s">
        <v>462</v>
      </c>
      <c r="AJ61" s="746" t="s">
        <v>462</v>
      </c>
      <c r="AK61" s="74" t="s">
        <v>462</v>
      </c>
      <c r="AL61" s="753" t="s">
        <v>462</v>
      </c>
      <c r="AM61" s="746" t="s">
        <v>462</v>
      </c>
      <c r="AN61" s="74" t="s">
        <v>462</v>
      </c>
      <c r="AO61" s="749" t="s">
        <v>462</v>
      </c>
      <c r="AP61" s="746" t="s">
        <v>462</v>
      </c>
      <c r="AQ61" s="74" t="s">
        <v>462</v>
      </c>
      <c r="AR61" s="749" t="s">
        <v>462</v>
      </c>
      <c r="AS61" s="746" t="s">
        <v>462</v>
      </c>
      <c r="AT61" s="74" t="s">
        <v>462</v>
      </c>
      <c r="AU61" s="749" t="s">
        <v>462</v>
      </c>
      <c r="AV61" s="746" t="s">
        <v>462</v>
      </c>
      <c r="AW61" s="74" t="s">
        <v>462</v>
      </c>
      <c r="AX61" s="753" t="s">
        <v>462</v>
      </c>
      <c r="AY61" s="746" t="s">
        <v>462</v>
      </c>
      <c r="AZ61" s="74" t="s">
        <v>462</v>
      </c>
      <c r="BA61" s="1037" t="s">
        <v>462</v>
      </c>
      <c r="BB61" s="746" t="s">
        <v>462</v>
      </c>
      <c r="BC61" s="74" t="s">
        <v>462</v>
      </c>
      <c r="BD61" s="1037" t="s">
        <v>462</v>
      </c>
      <c r="BE61" s="746" t="s">
        <v>462</v>
      </c>
      <c r="BF61" s="74" t="s">
        <v>462</v>
      </c>
      <c r="BG61" s="1037" t="s">
        <v>462</v>
      </c>
      <c r="BH61" s="746" t="s">
        <v>462</v>
      </c>
      <c r="BI61" s="74" t="s">
        <v>462</v>
      </c>
      <c r="BJ61" s="1037" t="s">
        <v>462</v>
      </c>
      <c r="BK61" s="746" t="s">
        <v>462</v>
      </c>
      <c r="BL61" s="74" t="s">
        <v>462</v>
      </c>
      <c r="BM61" s="1037" t="s">
        <v>462</v>
      </c>
      <c r="BN61" s="746" t="s">
        <v>462</v>
      </c>
      <c r="BO61" s="74" t="s">
        <v>462</v>
      </c>
      <c r="BP61" s="1037" t="s">
        <v>462</v>
      </c>
      <c r="BQ61" s="126"/>
      <c r="BR61" s="141" t="s">
        <v>477</v>
      </c>
      <c r="BS61" s="759" t="s">
        <v>476</v>
      </c>
      <c r="BT61" s="773">
        <v>0.82</v>
      </c>
      <c r="BU61" s="746" t="s">
        <v>484</v>
      </c>
      <c r="BV61" s="861" t="s">
        <v>476</v>
      </c>
      <c r="BW61" s="773">
        <v>1.0</v>
      </c>
      <c r="BX61" s="1729" t="s">
        <v>484</v>
      </c>
      <c r="BY61" s="759" t="s">
        <v>476</v>
      </c>
      <c r="BZ61" s="762">
        <v>1.0</v>
      </c>
      <c r="CA61" s="141" t="s">
        <v>485</v>
      </c>
      <c r="CB61" s="759" t="s">
        <v>476</v>
      </c>
      <c r="CC61" s="1387">
        <v>1.0</v>
      </c>
      <c r="CD61" s="141" t="s">
        <v>485</v>
      </c>
      <c r="CE61" s="759" t="s">
        <v>476</v>
      </c>
      <c r="CF61" s="1387">
        <v>1.0</v>
      </c>
      <c r="CG61" s="135"/>
      <c r="CH61" s="135"/>
      <c r="CI61" s="135"/>
    </row>
    <row r="62" ht="15.0" customHeight="1">
      <c r="A62" s="60">
        <v>77.0</v>
      </c>
      <c r="B62" s="769" t="str">
        <f t="shared" si="2"/>
        <v>CPQ11-PLMB-DIES-SITE-R22.rvt</v>
      </c>
      <c r="C62" s="60">
        <v>77.0</v>
      </c>
      <c r="D62" s="126" t="s">
        <v>2169</v>
      </c>
      <c r="E62" s="126" t="s">
        <v>2170</v>
      </c>
      <c r="F62" s="770" t="s">
        <v>90</v>
      </c>
      <c r="G62" s="126" t="s">
        <v>482</v>
      </c>
      <c r="H62" s="1733" t="s">
        <v>2124</v>
      </c>
      <c r="I62" s="771" t="s">
        <v>169</v>
      </c>
      <c r="J62" s="771">
        <v>1112.0</v>
      </c>
      <c r="K62" s="771" t="s">
        <v>169</v>
      </c>
      <c r="L62" s="139">
        <v>1112.0</v>
      </c>
      <c r="M62" s="852" t="str">
        <f>IFERROR(VLOOKUP(B59:B249,'RELATÓRIO ACC'!B:F,5,FALSE),"N/A")</f>
        <v>N/A</v>
      </c>
      <c r="N62" s="1197" t="str">
        <f>IFERROR(VLOOKUP(B59:B249,'RELATÓRIO ACC'!B:P,15,FALSE),"N/A")</f>
        <v>N/A</v>
      </c>
      <c r="O62" s="126" t="s">
        <v>490</v>
      </c>
      <c r="P62" s="857">
        <v>45915.0</v>
      </c>
      <c r="Q62" s="751" t="s">
        <v>129</v>
      </c>
      <c r="R62" s="746" t="s">
        <v>462</v>
      </c>
      <c r="S62" s="74" t="s">
        <v>462</v>
      </c>
      <c r="T62" s="749" t="s">
        <v>462</v>
      </c>
      <c r="U62" s="746" t="s">
        <v>462</v>
      </c>
      <c r="V62" s="74" t="s">
        <v>462</v>
      </c>
      <c r="W62" s="749" t="s">
        <v>462</v>
      </c>
      <c r="X62" s="746" t="s">
        <v>462</v>
      </c>
      <c r="Y62" s="74" t="s">
        <v>462</v>
      </c>
      <c r="Z62" s="749" t="s">
        <v>462</v>
      </c>
      <c r="AA62" s="774" t="s">
        <v>462</v>
      </c>
      <c r="AB62" s="74" t="s">
        <v>462</v>
      </c>
      <c r="AC62" s="750" t="s">
        <v>462</v>
      </c>
      <c r="AD62" s="776" t="s">
        <v>462</v>
      </c>
      <c r="AE62" s="858" t="s">
        <v>462</v>
      </c>
      <c r="AF62" s="859" t="s">
        <v>462</v>
      </c>
      <c r="AG62" s="68" t="s">
        <v>462</v>
      </c>
      <c r="AH62" s="68" t="s">
        <v>462</v>
      </c>
      <c r="AI62" s="68" t="s">
        <v>462</v>
      </c>
      <c r="AJ62" s="68" t="s">
        <v>462</v>
      </c>
      <c r="AK62" s="68" t="s">
        <v>462</v>
      </c>
      <c r="AL62" s="68" t="s">
        <v>462</v>
      </c>
      <c r="AM62" s="746" t="s">
        <v>462</v>
      </c>
      <c r="AN62" s="74" t="s">
        <v>462</v>
      </c>
      <c r="AO62" s="749" t="s">
        <v>462</v>
      </c>
      <c r="AP62" s="746" t="s">
        <v>462</v>
      </c>
      <c r="AQ62" s="74" t="s">
        <v>462</v>
      </c>
      <c r="AR62" s="749" t="s">
        <v>462</v>
      </c>
      <c r="AS62" s="746" t="s">
        <v>462</v>
      </c>
      <c r="AT62" s="74" t="s">
        <v>462</v>
      </c>
      <c r="AU62" s="749" t="s">
        <v>462</v>
      </c>
      <c r="AV62" s="774" t="s">
        <v>462</v>
      </c>
      <c r="AW62" s="74" t="s">
        <v>462</v>
      </c>
      <c r="AX62" s="750" t="s">
        <v>462</v>
      </c>
      <c r="AY62" s="68" t="s">
        <v>462</v>
      </c>
      <c r="AZ62" s="68" t="s">
        <v>462</v>
      </c>
      <c r="BA62" s="1198" t="s">
        <v>462</v>
      </c>
      <c r="BB62" s="68" t="s">
        <v>462</v>
      </c>
      <c r="BC62" s="68" t="s">
        <v>462</v>
      </c>
      <c r="BD62" s="68" t="s">
        <v>462</v>
      </c>
      <c r="BE62" s="68" t="s">
        <v>462</v>
      </c>
      <c r="BF62" s="68" t="s">
        <v>462</v>
      </c>
      <c r="BG62" s="68" t="s">
        <v>462</v>
      </c>
      <c r="BH62" s="68" t="s">
        <v>462</v>
      </c>
      <c r="BI62" s="68" t="s">
        <v>462</v>
      </c>
      <c r="BJ62" s="1198" t="s">
        <v>462</v>
      </c>
      <c r="BK62" s="68" t="s">
        <v>462</v>
      </c>
      <c r="BL62" s="68" t="s">
        <v>462</v>
      </c>
      <c r="BM62" s="1198" t="s">
        <v>462</v>
      </c>
      <c r="BN62" s="68" t="s">
        <v>462</v>
      </c>
      <c r="BO62" s="68" t="s">
        <v>462</v>
      </c>
      <c r="BP62" s="1198" t="s">
        <v>462</v>
      </c>
      <c r="BQ62" s="68" t="s">
        <v>709</v>
      </c>
      <c r="BR62" s="141" t="s">
        <v>477</v>
      </c>
      <c r="BS62" s="766" t="s">
        <v>476</v>
      </c>
      <c r="BT62" s="773">
        <v>0.55</v>
      </c>
      <c r="BU62" s="746" t="s">
        <v>477</v>
      </c>
      <c r="BV62" s="766" t="s">
        <v>476</v>
      </c>
      <c r="BW62" s="773">
        <v>0.84</v>
      </c>
      <c r="BX62" s="1742" t="s">
        <v>477</v>
      </c>
      <c r="BY62" s="779" t="s">
        <v>476</v>
      </c>
      <c r="BZ62" s="778">
        <v>0.95</v>
      </c>
      <c r="CA62" s="1747" t="s">
        <v>484</v>
      </c>
      <c r="CB62" s="779" t="s">
        <v>476</v>
      </c>
      <c r="CC62" s="1751">
        <v>1.0</v>
      </c>
      <c r="CD62" s="68" t="s">
        <v>485</v>
      </c>
      <c r="CE62" s="779" t="s">
        <v>476</v>
      </c>
      <c r="CF62" s="1751">
        <v>1.0</v>
      </c>
      <c r="CG62" s="68"/>
      <c r="CH62" s="68"/>
      <c r="CI62" s="68"/>
    </row>
    <row r="63" ht="15.0" customHeight="1" outlineLevel="1">
      <c r="A63" s="60">
        <v>80.0</v>
      </c>
      <c r="B63" s="747" t="str">
        <f t="shared" si="2"/>
        <v>CPQ11-PLMB-METK-UTLS-R22.rvt</v>
      </c>
      <c r="C63" s="60">
        <v>80.0</v>
      </c>
      <c r="D63" s="74" t="s">
        <v>2169</v>
      </c>
      <c r="E63" s="74" t="s">
        <v>2166</v>
      </c>
      <c r="F63" s="71" t="s">
        <v>245</v>
      </c>
      <c r="G63" s="74" t="s">
        <v>482</v>
      </c>
      <c r="H63" s="1713" t="s">
        <v>2124</v>
      </c>
      <c r="I63" s="146" t="s">
        <v>256</v>
      </c>
      <c r="J63" s="72">
        <v>1118.0</v>
      </c>
      <c r="K63" s="139" t="s">
        <v>256</v>
      </c>
      <c r="L63" s="139">
        <v>1118.0</v>
      </c>
      <c r="M63" s="746" t="str">
        <f>IFERROR(VLOOKUP(B60:B250,'RELATÓRIO ACC'!B:F,5,FALSE),"N/A")</f>
        <v>N/A</v>
      </c>
      <c r="N63" s="748" t="str">
        <f>IFERROR(VLOOKUP(B60:B250,'RELATÓRIO ACC'!B:P,15,FALSE),"N/A")</f>
        <v>N/A</v>
      </c>
      <c r="O63" s="141" t="s">
        <v>856</v>
      </c>
      <c r="P63" s="1038">
        <v>45860.0</v>
      </c>
      <c r="Q63" s="751" t="s">
        <v>129</v>
      </c>
      <c r="R63" s="746" t="s">
        <v>462</v>
      </c>
      <c r="S63" s="74" t="s">
        <v>462</v>
      </c>
      <c r="T63" s="749" t="s">
        <v>462</v>
      </c>
      <c r="U63" s="746" t="s">
        <v>462</v>
      </c>
      <c r="V63" s="74" t="s">
        <v>462</v>
      </c>
      <c r="W63" s="749" t="s">
        <v>462</v>
      </c>
      <c r="X63" s="746" t="s">
        <v>462</v>
      </c>
      <c r="Y63" s="74" t="s">
        <v>462</v>
      </c>
      <c r="Z63" s="749" t="s">
        <v>462</v>
      </c>
      <c r="AA63" s="746" t="s">
        <v>462</v>
      </c>
      <c r="AB63" s="74" t="s">
        <v>462</v>
      </c>
      <c r="AC63" s="753" t="s">
        <v>462</v>
      </c>
      <c r="AD63" s="746" t="s">
        <v>462</v>
      </c>
      <c r="AE63" s="74" t="s">
        <v>462</v>
      </c>
      <c r="AF63" s="753" t="s">
        <v>462</v>
      </c>
      <c r="AG63" s="746" t="s">
        <v>462</v>
      </c>
      <c r="AH63" s="74" t="s">
        <v>462</v>
      </c>
      <c r="AI63" s="753" t="s">
        <v>462</v>
      </c>
      <c r="AJ63" s="746" t="s">
        <v>462</v>
      </c>
      <c r="AK63" s="74" t="s">
        <v>462</v>
      </c>
      <c r="AL63" s="753" t="s">
        <v>462</v>
      </c>
      <c r="AM63" s="746" t="s">
        <v>462</v>
      </c>
      <c r="AN63" s="74" t="s">
        <v>462</v>
      </c>
      <c r="AO63" s="749" t="s">
        <v>462</v>
      </c>
      <c r="AP63" s="746" t="s">
        <v>462</v>
      </c>
      <c r="AQ63" s="74" t="s">
        <v>462</v>
      </c>
      <c r="AR63" s="749" t="s">
        <v>462</v>
      </c>
      <c r="AS63" s="746" t="s">
        <v>462</v>
      </c>
      <c r="AT63" s="74" t="s">
        <v>462</v>
      </c>
      <c r="AU63" s="749" t="s">
        <v>462</v>
      </c>
      <c r="AV63" s="746" t="s">
        <v>462</v>
      </c>
      <c r="AW63" s="74" t="s">
        <v>462</v>
      </c>
      <c r="AX63" s="753" t="s">
        <v>462</v>
      </c>
      <c r="AY63" s="746" t="s">
        <v>462</v>
      </c>
      <c r="AZ63" s="74" t="s">
        <v>462</v>
      </c>
      <c r="BA63" s="1037" t="s">
        <v>462</v>
      </c>
      <c r="BB63" s="746" t="s">
        <v>462</v>
      </c>
      <c r="BC63" s="74" t="s">
        <v>462</v>
      </c>
      <c r="BD63" s="1037" t="s">
        <v>462</v>
      </c>
      <c r="BE63" s="746" t="s">
        <v>462</v>
      </c>
      <c r="BF63" s="74" t="s">
        <v>462</v>
      </c>
      <c r="BG63" s="1037" t="s">
        <v>462</v>
      </c>
      <c r="BH63" s="746" t="s">
        <v>462</v>
      </c>
      <c r="BI63" s="74" t="s">
        <v>462</v>
      </c>
      <c r="BJ63" s="1037" t="s">
        <v>462</v>
      </c>
      <c r="BK63" s="746" t="s">
        <v>462</v>
      </c>
      <c r="BL63" s="74" t="s">
        <v>462</v>
      </c>
      <c r="BM63" s="1037" t="s">
        <v>462</v>
      </c>
      <c r="BN63" s="746" t="s">
        <v>462</v>
      </c>
      <c r="BO63" s="74" t="s">
        <v>462</v>
      </c>
      <c r="BP63" s="1037" t="s">
        <v>462</v>
      </c>
      <c r="BQ63" s="126"/>
      <c r="BR63" s="141" t="s">
        <v>477</v>
      </c>
      <c r="BS63" s="759" t="s">
        <v>476</v>
      </c>
      <c r="BT63" s="773">
        <v>0.62</v>
      </c>
      <c r="BU63" s="746" t="s">
        <v>484</v>
      </c>
      <c r="BV63" s="759" t="s">
        <v>476</v>
      </c>
      <c r="BW63" s="773">
        <v>1.0</v>
      </c>
      <c r="BX63" s="746" t="s">
        <v>484</v>
      </c>
      <c r="BY63" s="759" t="s">
        <v>476</v>
      </c>
      <c r="BZ63" s="762">
        <v>1.0</v>
      </c>
      <c r="CA63" s="746" t="s">
        <v>485</v>
      </c>
      <c r="CB63" s="759" t="s">
        <v>476</v>
      </c>
      <c r="CC63" s="1387">
        <v>1.0</v>
      </c>
      <c r="CD63" s="746" t="s">
        <v>485</v>
      </c>
      <c r="CE63" s="759" t="s">
        <v>476</v>
      </c>
      <c r="CF63" s="1387">
        <v>1.0</v>
      </c>
      <c r="CG63" s="135"/>
      <c r="CH63" s="135"/>
      <c r="CI63" s="135"/>
    </row>
    <row r="64" ht="15.0" customHeight="1" outlineLevel="1">
      <c r="A64" s="60">
        <v>79.0</v>
      </c>
      <c r="B64" s="747" t="str">
        <f t="shared" si="2"/>
        <v>CPQ11-PLMB-NPWT-DATA-R22.rvt</v>
      </c>
      <c r="C64" s="60">
        <v>79.0</v>
      </c>
      <c r="D64" s="74" t="s">
        <v>2169</v>
      </c>
      <c r="E64" s="74" t="s">
        <v>2171</v>
      </c>
      <c r="F64" s="71" t="s">
        <v>85</v>
      </c>
      <c r="G64" s="74" t="s">
        <v>482</v>
      </c>
      <c r="H64" s="1713" t="s">
        <v>2124</v>
      </c>
      <c r="I64" s="146" t="s">
        <v>256</v>
      </c>
      <c r="J64" s="72">
        <v>1118.0</v>
      </c>
      <c r="K64" s="139" t="s">
        <v>256</v>
      </c>
      <c r="L64" s="139">
        <v>1118.0</v>
      </c>
      <c r="M64" s="746" t="str">
        <f>IFERROR(VLOOKUP(B61:B251,'RELATÓRIO ACC'!B:F,5,FALSE),"N/A")</f>
        <v>N/A</v>
      </c>
      <c r="N64" s="748" t="str">
        <f>IFERROR(VLOOKUP(B61:B251,'RELATÓRIO ACC'!B:P,15,FALSE),"N/A")</f>
        <v>N/A</v>
      </c>
      <c r="O64" s="141" t="s">
        <v>505</v>
      </c>
      <c r="P64" s="782">
        <v>45898.0</v>
      </c>
      <c r="Q64" s="751" t="s">
        <v>129</v>
      </c>
      <c r="R64" s="746" t="s">
        <v>462</v>
      </c>
      <c r="S64" s="74" t="s">
        <v>462</v>
      </c>
      <c r="T64" s="749" t="s">
        <v>462</v>
      </c>
      <c r="U64" s="746" t="s">
        <v>462</v>
      </c>
      <c r="V64" s="74" t="s">
        <v>462</v>
      </c>
      <c r="W64" s="749" t="s">
        <v>462</v>
      </c>
      <c r="X64" s="746" t="s">
        <v>462</v>
      </c>
      <c r="Y64" s="749" t="s">
        <v>462</v>
      </c>
      <c r="Z64" s="749" t="s">
        <v>462</v>
      </c>
      <c r="AA64" s="746" t="s">
        <v>462</v>
      </c>
      <c r="AB64" s="76" t="s">
        <v>462</v>
      </c>
      <c r="AC64" s="750" t="s">
        <v>462</v>
      </c>
      <c r="AD64" s="746" t="s">
        <v>462</v>
      </c>
      <c r="AE64" s="76" t="s">
        <v>462</v>
      </c>
      <c r="AF64" s="750" t="s">
        <v>462</v>
      </c>
      <c r="AG64" s="746" t="s">
        <v>462</v>
      </c>
      <c r="AH64" s="76" t="s">
        <v>462</v>
      </c>
      <c r="AI64" s="750" t="s">
        <v>462</v>
      </c>
      <c r="AJ64" s="746" t="s">
        <v>462</v>
      </c>
      <c r="AK64" s="76" t="s">
        <v>462</v>
      </c>
      <c r="AL64" s="750" t="s">
        <v>462</v>
      </c>
      <c r="AM64" s="746" t="s">
        <v>477</v>
      </c>
      <c r="AN64" s="759" t="s">
        <v>476</v>
      </c>
      <c r="AO64" s="773">
        <v>0.46</v>
      </c>
      <c r="AP64" s="746" t="s">
        <v>466</v>
      </c>
      <c r="AQ64" s="466" t="s">
        <v>483</v>
      </c>
      <c r="AR64" s="749">
        <v>0.0</v>
      </c>
      <c r="AS64" s="746" t="s">
        <v>484</v>
      </c>
      <c r="AT64" s="792" t="s">
        <v>476</v>
      </c>
      <c r="AU64" s="773">
        <v>1.0</v>
      </c>
      <c r="AV64" s="746" t="s">
        <v>484</v>
      </c>
      <c r="AW64" s="786" t="s">
        <v>476</v>
      </c>
      <c r="AX64" s="768">
        <v>1.0</v>
      </c>
      <c r="AY64" s="746" t="s">
        <v>484</v>
      </c>
      <c r="AZ64" s="786" t="s">
        <v>476</v>
      </c>
      <c r="BA64" s="1068">
        <v>1.0</v>
      </c>
      <c r="BB64" s="746" t="s">
        <v>485</v>
      </c>
      <c r="BC64" s="786" t="s">
        <v>476</v>
      </c>
      <c r="BD64" s="1068">
        <v>1.0</v>
      </c>
      <c r="BE64" s="746" t="s">
        <v>485</v>
      </c>
      <c r="BF64" s="786" t="s">
        <v>476</v>
      </c>
      <c r="BG64" s="1068">
        <v>1.0</v>
      </c>
      <c r="BH64" s="746" t="s">
        <v>477</v>
      </c>
      <c r="BI64" s="759" t="s">
        <v>476</v>
      </c>
      <c r="BJ64" s="1057">
        <v>0.88</v>
      </c>
      <c r="BK64" s="755" t="s">
        <v>478</v>
      </c>
      <c r="BL64" s="74">
        <v>0.0</v>
      </c>
      <c r="BM64" s="1037">
        <v>0.0</v>
      </c>
      <c r="BN64" s="755" t="s">
        <v>478</v>
      </c>
      <c r="BO64" s="74">
        <v>0.0</v>
      </c>
      <c r="BP64" s="1037">
        <v>0.0</v>
      </c>
      <c r="BQ64" s="126" t="s">
        <v>194</v>
      </c>
      <c r="BR64" s="1723" t="s">
        <v>462</v>
      </c>
      <c r="BS64" s="125" t="s">
        <v>462</v>
      </c>
      <c r="BT64" s="147" t="s">
        <v>462</v>
      </c>
      <c r="BU64" s="1724" t="s">
        <v>462</v>
      </c>
      <c r="BV64" s="125" t="s">
        <v>462</v>
      </c>
      <c r="BW64" s="147" t="s">
        <v>462</v>
      </c>
      <c r="BX64" s="1725" t="s">
        <v>462</v>
      </c>
      <c r="BY64" s="125" t="s">
        <v>462</v>
      </c>
      <c r="BZ64" s="1726" t="s">
        <v>462</v>
      </c>
      <c r="CA64" s="1723" t="s">
        <v>462</v>
      </c>
      <c r="CB64" s="125" t="s">
        <v>462</v>
      </c>
      <c r="CC64" s="1727" t="s">
        <v>462</v>
      </c>
      <c r="CD64" s="1723" t="s">
        <v>462</v>
      </c>
      <c r="CE64" s="125" t="s">
        <v>462</v>
      </c>
      <c r="CF64" s="1727" t="s">
        <v>462</v>
      </c>
      <c r="CG64" s="111"/>
      <c r="CH64" s="111"/>
      <c r="CI64" s="111"/>
    </row>
    <row r="65" ht="15.0" customHeight="1" outlineLevel="1">
      <c r="A65" s="60">
        <v>78.0</v>
      </c>
      <c r="B65" s="769" t="str">
        <f t="shared" si="2"/>
        <v>CPQ11-PLMB-NPWT-SITE-R22.rvt</v>
      </c>
      <c r="C65" s="60">
        <v>78.0</v>
      </c>
      <c r="D65" s="126" t="s">
        <v>2169</v>
      </c>
      <c r="E65" s="126" t="s">
        <v>2171</v>
      </c>
      <c r="F65" s="770" t="s">
        <v>90</v>
      </c>
      <c r="G65" s="126" t="s">
        <v>482</v>
      </c>
      <c r="H65" s="1733" t="s">
        <v>2124</v>
      </c>
      <c r="I65" s="771" t="s">
        <v>256</v>
      </c>
      <c r="J65" s="771">
        <v>1118.0</v>
      </c>
      <c r="K65" s="771" t="s">
        <v>256</v>
      </c>
      <c r="L65" s="139">
        <v>1118.0</v>
      </c>
      <c r="M65" s="852" t="str">
        <f>IFERROR(VLOOKUP(B62:B252,'RELATÓRIO ACC'!B:F,5,FALSE),"N/A")</f>
        <v>N/A</v>
      </c>
      <c r="N65" s="1197" t="str">
        <f>IFERROR(VLOOKUP(B62:B252,'RELATÓRIO ACC'!B:P,15,FALSE),"N/A")</f>
        <v>N/A</v>
      </c>
      <c r="O65" s="126" t="s">
        <v>857</v>
      </c>
      <c r="P65" s="772" t="s">
        <v>858</v>
      </c>
      <c r="Q65" s="783" t="s">
        <v>129</v>
      </c>
      <c r="R65" s="746" t="s">
        <v>462</v>
      </c>
      <c r="S65" s="74" t="s">
        <v>462</v>
      </c>
      <c r="T65" s="749" t="s">
        <v>462</v>
      </c>
      <c r="U65" s="746" t="s">
        <v>462</v>
      </c>
      <c r="V65" s="74" t="s">
        <v>462</v>
      </c>
      <c r="W65" s="749" t="s">
        <v>462</v>
      </c>
      <c r="X65" s="746" t="s">
        <v>462</v>
      </c>
      <c r="Y65" s="74" t="s">
        <v>462</v>
      </c>
      <c r="Z65" s="749" t="s">
        <v>462</v>
      </c>
      <c r="AA65" s="774" t="s">
        <v>462</v>
      </c>
      <c r="AB65" s="76" t="s">
        <v>462</v>
      </c>
      <c r="AC65" s="750" t="s">
        <v>462</v>
      </c>
      <c r="AD65" s="776" t="s">
        <v>462</v>
      </c>
      <c r="AE65" s="858" t="s">
        <v>462</v>
      </c>
      <c r="AF65" s="859" t="s">
        <v>462</v>
      </c>
      <c r="AG65" s="68" t="s">
        <v>462</v>
      </c>
      <c r="AH65" s="68" t="s">
        <v>462</v>
      </c>
      <c r="AI65" s="68" t="s">
        <v>462</v>
      </c>
      <c r="AJ65" s="68" t="s">
        <v>462</v>
      </c>
      <c r="AK65" s="68" t="s">
        <v>462</v>
      </c>
      <c r="AL65" s="68" t="s">
        <v>462</v>
      </c>
      <c r="AM65" s="746" t="s">
        <v>462</v>
      </c>
      <c r="AN65" s="74" t="s">
        <v>462</v>
      </c>
      <c r="AO65" s="749" t="s">
        <v>462</v>
      </c>
      <c r="AP65" s="746" t="s">
        <v>462</v>
      </c>
      <c r="AQ65" s="74" t="s">
        <v>462</v>
      </c>
      <c r="AR65" s="749" t="s">
        <v>462</v>
      </c>
      <c r="AS65" s="746" t="s">
        <v>462</v>
      </c>
      <c r="AT65" s="74" t="s">
        <v>462</v>
      </c>
      <c r="AU65" s="749" t="s">
        <v>462</v>
      </c>
      <c r="AV65" s="774" t="s">
        <v>462</v>
      </c>
      <c r="AW65" s="76" t="s">
        <v>462</v>
      </c>
      <c r="AX65" s="750" t="s">
        <v>462</v>
      </c>
      <c r="AY65" s="68" t="s">
        <v>462</v>
      </c>
      <c r="AZ65" s="68" t="s">
        <v>462</v>
      </c>
      <c r="BA65" s="1198" t="s">
        <v>462</v>
      </c>
      <c r="BB65" s="68" t="s">
        <v>462</v>
      </c>
      <c r="BC65" s="68" t="s">
        <v>462</v>
      </c>
      <c r="BD65" s="1198" t="s">
        <v>462</v>
      </c>
      <c r="BE65" s="68" t="s">
        <v>462</v>
      </c>
      <c r="BF65" s="68" t="s">
        <v>462</v>
      </c>
      <c r="BG65" s="1198" t="s">
        <v>462</v>
      </c>
      <c r="BH65" s="68" t="s">
        <v>462</v>
      </c>
      <c r="BI65" s="68" t="s">
        <v>462</v>
      </c>
      <c r="BJ65" s="1198" t="s">
        <v>462</v>
      </c>
      <c r="BK65" s="68" t="s">
        <v>462</v>
      </c>
      <c r="BL65" s="68" t="s">
        <v>462</v>
      </c>
      <c r="BM65" s="1198" t="s">
        <v>462</v>
      </c>
      <c r="BN65" s="68" t="s">
        <v>462</v>
      </c>
      <c r="BO65" s="68" t="s">
        <v>462</v>
      </c>
      <c r="BP65" s="1198" t="s">
        <v>462</v>
      </c>
      <c r="BQ65" s="68" t="s">
        <v>709</v>
      </c>
      <c r="BR65" s="141" t="s">
        <v>477</v>
      </c>
      <c r="BS65" s="759" t="s">
        <v>476</v>
      </c>
      <c r="BT65" s="773">
        <v>0.57</v>
      </c>
      <c r="BU65" s="746" t="s">
        <v>477</v>
      </c>
      <c r="BV65" s="759" t="s">
        <v>476</v>
      </c>
      <c r="BW65" s="773">
        <v>0.99</v>
      </c>
      <c r="BX65" s="1749" t="s">
        <v>478</v>
      </c>
      <c r="BY65" s="68">
        <v>0.0</v>
      </c>
      <c r="BZ65" s="859">
        <v>0.0</v>
      </c>
      <c r="CA65" s="68" t="s">
        <v>484</v>
      </c>
      <c r="CB65" s="779" t="s">
        <v>476</v>
      </c>
      <c r="CC65" s="1743">
        <v>1.0</v>
      </c>
      <c r="CD65" s="68" t="s">
        <v>485</v>
      </c>
      <c r="CE65" s="779" t="s">
        <v>476</v>
      </c>
      <c r="CF65" s="1743">
        <v>1.0</v>
      </c>
      <c r="CG65" s="68"/>
      <c r="CH65" s="68"/>
      <c r="CI65" s="68"/>
    </row>
    <row r="66" ht="15.0" customHeight="1" outlineLevel="1">
      <c r="A66" s="60">
        <v>76.0</v>
      </c>
      <c r="B66" s="849" t="str">
        <f t="shared" si="2"/>
        <v>CPQ11-PLMB-PLMB-DATA-R22.rvt</v>
      </c>
      <c r="C66" s="60">
        <v>76.0</v>
      </c>
      <c r="D66" s="74" t="s">
        <v>2169</v>
      </c>
      <c r="E66" s="74" t="s">
        <v>2169</v>
      </c>
      <c r="F66" s="71" t="s">
        <v>85</v>
      </c>
      <c r="G66" s="74" t="s">
        <v>482</v>
      </c>
      <c r="H66" s="1713" t="s">
        <v>2124</v>
      </c>
      <c r="I66" s="146" t="s">
        <v>169</v>
      </c>
      <c r="J66" s="146">
        <v>1112.0</v>
      </c>
      <c r="K66" s="146" t="s">
        <v>170</v>
      </c>
      <c r="L66" s="139">
        <v>1129.0</v>
      </c>
      <c r="M66" s="746" t="str">
        <f>IFERROR(VLOOKUP(B63:B253,'RELATÓRIO ACC'!B:F,5,FALSE),"N/A")</f>
        <v>N/A</v>
      </c>
      <c r="N66" s="748" t="str">
        <f>IFERROR(VLOOKUP(B63:B253,'RELATÓRIO ACC'!B:P,15,FALSE),"N/A")</f>
        <v>N/A</v>
      </c>
      <c r="O66" s="746" t="s">
        <v>481</v>
      </c>
      <c r="P66" s="1752" t="s">
        <v>2172</v>
      </c>
      <c r="Q66" s="751" t="s">
        <v>102</v>
      </c>
      <c r="R66" s="746" t="s">
        <v>477</v>
      </c>
      <c r="S66" s="766" t="s">
        <v>476</v>
      </c>
      <c r="T66" s="1094">
        <v>0.51</v>
      </c>
      <c r="U66" s="746" t="s">
        <v>477</v>
      </c>
      <c r="V66" s="766" t="s">
        <v>476</v>
      </c>
      <c r="W66" s="1094">
        <v>0.53</v>
      </c>
      <c r="X66" s="746" t="s">
        <v>484</v>
      </c>
      <c r="Y66" s="766" t="s">
        <v>476</v>
      </c>
      <c r="Z66" s="773">
        <v>1.0</v>
      </c>
      <c r="AA66" s="746" t="s">
        <v>484</v>
      </c>
      <c r="AB66" s="759" t="s">
        <v>476</v>
      </c>
      <c r="AC66" s="762">
        <v>1.0</v>
      </c>
      <c r="AD66" s="746" t="s">
        <v>484</v>
      </c>
      <c r="AE66" s="759" t="s">
        <v>476</v>
      </c>
      <c r="AF66" s="762">
        <v>1.0</v>
      </c>
      <c r="AG66" s="746" t="s">
        <v>485</v>
      </c>
      <c r="AH66" s="759" t="s">
        <v>476</v>
      </c>
      <c r="AI66" s="762">
        <v>1.0</v>
      </c>
      <c r="AJ66" s="746" t="s">
        <v>485</v>
      </c>
      <c r="AK66" s="759" t="s">
        <v>476</v>
      </c>
      <c r="AL66" s="762">
        <v>1.0</v>
      </c>
      <c r="AM66" s="746" t="s">
        <v>477</v>
      </c>
      <c r="AN66" s="766" t="s">
        <v>476</v>
      </c>
      <c r="AO66" s="1094">
        <v>0.37</v>
      </c>
      <c r="AP66" s="746" t="s">
        <v>477</v>
      </c>
      <c r="AQ66" s="766" t="s">
        <v>476</v>
      </c>
      <c r="AR66" s="1094">
        <v>0.33</v>
      </c>
      <c r="AS66" s="746" t="s">
        <v>484</v>
      </c>
      <c r="AT66" s="766" t="s">
        <v>476</v>
      </c>
      <c r="AU66" s="773">
        <v>1.0</v>
      </c>
      <c r="AV66" s="746" t="s">
        <v>484</v>
      </c>
      <c r="AW66" s="759" t="s">
        <v>476</v>
      </c>
      <c r="AX66" s="762">
        <v>1.0</v>
      </c>
      <c r="AY66" s="746" t="s">
        <v>484</v>
      </c>
      <c r="AZ66" s="759" t="s">
        <v>476</v>
      </c>
      <c r="BA66" s="1057">
        <v>1.0</v>
      </c>
      <c r="BB66" s="746" t="s">
        <v>485</v>
      </c>
      <c r="BC66" s="759" t="s">
        <v>476</v>
      </c>
      <c r="BD66" s="1057">
        <v>1.0</v>
      </c>
      <c r="BE66" s="746" t="s">
        <v>485</v>
      </c>
      <c r="BF66" s="759" t="s">
        <v>476</v>
      </c>
      <c r="BG66" s="1057">
        <v>1.0</v>
      </c>
      <c r="BH66" s="746" t="s">
        <v>477</v>
      </c>
      <c r="BI66" s="759" t="s">
        <v>476</v>
      </c>
      <c r="BJ66" s="1183">
        <v>0.68</v>
      </c>
      <c r="BK66" s="755" t="s">
        <v>478</v>
      </c>
      <c r="BL66" s="74">
        <v>0.0</v>
      </c>
      <c r="BM66" s="1037">
        <v>0.0</v>
      </c>
      <c r="BN66" s="755" t="s">
        <v>478</v>
      </c>
      <c r="BO66" s="74">
        <v>0.0</v>
      </c>
      <c r="BP66" s="1037">
        <v>0.0</v>
      </c>
      <c r="BQ66" s="126" t="s">
        <v>709</v>
      </c>
      <c r="BR66" s="1723" t="s">
        <v>462</v>
      </c>
      <c r="BS66" s="125" t="s">
        <v>462</v>
      </c>
      <c r="BT66" s="138" t="s">
        <v>462</v>
      </c>
      <c r="BU66" s="1724" t="s">
        <v>462</v>
      </c>
      <c r="BV66" s="125" t="s">
        <v>462</v>
      </c>
      <c r="BW66" s="157" t="s">
        <v>462</v>
      </c>
      <c r="BX66" s="1725" t="s">
        <v>462</v>
      </c>
      <c r="BY66" s="125" t="s">
        <v>462</v>
      </c>
      <c r="BZ66" s="1726" t="s">
        <v>462</v>
      </c>
      <c r="CA66" s="1723" t="s">
        <v>462</v>
      </c>
      <c r="CB66" s="125" t="s">
        <v>462</v>
      </c>
      <c r="CC66" s="1727" t="s">
        <v>462</v>
      </c>
      <c r="CD66" s="1723" t="s">
        <v>462</v>
      </c>
      <c r="CE66" s="125" t="s">
        <v>462</v>
      </c>
      <c r="CF66" s="1727" t="s">
        <v>462</v>
      </c>
      <c r="CG66" s="111"/>
      <c r="CH66" s="111"/>
      <c r="CI66" s="111"/>
    </row>
    <row r="67" ht="15.0" customHeight="1" outlineLevel="1">
      <c r="A67" s="60">
        <v>75.0</v>
      </c>
      <c r="B67" s="747" t="str">
        <f t="shared" si="2"/>
        <v>CPQ11-PLMB-PLMB-SITE-R22.rvt</v>
      </c>
      <c r="C67" s="60">
        <v>75.0</v>
      </c>
      <c r="D67" s="74" t="s">
        <v>2169</v>
      </c>
      <c r="E67" s="74" t="s">
        <v>2169</v>
      </c>
      <c r="F67" s="71" t="s">
        <v>90</v>
      </c>
      <c r="G67" s="74" t="s">
        <v>482</v>
      </c>
      <c r="H67" s="1713" t="s">
        <v>2124</v>
      </c>
      <c r="I67" s="146" t="s">
        <v>169</v>
      </c>
      <c r="J67" s="146">
        <v>1112.0</v>
      </c>
      <c r="K67" s="146" t="s">
        <v>170</v>
      </c>
      <c r="L67" s="139">
        <v>1129.0</v>
      </c>
      <c r="M67" s="746" t="str">
        <f>IFERROR(VLOOKUP(B64:B254,'RELATÓRIO ACC'!B:F,5,FALSE),"N/A")</f>
        <v>N/A</v>
      </c>
      <c r="N67" s="748" t="str">
        <f>IFERROR(VLOOKUP(B64:B254,'RELATÓRIO ACC'!B:P,15,FALSE),"N/A")</f>
        <v>N/A</v>
      </c>
      <c r="O67" s="746" t="s">
        <v>719</v>
      </c>
      <c r="P67" s="1038">
        <v>45889.0</v>
      </c>
      <c r="Q67" s="751" t="s">
        <v>129</v>
      </c>
      <c r="R67" s="746" t="s">
        <v>462</v>
      </c>
      <c r="S67" s="74" t="s">
        <v>462</v>
      </c>
      <c r="T67" s="74" t="s">
        <v>462</v>
      </c>
      <c r="U67" s="746" t="s">
        <v>462</v>
      </c>
      <c r="V67" s="74" t="s">
        <v>462</v>
      </c>
      <c r="W67" s="74" t="s">
        <v>462</v>
      </c>
      <c r="X67" s="746" t="s">
        <v>462</v>
      </c>
      <c r="Y67" s="74" t="s">
        <v>462</v>
      </c>
      <c r="Z67" s="126" t="s">
        <v>462</v>
      </c>
      <c r="AA67" s="746" t="s">
        <v>462</v>
      </c>
      <c r="AB67" s="74" t="s">
        <v>462</v>
      </c>
      <c r="AC67" s="753" t="s">
        <v>462</v>
      </c>
      <c r="AD67" s="746" t="s">
        <v>462</v>
      </c>
      <c r="AE67" s="74" t="s">
        <v>462</v>
      </c>
      <c r="AF67" s="753" t="s">
        <v>462</v>
      </c>
      <c r="AG67" s="746" t="s">
        <v>462</v>
      </c>
      <c r="AH67" s="74" t="s">
        <v>462</v>
      </c>
      <c r="AI67" s="753" t="s">
        <v>462</v>
      </c>
      <c r="AJ67" s="746" t="s">
        <v>462</v>
      </c>
      <c r="AK67" s="74" t="s">
        <v>462</v>
      </c>
      <c r="AL67" s="753" t="s">
        <v>462</v>
      </c>
      <c r="AM67" s="746" t="s">
        <v>462</v>
      </c>
      <c r="AN67" s="74" t="s">
        <v>462</v>
      </c>
      <c r="AO67" s="74" t="s">
        <v>462</v>
      </c>
      <c r="AP67" s="746" t="s">
        <v>462</v>
      </c>
      <c r="AQ67" s="74" t="s">
        <v>462</v>
      </c>
      <c r="AR67" s="74" t="s">
        <v>462</v>
      </c>
      <c r="AS67" s="746" t="s">
        <v>462</v>
      </c>
      <c r="AT67" s="74" t="s">
        <v>462</v>
      </c>
      <c r="AU67" s="126" t="s">
        <v>462</v>
      </c>
      <c r="AV67" s="746" t="s">
        <v>462</v>
      </c>
      <c r="AW67" s="74" t="s">
        <v>462</v>
      </c>
      <c r="AX67" s="753" t="s">
        <v>462</v>
      </c>
      <c r="AY67" s="746" t="s">
        <v>462</v>
      </c>
      <c r="AZ67" s="74" t="s">
        <v>462</v>
      </c>
      <c r="BA67" s="1037" t="s">
        <v>462</v>
      </c>
      <c r="BB67" s="746" t="s">
        <v>462</v>
      </c>
      <c r="BC67" s="74" t="s">
        <v>462</v>
      </c>
      <c r="BD67" s="1037" t="s">
        <v>462</v>
      </c>
      <c r="BE67" s="746" t="s">
        <v>462</v>
      </c>
      <c r="BF67" s="74" t="s">
        <v>462</v>
      </c>
      <c r="BG67" s="1037" t="s">
        <v>462</v>
      </c>
      <c r="BH67" s="746" t="s">
        <v>462</v>
      </c>
      <c r="BI67" s="74" t="s">
        <v>462</v>
      </c>
      <c r="BJ67" s="1037" t="s">
        <v>462</v>
      </c>
      <c r="BK67" s="746" t="s">
        <v>462</v>
      </c>
      <c r="BL67" s="74" t="s">
        <v>462</v>
      </c>
      <c r="BM67" s="1037" t="s">
        <v>462</v>
      </c>
      <c r="BN67" s="746" t="s">
        <v>462</v>
      </c>
      <c r="BO67" s="74" t="s">
        <v>462</v>
      </c>
      <c r="BP67" s="1037" t="s">
        <v>462</v>
      </c>
      <c r="BQ67" s="126"/>
      <c r="BR67" s="141" t="s">
        <v>477</v>
      </c>
      <c r="BS67" s="759" t="s">
        <v>476</v>
      </c>
      <c r="BT67" s="1094">
        <v>0.33</v>
      </c>
      <c r="BU67" s="746" t="s">
        <v>484</v>
      </c>
      <c r="BV67" s="861" t="s">
        <v>476</v>
      </c>
      <c r="BW67" s="773">
        <v>1.0</v>
      </c>
      <c r="BX67" s="746" t="s">
        <v>484</v>
      </c>
      <c r="BY67" s="759" t="s">
        <v>476</v>
      </c>
      <c r="BZ67" s="762">
        <v>1.0</v>
      </c>
      <c r="CA67" s="746" t="s">
        <v>485</v>
      </c>
      <c r="CB67" s="759" t="s">
        <v>476</v>
      </c>
      <c r="CC67" s="1387">
        <v>1.0</v>
      </c>
      <c r="CD67" s="746" t="s">
        <v>485</v>
      </c>
      <c r="CE67" s="759" t="s">
        <v>476</v>
      </c>
      <c r="CF67" s="1387">
        <v>1.0</v>
      </c>
      <c r="CG67" s="135"/>
      <c r="CH67" s="135"/>
      <c r="CI67" s="135"/>
    </row>
    <row r="68" ht="15.0" customHeight="1">
      <c r="A68" s="60">
        <v>43.0</v>
      </c>
      <c r="B68" s="769" t="str">
        <f t="shared" si="2"/>
        <v>CPQ11-ROIP-DEVS-DATA-R22.rvt</v>
      </c>
      <c r="C68" s="60">
        <v>43.0</v>
      </c>
      <c r="D68" s="126" t="s">
        <v>2173</v>
      </c>
      <c r="E68" s="126" t="s">
        <v>2150</v>
      </c>
      <c r="F68" s="770" t="s">
        <v>85</v>
      </c>
      <c r="G68" s="126" t="s">
        <v>482</v>
      </c>
      <c r="H68" s="1733" t="s">
        <v>2124</v>
      </c>
      <c r="I68" s="771" t="s">
        <v>176</v>
      </c>
      <c r="J68" s="771">
        <v>1113.0</v>
      </c>
      <c r="K68" s="771" t="s">
        <v>176</v>
      </c>
      <c r="L68" s="139">
        <v>1113.0</v>
      </c>
      <c r="M68" s="852" t="str">
        <f>IFERROR(VLOOKUP(B65:B255,'RELATÓRIO ACC'!B:F,5,FALSE),"N/A")</f>
        <v>N/A</v>
      </c>
      <c r="N68" s="1197" t="str">
        <f>IFERROR(VLOOKUP(B65:B255,'RELATÓRIO ACC'!B:P,15,FALSE),"N/A")</f>
        <v>N/A</v>
      </c>
      <c r="O68" s="126" t="s">
        <v>856</v>
      </c>
      <c r="P68" s="772" t="s">
        <v>858</v>
      </c>
      <c r="Q68" s="751" t="s">
        <v>146</v>
      </c>
      <c r="R68" s="746" t="s">
        <v>477</v>
      </c>
      <c r="S68" s="766" t="s">
        <v>476</v>
      </c>
      <c r="T68" s="773">
        <v>0.45</v>
      </c>
      <c r="U68" s="746" t="s">
        <v>477</v>
      </c>
      <c r="V68" s="766" t="s">
        <v>476</v>
      </c>
      <c r="W68" s="773">
        <v>0.48</v>
      </c>
      <c r="X68" s="746" t="s">
        <v>477</v>
      </c>
      <c r="Y68" s="766" t="s">
        <v>476</v>
      </c>
      <c r="Z68" s="773">
        <v>0.91</v>
      </c>
      <c r="AA68" s="774" t="s">
        <v>484</v>
      </c>
      <c r="AB68" s="786" t="s">
        <v>476</v>
      </c>
      <c r="AC68" s="768">
        <v>1.0</v>
      </c>
      <c r="AD68" s="776" t="s">
        <v>484</v>
      </c>
      <c r="AE68" s="788" t="s">
        <v>476</v>
      </c>
      <c r="AF68" s="778">
        <v>1.0</v>
      </c>
      <c r="AG68" s="68" t="s">
        <v>485</v>
      </c>
      <c r="AH68" s="791" t="s">
        <v>476</v>
      </c>
      <c r="AI68" s="135">
        <v>1.0</v>
      </c>
      <c r="AJ68" s="68" t="s">
        <v>485</v>
      </c>
      <c r="AK68" s="791" t="s">
        <v>476</v>
      </c>
      <c r="AL68" s="135">
        <v>1.0</v>
      </c>
      <c r="AM68" s="746" t="s">
        <v>477</v>
      </c>
      <c r="AN68" s="766" t="s">
        <v>476</v>
      </c>
      <c r="AO68" s="773">
        <v>0.44</v>
      </c>
      <c r="AP68" s="746" t="s">
        <v>477</v>
      </c>
      <c r="AQ68" s="766" t="s">
        <v>476</v>
      </c>
      <c r="AR68" s="773">
        <v>0.47</v>
      </c>
      <c r="AS68" s="746" t="s">
        <v>477</v>
      </c>
      <c r="AT68" s="766" t="s">
        <v>476</v>
      </c>
      <c r="AU68" s="773">
        <v>0.92</v>
      </c>
      <c r="AV68" s="774" t="s">
        <v>484</v>
      </c>
      <c r="AW68" s="786" t="s">
        <v>476</v>
      </c>
      <c r="AX68" s="768">
        <v>1.0</v>
      </c>
      <c r="AY68" s="68" t="s">
        <v>484</v>
      </c>
      <c r="AZ68" s="791" t="s">
        <v>476</v>
      </c>
      <c r="BA68" s="1207">
        <v>1.0</v>
      </c>
      <c r="BB68" s="68" t="s">
        <v>485</v>
      </c>
      <c r="BC68" s="791" t="s">
        <v>476</v>
      </c>
      <c r="BD68" s="1207">
        <v>1.0</v>
      </c>
      <c r="BE68" s="68" t="s">
        <v>485</v>
      </c>
      <c r="BF68" s="791" t="s">
        <v>476</v>
      </c>
      <c r="BG68" s="1207">
        <v>1.0</v>
      </c>
      <c r="BH68" s="68" t="s">
        <v>477</v>
      </c>
      <c r="BI68" s="791" t="s">
        <v>476</v>
      </c>
      <c r="BJ68" s="1207">
        <v>0.49</v>
      </c>
      <c r="BK68" s="1747" t="s">
        <v>477</v>
      </c>
      <c r="BL68" s="791" t="s">
        <v>476</v>
      </c>
      <c r="BM68" s="1207">
        <v>0.69</v>
      </c>
      <c r="BN68" s="763" t="s">
        <v>478</v>
      </c>
      <c r="BO68" s="68">
        <v>0.0</v>
      </c>
      <c r="BP68" s="1198">
        <v>0.0</v>
      </c>
      <c r="BQ68" s="68" t="s">
        <v>91</v>
      </c>
      <c r="BR68" s="1723" t="s">
        <v>462</v>
      </c>
      <c r="BS68" s="125" t="s">
        <v>462</v>
      </c>
      <c r="BT68" s="147" t="s">
        <v>462</v>
      </c>
      <c r="BU68" s="1724" t="s">
        <v>462</v>
      </c>
      <c r="BV68" s="125" t="s">
        <v>462</v>
      </c>
      <c r="BW68" s="147" t="s">
        <v>462</v>
      </c>
      <c r="BX68" s="1734" t="s">
        <v>462</v>
      </c>
      <c r="BY68" s="111" t="s">
        <v>462</v>
      </c>
      <c r="BZ68" s="1735" t="s">
        <v>462</v>
      </c>
      <c r="CA68" s="1736" t="s">
        <v>462</v>
      </c>
      <c r="CB68" s="111" t="s">
        <v>462</v>
      </c>
      <c r="CC68" s="1737" t="s">
        <v>462</v>
      </c>
      <c r="CD68" s="1736" t="s">
        <v>462</v>
      </c>
      <c r="CE68" s="111" t="s">
        <v>462</v>
      </c>
      <c r="CF68" s="1737" t="s">
        <v>462</v>
      </c>
      <c r="CG68" s="111"/>
      <c r="CH68" s="111"/>
      <c r="CI68" s="111"/>
    </row>
    <row r="69" ht="15.0" customHeight="1" outlineLevel="1">
      <c r="A69" s="60">
        <v>42.0</v>
      </c>
      <c r="B69" s="747" t="str">
        <f t="shared" si="2"/>
        <v>CPQ11-ROIP-DEVS-GUAR-R22.rvt</v>
      </c>
      <c r="C69" s="60">
        <v>42.0</v>
      </c>
      <c r="D69" s="74" t="s">
        <v>2173</v>
      </c>
      <c r="E69" s="74" t="s">
        <v>2150</v>
      </c>
      <c r="F69" s="71" t="s">
        <v>127</v>
      </c>
      <c r="G69" s="74" t="s">
        <v>482</v>
      </c>
      <c r="H69" s="1713" t="s">
        <v>2124</v>
      </c>
      <c r="I69" s="146" t="s">
        <v>176</v>
      </c>
      <c r="J69" s="72">
        <v>1113.0</v>
      </c>
      <c r="K69" s="139" t="s">
        <v>176</v>
      </c>
      <c r="L69" s="139">
        <v>1113.0</v>
      </c>
      <c r="M69" s="746" t="str">
        <f>IFERROR(VLOOKUP(B66:B256,'RELATÓRIO ACC'!B:F,5,FALSE),"N/A")</f>
        <v>N/A</v>
      </c>
      <c r="N69" s="748" t="str">
        <f>IFERROR(VLOOKUP(B66:B256,'RELATÓRIO ACC'!B:P,15,FALSE),"N/A")</f>
        <v>N/A</v>
      </c>
      <c r="O69" s="141" t="s">
        <v>486</v>
      </c>
      <c r="P69" s="1038">
        <v>45895.0</v>
      </c>
      <c r="Q69" s="751" t="s">
        <v>186</v>
      </c>
      <c r="R69" s="746" t="s">
        <v>462</v>
      </c>
      <c r="S69" s="74" t="s">
        <v>462</v>
      </c>
      <c r="T69" s="749" t="s">
        <v>462</v>
      </c>
      <c r="U69" s="746" t="s">
        <v>462</v>
      </c>
      <c r="V69" s="74" t="s">
        <v>462</v>
      </c>
      <c r="W69" s="749" t="s">
        <v>462</v>
      </c>
      <c r="X69" s="746" t="s">
        <v>462</v>
      </c>
      <c r="Y69" s="74" t="s">
        <v>462</v>
      </c>
      <c r="Z69" s="749" t="s">
        <v>462</v>
      </c>
      <c r="AA69" s="746" t="s">
        <v>462</v>
      </c>
      <c r="AB69" s="74" t="s">
        <v>462</v>
      </c>
      <c r="AC69" s="750" t="s">
        <v>462</v>
      </c>
      <c r="AD69" s="746" t="s">
        <v>462</v>
      </c>
      <c r="AE69" s="74" t="s">
        <v>462</v>
      </c>
      <c r="AF69" s="1730" t="s">
        <v>462</v>
      </c>
      <c r="AG69" s="746" t="s">
        <v>462</v>
      </c>
      <c r="AH69" s="74" t="s">
        <v>462</v>
      </c>
      <c r="AI69" s="1730" t="s">
        <v>462</v>
      </c>
      <c r="AJ69" s="746" t="s">
        <v>462</v>
      </c>
      <c r="AK69" s="74" t="s">
        <v>462</v>
      </c>
      <c r="AL69" s="1730" t="s">
        <v>462</v>
      </c>
      <c r="AM69" s="746" t="s">
        <v>462</v>
      </c>
      <c r="AN69" s="74" t="s">
        <v>462</v>
      </c>
      <c r="AO69" s="749" t="s">
        <v>462</v>
      </c>
      <c r="AP69" s="746" t="s">
        <v>462</v>
      </c>
      <c r="AQ69" s="74" t="s">
        <v>462</v>
      </c>
      <c r="AR69" s="749" t="s">
        <v>462</v>
      </c>
      <c r="AS69" s="746" t="s">
        <v>462</v>
      </c>
      <c r="AT69" s="74" t="s">
        <v>462</v>
      </c>
      <c r="AU69" s="749" t="s">
        <v>462</v>
      </c>
      <c r="AV69" s="746" t="s">
        <v>462</v>
      </c>
      <c r="AW69" s="74" t="s">
        <v>462</v>
      </c>
      <c r="AX69" s="750" t="s">
        <v>462</v>
      </c>
      <c r="AY69" s="746" t="s">
        <v>462</v>
      </c>
      <c r="AZ69" s="74" t="s">
        <v>462</v>
      </c>
      <c r="BA69" s="1037" t="s">
        <v>462</v>
      </c>
      <c r="BB69" s="746" t="s">
        <v>462</v>
      </c>
      <c r="BC69" s="74" t="s">
        <v>462</v>
      </c>
      <c r="BD69" s="1037" t="s">
        <v>462</v>
      </c>
      <c r="BE69" s="746" t="s">
        <v>462</v>
      </c>
      <c r="BF69" s="74" t="s">
        <v>462</v>
      </c>
      <c r="BG69" s="1037" t="s">
        <v>462</v>
      </c>
      <c r="BH69" s="746" t="s">
        <v>462</v>
      </c>
      <c r="BI69" s="74" t="s">
        <v>462</v>
      </c>
      <c r="BJ69" s="1037" t="s">
        <v>462</v>
      </c>
      <c r="BK69" s="746" t="s">
        <v>462</v>
      </c>
      <c r="BL69" s="74" t="s">
        <v>462</v>
      </c>
      <c r="BM69" s="753" t="s">
        <v>462</v>
      </c>
      <c r="BN69" s="746" t="s">
        <v>462</v>
      </c>
      <c r="BO69" s="74" t="s">
        <v>462</v>
      </c>
      <c r="BP69" s="1037" t="s">
        <v>462</v>
      </c>
      <c r="BQ69" s="126"/>
      <c r="BR69" s="141" t="s">
        <v>477</v>
      </c>
      <c r="BS69" s="759" t="s">
        <v>476</v>
      </c>
      <c r="BT69" s="773">
        <v>0.77</v>
      </c>
      <c r="BU69" s="746" t="s">
        <v>484</v>
      </c>
      <c r="BV69" s="766" t="s">
        <v>476</v>
      </c>
      <c r="BW69" s="773">
        <v>1.0</v>
      </c>
      <c r="BX69" s="1729" t="s">
        <v>484</v>
      </c>
      <c r="BY69" s="766" t="s">
        <v>476</v>
      </c>
      <c r="BZ69" s="762">
        <v>1.0</v>
      </c>
      <c r="CA69" s="141" t="s">
        <v>485</v>
      </c>
      <c r="CB69" s="766" t="s">
        <v>476</v>
      </c>
      <c r="CC69" s="1387">
        <v>1.0</v>
      </c>
      <c r="CD69" s="141" t="s">
        <v>485</v>
      </c>
      <c r="CE69" s="766" t="s">
        <v>476</v>
      </c>
      <c r="CF69" s="1387">
        <v>1.0</v>
      </c>
      <c r="CG69" s="135"/>
      <c r="CH69" s="135"/>
      <c r="CI69" s="135"/>
    </row>
    <row r="70" ht="15.0" customHeight="1">
      <c r="A70" s="60">
        <v>58.0</v>
      </c>
      <c r="B70" s="769" t="str">
        <f t="shared" si="2"/>
        <v>CPQ11-SCTY-DEVS-DATA-R22.rvt</v>
      </c>
      <c r="C70" s="60">
        <v>58.0</v>
      </c>
      <c r="D70" s="126" t="s">
        <v>2174</v>
      </c>
      <c r="E70" s="126" t="s">
        <v>2150</v>
      </c>
      <c r="F70" s="770" t="s">
        <v>85</v>
      </c>
      <c r="G70" s="126" t="s">
        <v>482</v>
      </c>
      <c r="H70" s="1733" t="s">
        <v>2124</v>
      </c>
      <c r="I70" s="771" t="s">
        <v>214</v>
      </c>
      <c r="J70" s="771">
        <v>1115.0</v>
      </c>
      <c r="K70" s="771" t="s">
        <v>214</v>
      </c>
      <c r="L70" s="139">
        <v>1115.0</v>
      </c>
      <c r="M70" s="852" t="str">
        <f>IFERROR(VLOOKUP(B67:B257,'RELATÓRIO ACC'!B:F,5,FALSE),"N/A")</f>
        <v>N/A</v>
      </c>
      <c r="N70" s="1197" t="str">
        <f>IFERROR(VLOOKUP(B67:B257,'RELATÓRIO ACC'!B:P,15,FALSE),"N/A")</f>
        <v>N/A</v>
      </c>
      <c r="O70" s="126" t="s">
        <v>496</v>
      </c>
      <c r="P70" s="857">
        <v>45924.0</v>
      </c>
      <c r="Q70" s="751" t="s">
        <v>129</v>
      </c>
      <c r="R70" s="852" t="s">
        <v>477</v>
      </c>
      <c r="S70" s="853" t="s">
        <v>476</v>
      </c>
      <c r="T70" s="1753">
        <v>0.35</v>
      </c>
      <c r="U70" s="852" t="s">
        <v>477</v>
      </c>
      <c r="V70" s="853" t="s">
        <v>476</v>
      </c>
      <c r="W70" s="119">
        <v>0.35</v>
      </c>
      <c r="X70" s="852" t="s">
        <v>477</v>
      </c>
      <c r="Y70" s="853" t="s">
        <v>476</v>
      </c>
      <c r="Z70" s="119">
        <v>0.99</v>
      </c>
      <c r="AA70" s="774" t="s">
        <v>484</v>
      </c>
      <c r="AB70" s="786" t="s">
        <v>476</v>
      </c>
      <c r="AC70" s="768">
        <v>1.0</v>
      </c>
      <c r="AD70" s="776" t="s">
        <v>484</v>
      </c>
      <c r="AE70" s="788" t="s">
        <v>476</v>
      </c>
      <c r="AF70" s="778">
        <v>1.0</v>
      </c>
      <c r="AG70" s="68" t="s">
        <v>485</v>
      </c>
      <c r="AH70" s="791" t="s">
        <v>476</v>
      </c>
      <c r="AI70" s="135">
        <v>1.0</v>
      </c>
      <c r="AJ70" s="68" t="s">
        <v>485</v>
      </c>
      <c r="AK70" s="791" t="s">
        <v>476</v>
      </c>
      <c r="AL70" s="135">
        <v>1.0</v>
      </c>
      <c r="AM70" s="852" t="s">
        <v>477</v>
      </c>
      <c r="AN70" s="853" t="s">
        <v>476</v>
      </c>
      <c r="AO70" s="119">
        <v>0.35</v>
      </c>
      <c r="AP70" s="852" t="s">
        <v>477</v>
      </c>
      <c r="AQ70" s="853" t="s">
        <v>476</v>
      </c>
      <c r="AR70" s="119">
        <v>0.35</v>
      </c>
      <c r="AS70" s="852" t="s">
        <v>477</v>
      </c>
      <c r="AT70" s="853" t="s">
        <v>476</v>
      </c>
      <c r="AU70" s="1187">
        <v>0.97</v>
      </c>
      <c r="AV70" s="774" t="s">
        <v>484</v>
      </c>
      <c r="AW70" s="786" t="s">
        <v>476</v>
      </c>
      <c r="AX70" s="768">
        <v>1.0</v>
      </c>
      <c r="AY70" s="68" t="s">
        <v>484</v>
      </c>
      <c r="AZ70" s="791" t="s">
        <v>476</v>
      </c>
      <c r="BA70" s="1207">
        <v>1.0</v>
      </c>
      <c r="BB70" s="68" t="s">
        <v>485</v>
      </c>
      <c r="BC70" s="791" t="s">
        <v>476</v>
      </c>
      <c r="BD70" s="135">
        <v>1.0</v>
      </c>
      <c r="BE70" s="68" t="s">
        <v>485</v>
      </c>
      <c r="BF70" s="791" t="s">
        <v>476</v>
      </c>
      <c r="BG70" s="135">
        <v>1.0</v>
      </c>
      <c r="BH70" s="68" t="s">
        <v>477</v>
      </c>
      <c r="BI70" s="791" t="s">
        <v>476</v>
      </c>
      <c r="BJ70" s="1207">
        <v>0.94</v>
      </c>
      <c r="BK70" s="763" t="s">
        <v>478</v>
      </c>
      <c r="BL70" s="68">
        <v>0.0</v>
      </c>
      <c r="BM70" s="1198">
        <v>0.0</v>
      </c>
      <c r="BN70" s="763" t="s">
        <v>484</v>
      </c>
      <c r="BO70" s="791" t="s">
        <v>476</v>
      </c>
      <c r="BP70" s="1207">
        <v>1.0</v>
      </c>
      <c r="BQ70" s="68" t="s">
        <v>129</v>
      </c>
      <c r="BR70" s="1732" t="s">
        <v>462</v>
      </c>
      <c r="BS70" s="157" t="s">
        <v>462</v>
      </c>
      <c r="BT70" s="157" t="s">
        <v>462</v>
      </c>
      <c r="BU70" s="1754" t="s">
        <v>462</v>
      </c>
      <c r="BV70" s="157" t="s">
        <v>462</v>
      </c>
      <c r="BW70" s="157" t="s">
        <v>462</v>
      </c>
      <c r="BX70" s="1734" t="s">
        <v>462</v>
      </c>
      <c r="BY70" s="111" t="s">
        <v>462</v>
      </c>
      <c r="BZ70" s="1735" t="s">
        <v>462</v>
      </c>
      <c r="CA70" s="1736" t="s">
        <v>462</v>
      </c>
      <c r="CB70" s="111" t="s">
        <v>462</v>
      </c>
      <c r="CC70" s="1737" t="s">
        <v>462</v>
      </c>
      <c r="CD70" s="1736" t="s">
        <v>462</v>
      </c>
      <c r="CE70" s="111" t="s">
        <v>462</v>
      </c>
      <c r="CF70" s="1737" t="s">
        <v>462</v>
      </c>
      <c r="CG70" s="111"/>
      <c r="CH70" s="111"/>
      <c r="CI70" s="111"/>
    </row>
    <row r="71" ht="15.0" customHeight="1" outlineLevel="1">
      <c r="A71" s="60">
        <v>57.0</v>
      </c>
      <c r="B71" s="747" t="str">
        <f t="shared" si="2"/>
        <v>CPQ11-SCTY-DEVS-SITE-R22.rvt</v>
      </c>
      <c r="C71" s="60">
        <v>57.0</v>
      </c>
      <c r="D71" s="74" t="s">
        <v>2174</v>
      </c>
      <c r="E71" s="74" t="s">
        <v>2150</v>
      </c>
      <c r="F71" s="71" t="s">
        <v>90</v>
      </c>
      <c r="G71" s="74" t="s">
        <v>482</v>
      </c>
      <c r="H71" s="1713" t="s">
        <v>2124</v>
      </c>
      <c r="I71" s="146" t="s">
        <v>214</v>
      </c>
      <c r="J71" s="72">
        <v>1115.0</v>
      </c>
      <c r="K71" s="139" t="s">
        <v>214</v>
      </c>
      <c r="L71" s="139">
        <v>1115.0</v>
      </c>
      <c r="M71" s="746" t="str">
        <f>IFERROR(VLOOKUP(B68:B258,'RELATÓRIO ACC'!B:F,5,FALSE),"N/A")</f>
        <v>N/A</v>
      </c>
      <c r="N71" s="748" t="str">
        <f>IFERROR(VLOOKUP(B68:B258,'RELATÓRIO ACC'!B:P,15,FALSE),"N/A")</f>
        <v>N/A</v>
      </c>
      <c r="O71" s="141" t="s">
        <v>501</v>
      </c>
      <c r="P71" s="1038">
        <v>45896.0</v>
      </c>
      <c r="Q71" s="751" t="s">
        <v>146</v>
      </c>
      <c r="R71" s="746" t="s">
        <v>462</v>
      </c>
      <c r="S71" s="74" t="s">
        <v>462</v>
      </c>
      <c r="T71" s="749" t="s">
        <v>462</v>
      </c>
      <c r="U71" s="746" t="s">
        <v>462</v>
      </c>
      <c r="V71" s="74" t="s">
        <v>462</v>
      </c>
      <c r="W71" s="749" t="s">
        <v>462</v>
      </c>
      <c r="X71" s="746" t="s">
        <v>462</v>
      </c>
      <c r="Y71" s="74" t="s">
        <v>462</v>
      </c>
      <c r="Z71" s="749" t="s">
        <v>462</v>
      </c>
      <c r="AA71" s="746" t="s">
        <v>462</v>
      </c>
      <c r="AB71" s="74" t="s">
        <v>462</v>
      </c>
      <c r="AC71" s="753" t="s">
        <v>462</v>
      </c>
      <c r="AD71" s="746" t="s">
        <v>462</v>
      </c>
      <c r="AE71" s="74" t="s">
        <v>462</v>
      </c>
      <c r="AF71" s="753" t="s">
        <v>462</v>
      </c>
      <c r="AG71" s="746" t="s">
        <v>462</v>
      </c>
      <c r="AH71" s="74" t="s">
        <v>462</v>
      </c>
      <c r="AI71" s="753" t="s">
        <v>462</v>
      </c>
      <c r="AJ71" s="746" t="s">
        <v>462</v>
      </c>
      <c r="AK71" s="74" t="s">
        <v>462</v>
      </c>
      <c r="AL71" s="753" t="s">
        <v>462</v>
      </c>
      <c r="AM71" s="746" t="s">
        <v>462</v>
      </c>
      <c r="AN71" s="74" t="s">
        <v>462</v>
      </c>
      <c r="AO71" s="749" t="s">
        <v>462</v>
      </c>
      <c r="AP71" s="746" t="s">
        <v>462</v>
      </c>
      <c r="AQ71" s="74" t="s">
        <v>462</v>
      </c>
      <c r="AR71" s="749" t="s">
        <v>462</v>
      </c>
      <c r="AS71" s="746" t="s">
        <v>462</v>
      </c>
      <c r="AT71" s="74" t="s">
        <v>462</v>
      </c>
      <c r="AU71" s="749" t="s">
        <v>462</v>
      </c>
      <c r="AV71" s="746" t="s">
        <v>462</v>
      </c>
      <c r="AW71" s="74" t="s">
        <v>462</v>
      </c>
      <c r="AX71" s="750" t="s">
        <v>462</v>
      </c>
      <c r="AY71" s="746" t="s">
        <v>462</v>
      </c>
      <c r="AZ71" s="74" t="s">
        <v>462</v>
      </c>
      <c r="BA71" s="1037" t="s">
        <v>462</v>
      </c>
      <c r="BB71" s="746" t="s">
        <v>462</v>
      </c>
      <c r="BC71" s="74" t="s">
        <v>462</v>
      </c>
      <c r="BD71" s="1037" t="s">
        <v>462</v>
      </c>
      <c r="BE71" s="746" t="s">
        <v>462</v>
      </c>
      <c r="BF71" s="74" t="s">
        <v>462</v>
      </c>
      <c r="BG71" s="1037" t="s">
        <v>462</v>
      </c>
      <c r="BH71" s="746" t="s">
        <v>462</v>
      </c>
      <c r="BI71" s="74" t="s">
        <v>462</v>
      </c>
      <c r="BJ71" s="1037" t="s">
        <v>462</v>
      </c>
      <c r="BK71" s="746" t="s">
        <v>462</v>
      </c>
      <c r="BL71" s="74" t="s">
        <v>462</v>
      </c>
      <c r="BM71" s="1037" t="s">
        <v>462</v>
      </c>
      <c r="BN71" s="746" t="s">
        <v>462</v>
      </c>
      <c r="BO71" s="74" t="s">
        <v>462</v>
      </c>
      <c r="BP71" s="1037" t="s">
        <v>462</v>
      </c>
      <c r="BQ71" s="126"/>
      <c r="BR71" s="141" t="s">
        <v>477</v>
      </c>
      <c r="BS71" s="759" t="s">
        <v>476</v>
      </c>
      <c r="BT71" s="773">
        <v>0.42</v>
      </c>
      <c r="BU71" s="746" t="s">
        <v>484</v>
      </c>
      <c r="BV71" s="766" t="s">
        <v>476</v>
      </c>
      <c r="BW71" s="773">
        <v>1.0</v>
      </c>
      <c r="BX71" s="1729" t="s">
        <v>484</v>
      </c>
      <c r="BY71" s="766" t="s">
        <v>476</v>
      </c>
      <c r="BZ71" s="762">
        <v>1.0</v>
      </c>
      <c r="CA71" s="141" t="s">
        <v>485</v>
      </c>
      <c r="CB71" s="766" t="s">
        <v>476</v>
      </c>
      <c r="CC71" s="1387">
        <v>1.0</v>
      </c>
      <c r="CD71" s="141" t="s">
        <v>485</v>
      </c>
      <c r="CE71" s="766" t="s">
        <v>476</v>
      </c>
      <c r="CF71" s="1387">
        <v>1.0</v>
      </c>
      <c r="CG71" s="135"/>
      <c r="CH71" s="135"/>
      <c r="CI71" s="135"/>
    </row>
    <row r="72" ht="15.0" customHeight="1" outlineLevel="1">
      <c r="A72" s="60">
        <v>54.0</v>
      </c>
      <c r="B72" s="849" t="str">
        <f t="shared" si="2"/>
        <v>CPQ11-SCTY-INFR-DATA-R22.rvt</v>
      </c>
      <c r="C72" s="60">
        <v>54.0</v>
      </c>
      <c r="D72" s="74" t="s">
        <v>2174</v>
      </c>
      <c r="E72" s="74" t="s">
        <v>2151</v>
      </c>
      <c r="F72" s="71" t="s">
        <v>85</v>
      </c>
      <c r="G72" s="74" t="s">
        <v>482</v>
      </c>
      <c r="H72" s="1713" t="s">
        <v>2124</v>
      </c>
      <c r="I72" s="146" t="s">
        <v>169</v>
      </c>
      <c r="J72" s="72">
        <v>1112.0</v>
      </c>
      <c r="K72" s="139" t="s">
        <v>170</v>
      </c>
      <c r="L72" s="139">
        <v>1129.0</v>
      </c>
      <c r="M72" s="746" t="str">
        <f>IFERROR(VLOOKUP(B69:B259,'RELATÓRIO ACC'!B:F,5,FALSE),"N/A")</f>
        <v>N/A</v>
      </c>
      <c r="N72" s="748" t="str">
        <f>IFERROR(VLOOKUP(B69:B259,'RELATÓRIO ACC'!B:P,15,FALSE),"N/A")</f>
        <v>N/A</v>
      </c>
      <c r="O72" s="141" t="s">
        <v>502</v>
      </c>
      <c r="P72" s="782">
        <v>45910.0</v>
      </c>
      <c r="Q72" s="751" t="s">
        <v>129</v>
      </c>
      <c r="R72" s="746" t="s">
        <v>477</v>
      </c>
      <c r="S72" s="766" t="s">
        <v>476</v>
      </c>
      <c r="T72" s="773">
        <v>0.49</v>
      </c>
      <c r="U72" s="746" t="s">
        <v>477</v>
      </c>
      <c r="V72" s="766" t="s">
        <v>476</v>
      </c>
      <c r="W72" s="773">
        <v>0.97</v>
      </c>
      <c r="X72" s="746" t="s">
        <v>484</v>
      </c>
      <c r="Y72" s="792" t="s">
        <v>476</v>
      </c>
      <c r="Z72" s="773">
        <v>1.0</v>
      </c>
      <c r="AA72" s="746" t="s">
        <v>484</v>
      </c>
      <c r="AB72" s="786" t="s">
        <v>476</v>
      </c>
      <c r="AC72" s="762">
        <v>1.0</v>
      </c>
      <c r="AD72" s="746" t="s">
        <v>484</v>
      </c>
      <c r="AE72" s="759" t="s">
        <v>476</v>
      </c>
      <c r="AF72" s="1755">
        <v>1.0</v>
      </c>
      <c r="AG72" s="746" t="s">
        <v>485</v>
      </c>
      <c r="AH72" s="759" t="s">
        <v>476</v>
      </c>
      <c r="AI72" s="1755">
        <v>1.0</v>
      </c>
      <c r="AJ72" s="746" t="s">
        <v>485</v>
      </c>
      <c r="AK72" s="759" t="s">
        <v>476</v>
      </c>
      <c r="AL72" s="1755">
        <v>1.0</v>
      </c>
      <c r="AM72" s="746" t="s">
        <v>477</v>
      </c>
      <c r="AN72" s="766" t="s">
        <v>476</v>
      </c>
      <c r="AO72" s="773">
        <v>0.39</v>
      </c>
      <c r="AP72" s="746" t="s">
        <v>477</v>
      </c>
      <c r="AQ72" s="766" t="s">
        <v>476</v>
      </c>
      <c r="AR72" s="773">
        <v>0.68</v>
      </c>
      <c r="AS72" s="746" t="s">
        <v>484</v>
      </c>
      <c r="AT72" s="792" t="s">
        <v>476</v>
      </c>
      <c r="AU72" s="773">
        <v>1.0</v>
      </c>
      <c r="AV72" s="746" t="s">
        <v>484</v>
      </c>
      <c r="AW72" s="786" t="s">
        <v>476</v>
      </c>
      <c r="AX72" s="762">
        <v>1.0</v>
      </c>
      <c r="AY72" s="746" t="s">
        <v>484</v>
      </c>
      <c r="AZ72" s="759" t="s">
        <v>476</v>
      </c>
      <c r="BA72" s="1057">
        <v>1.0</v>
      </c>
      <c r="BB72" s="746" t="s">
        <v>485</v>
      </c>
      <c r="BC72" s="759" t="s">
        <v>476</v>
      </c>
      <c r="BD72" s="1057">
        <v>1.0</v>
      </c>
      <c r="BE72" s="746" t="s">
        <v>485</v>
      </c>
      <c r="BF72" s="759" t="s">
        <v>476</v>
      </c>
      <c r="BG72" s="1057">
        <v>1.0</v>
      </c>
      <c r="BH72" s="746" t="s">
        <v>477</v>
      </c>
      <c r="BI72" s="759" t="s">
        <v>476</v>
      </c>
      <c r="BJ72" s="1057">
        <v>0.77</v>
      </c>
      <c r="BK72" s="755" t="s">
        <v>478</v>
      </c>
      <c r="BL72" s="74">
        <v>0.0</v>
      </c>
      <c r="BM72" s="1037">
        <v>0.0</v>
      </c>
      <c r="BN72" s="755" t="s">
        <v>478</v>
      </c>
      <c r="BO72" s="74">
        <v>0.0</v>
      </c>
      <c r="BP72" s="1037">
        <v>0.0</v>
      </c>
      <c r="BQ72" s="126" t="s">
        <v>91</v>
      </c>
      <c r="BR72" s="1723" t="s">
        <v>462</v>
      </c>
      <c r="BS72" s="125" t="s">
        <v>462</v>
      </c>
      <c r="BT72" s="147" t="s">
        <v>462</v>
      </c>
      <c r="BU72" s="1724" t="s">
        <v>462</v>
      </c>
      <c r="BV72" s="125" t="s">
        <v>462</v>
      </c>
      <c r="BW72" s="147" t="s">
        <v>462</v>
      </c>
      <c r="BX72" s="1725" t="s">
        <v>462</v>
      </c>
      <c r="BY72" s="125" t="s">
        <v>462</v>
      </c>
      <c r="BZ72" s="1726" t="s">
        <v>462</v>
      </c>
      <c r="CA72" s="1723" t="s">
        <v>462</v>
      </c>
      <c r="CB72" s="125" t="s">
        <v>462</v>
      </c>
      <c r="CC72" s="1727" t="s">
        <v>462</v>
      </c>
      <c r="CD72" s="1723" t="s">
        <v>462</v>
      </c>
      <c r="CE72" s="125" t="s">
        <v>462</v>
      </c>
      <c r="CF72" s="1727" t="s">
        <v>462</v>
      </c>
      <c r="CG72" s="111"/>
      <c r="CH72" s="111"/>
      <c r="CI72" s="111"/>
    </row>
    <row r="73" ht="15.0" customHeight="1">
      <c r="A73" s="60">
        <v>55.0</v>
      </c>
      <c r="B73" s="769" t="str">
        <f t="shared" si="2"/>
        <v>CPQ11-SCTY-INFR-SITE-R22.rvt</v>
      </c>
      <c r="C73" s="60">
        <v>55.0</v>
      </c>
      <c r="D73" s="126" t="s">
        <v>2174</v>
      </c>
      <c r="E73" s="126" t="s">
        <v>2151</v>
      </c>
      <c r="F73" s="770" t="s">
        <v>90</v>
      </c>
      <c r="G73" s="126" t="s">
        <v>482</v>
      </c>
      <c r="H73" s="1733" t="s">
        <v>2124</v>
      </c>
      <c r="I73" s="771" t="s">
        <v>169</v>
      </c>
      <c r="J73" s="771">
        <v>1112.0</v>
      </c>
      <c r="K73" s="771" t="s">
        <v>170</v>
      </c>
      <c r="L73" s="139">
        <v>1129.0</v>
      </c>
      <c r="M73" s="852" t="str">
        <f>IFERROR(VLOOKUP(B70:B260,'RELATÓRIO ACC'!B:F,5,FALSE),"N/A")</f>
        <v>N/A</v>
      </c>
      <c r="N73" s="1197" t="str">
        <f>IFERROR(VLOOKUP(B70:B260,'RELATÓRIO ACC'!B:P,15,FALSE),"N/A")</f>
        <v>N/A</v>
      </c>
      <c r="O73" s="126" t="s">
        <v>498</v>
      </c>
      <c r="P73" s="857">
        <v>45882.0</v>
      </c>
      <c r="Q73" s="751"/>
      <c r="R73" s="746" t="s">
        <v>462</v>
      </c>
      <c r="S73" s="74" t="s">
        <v>462</v>
      </c>
      <c r="T73" s="749" t="s">
        <v>462</v>
      </c>
      <c r="U73" s="746" t="s">
        <v>462</v>
      </c>
      <c r="V73" s="74" t="s">
        <v>462</v>
      </c>
      <c r="W73" s="749" t="s">
        <v>462</v>
      </c>
      <c r="X73" s="746" t="s">
        <v>462</v>
      </c>
      <c r="Y73" s="74" t="s">
        <v>462</v>
      </c>
      <c r="Z73" s="749" t="s">
        <v>462</v>
      </c>
      <c r="AA73" s="774" t="s">
        <v>462</v>
      </c>
      <c r="AB73" s="76" t="s">
        <v>462</v>
      </c>
      <c r="AC73" s="750" t="s">
        <v>462</v>
      </c>
      <c r="AD73" s="776" t="s">
        <v>462</v>
      </c>
      <c r="AE73" s="858" t="s">
        <v>462</v>
      </c>
      <c r="AF73" s="859" t="s">
        <v>462</v>
      </c>
      <c r="AG73" s="68" t="s">
        <v>462</v>
      </c>
      <c r="AH73" s="68" t="s">
        <v>462</v>
      </c>
      <c r="AI73" s="68" t="s">
        <v>462</v>
      </c>
      <c r="AJ73" s="68" t="s">
        <v>462</v>
      </c>
      <c r="AK73" s="68" t="s">
        <v>462</v>
      </c>
      <c r="AL73" s="68" t="s">
        <v>462</v>
      </c>
      <c r="AM73" s="746" t="s">
        <v>462</v>
      </c>
      <c r="AN73" s="74" t="s">
        <v>462</v>
      </c>
      <c r="AO73" s="749" t="s">
        <v>462</v>
      </c>
      <c r="AP73" s="746" t="s">
        <v>462</v>
      </c>
      <c r="AQ73" s="74" t="s">
        <v>462</v>
      </c>
      <c r="AR73" s="749" t="s">
        <v>462</v>
      </c>
      <c r="AS73" s="746" t="s">
        <v>462</v>
      </c>
      <c r="AT73" s="74" t="s">
        <v>462</v>
      </c>
      <c r="AU73" s="749" t="s">
        <v>462</v>
      </c>
      <c r="AV73" s="774" t="s">
        <v>462</v>
      </c>
      <c r="AW73" s="76" t="s">
        <v>462</v>
      </c>
      <c r="AX73" s="750" t="s">
        <v>462</v>
      </c>
      <c r="AY73" s="68" t="s">
        <v>462</v>
      </c>
      <c r="AZ73" s="68" t="s">
        <v>462</v>
      </c>
      <c r="BA73" s="1198" t="s">
        <v>462</v>
      </c>
      <c r="BB73" s="68" t="s">
        <v>462</v>
      </c>
      <c r="BC73" s="68" t="s">
        <v>462</v>
      </c>
      <c r="BD73" s="68" t="s">
        <v>462</v>
      </c>
      <c r="BE73" s="68" t="s">
        <v>462</v>
      </c>
      <c r="BF73" s="68" t="s">
        <v>462</v>
      </c>
      <c r="BG73" s="68" t="s">
        <v>462</v>
      </c>
      <c r="BH73" s="68" t="s">
        <v>462</v>
      </c>
      <c r="BI73" s="68" t="s">
        <v>462</v>
      </c>
      <c r="BJ73" s="1198" t="s">
        <v>462</v>
      </c>
      <c r="BK73" s="68" t="s">
        <v>462</v>
      </c>
      <c r="BL73" s="68" t="s">
        <v>462</v>
      </c>
      <c r="BM73" s="1198" t="s">
        <v>462</v>
      </c>
      <c r="BN73" s="68" t="s">
        <v>462</v>
      </c>
      <c r="BO73" s="68" t="s">
        <v>462</v>
      </c>
      <c r="BP73" s="1198" t="s">
        <v>462</v>
      </c>
      <c r="BQ73" s="68"/>
      <c r="BR73" s="141" t="s">
        <v>477</v>
      </c>
      <c r="BS73" s="759" t="s">
        <v>476</v>
      </c>
      <c r="BT73" s="773">
        <v>0.82</v>
      </c>
      <c r="BU73" s="746" t="s">
        <v>484</v>
      </c>
      <c r="BV73" s="759" t="s">
        <v>476</v>
      </c>
      <c r="BW73" s="773">
        <v>1.0</v>
      </c>
      <c r="BX73" s="1742" t="s">
        <v>484</v>
      </c>
      <c r="BY73" s="791" t="s">
        <v>476</v>
      </c>
      <c r="BZ73" s="778">
        <v>1.0</v>
      </c>
      <c r="CA73" s="68" t="s">
        <v>485</v>
      </c>
      <c r="CB73" s="791" t="s">
        <v>476</v>
      </c>
      <c r="CC73" s="1743">
        <v>1.0</v>
      </c>
      <c r="CD73" s="68" t="s">
        <v>485</v>
      </c>
      <c r="CE73" s="791" t="s">
        <v>476</v>
      </c>
      <c r="CF73" s="1743">
        <v>1.0</v>
      </c>
      <c r="CG73" s="135"/>
      <c r="CH73" s="135"/>
      <c r="CI73" s="135"/>
    </row>
    <row r="74" ht="15.0" customHeight="1" outlineLevel="1">
      <c r="A74" s="60">
        <v>93.0</v>
      </c>
      <c r="B74" s="849" t="str">
        <f t="shared" si="2"/>
        <v>CPQ11-STRC-CONC-DATA-R22.rvt</v>
      </c>
      <c r="C74" s="60">
        <v>93.0</v>
      </c>
      <c r="D74" s="74" t="s">
        <v>2175</v>
      </c>
      <c r="E74" s="74" t="s">
        <v>2176</v>
      </c>
      <c r="F74" s="71" t="s">
        <v>85</v>
      </c>
      <c r="G74" s="74" t="s">
        <v>482</v>
      </c>
      <c r="H74" s="1713" t="s">
        <v>2124</v>
      </c>
      <c r="I74" s="146" t="s">
        <v>287</v>
      </c>
      <c r="J74" s="72"/>
      <c r="K74" s="147" t="s">
        <v>288</v>
      </c>
      <c r="L74" s="150"/>
      <c r="M74" s="746" t="str">
        <f>IFERROR(VLOOKUP(B71:B261,'RELATÓRIO ACC'!B:F,5,FALSE),"N/A")</f>
        <v>N/A</v>
      </c>
      <c r="N74" s="748" t="str">
        <f>IFERROR(VLOOKUP(B71:B261,'RELATÓRIO ACC'!B:P,15,FALSE),"N/A")</f>
        <v>N/A</v>
      </c>
      <c r="O74" s="141" t="s">
        <v>480</v>
      </c>
      <c r="P74" s="782">
        <v>45910.0</v>
      </c>
      <c r="Q74" s="751" t="s">
        <v>102</v>
      </c>
      <c r="R74" s="746" t="s">
        <v>466</v>
      </c>
      <c r="S74" s="74" t="s">
        <v>462</v>
      </c>
      <c r="T74" s="749" t="s">
        <v>462</v>
      </c>
      <c r="U74" s="746" t="s">
        <v>466</v>
      </c>
      <c r="V74" s="74" t="s">
        <v>462</v>
      </c>
      <c r="W74" s="749" t="s">
        <v>462</v>
      </c>
      <c r="X74" s="746" t="s">
        <v>477</v>
      </c>
      <c r="Y74" s="766" t="s">
        <v>476</v>
      </c>
      <c r="Z74" s="1756">
        <v>0.31</v>
      </c>
      <c r="AA74" s="746" t="s">
        <v>477</v>
      </c>
      <c r="AB74" s="766" t="s">
        <v>476</v>
      </c>
      <c r="AC74" s="1757">
        <v>0.62</v>
      </c>
      <c r="AD74" s="746" t="s">
        <v>477</v>
      </c>
      <c r="AE74" s="766" t="s">
        <v>476</v>
      </c>
      <c r="AF74" s="1745">
        <v>0.65</v>
      </c>
      <c r="AG74" s="755" t="s">
        <v>478</v>
      </c>
      <c r="AH74" s="74">
        <v>0.0</v>
      </c>
      <c r="AI74" s="753">
        <v>0.0</v>
      </c>
      <c r="AJ74" s="755" t="s">
        <v>478</v>
      </c>
      <c r="AK74" s="74">
        <v>0.0</v>
      </c>
      <c r="AL74" s="753">
        <v>0.0</v>
      </c>
      <c r="AM74" s="746" t="s">
        <v>466</v>
      </c>
      <c r="AN74" s="74" t="s">
        <v>462</v>
      </c>
      <c r="AO74" s="749" t="s">
        <v>462</v>
      </c>
      <c r="AP74" s="746" t="s">
        <v>466</v>
      </c>
      <c r="AQ74" s="74" t="s">
        <v>462</v>
      </c>
      <c r="AR74" s="749" t="s">
        <v>462</v>
      </c>
      <c r="AS74" s="746" t="s">
        <v>477</v>
      </c>
      <c r="AT74" s="766" t="s">
        <v>476</v>
      </c>
      <c r="AU74" s="1756">
        <v>0.27</v>
      </c>
      <c r="AV74" s="746" t="s">
        <v>477</v>
      </c>
      <c r="AW74" s="766" t="s">
        <v>476</v>
      </c>
      <c r="AX74" s="1155">
        <v>0.62</v>
      </c>
      <c r="AY74" s="755" t="s">
        <v>477</v>
      </c>
      <c r="AZ74" s="766" t="s">
        <v>476</v>
      </c>
      <c r="BA74" s="1156">
        <v>0.63</v>
      </c>
      <c r="BB74" s="755" t="s">
        <v>478</v>
      </c>
      <c r="BC74" s="74">
        <v>0.0</v>
      </c>
      <c r="BD74" s="1037">
        <v>0.0</v>
      </c>
      <c r="BE74" s="755" t="s">
        <v>478</v>
      </c>
      <c r="BF74" s="74">
        <v>0.0</v>
      </c>
      <c r="BG74" s="1037">
        <v>0.0</v>
      </c>
      <c r="BH74" s="755" t="s">
        <v>477</v>
      </c>
      <c r="BI74" s="766" t="s">
        <v>476</v>
      </c>
      <c r="BJ74" s="1156">
        <v>0.63</v>
      </c>
      <c r="BK74" s="755" t="s">
        <v>478</v>
      </c>
      <c r="BL74" s="74">
        <v>0.0</v>
      </c>
      <c r="BM74" s="1037">
        <v>0.0</v>
      </c>
      <c r="BN74" s="755" t="s">
        <v>478</v>
      </c>
      <c r="BO74" s="74">
        <v>0.0</v>
      </c>
      <c r="BP74" s="1037">
        <v>0.0</v>
      </c>
      <c r="BQ74" s="153" t="s">
        <v>129</v>
      </c>
      <c r="BR74" s="141" t="s">
        <v>462</v>
      </c>
      <c r="BS74" s="125" t="s">
        <v>462</v>
      </c>
      <c r="BT74" s="147" t="s">
        <v>462</v>
      </c>
      <c r="BU74" s="1158" t="s">
        <v>462</v>
      </c>
      <c r="BV74" s="125" t="s">
        <v>462</v>
      </c>
      <c r="BW74" s="147" t="s">
        <v>462</v>
      </c>
      <c r="BX74" s="1725" t="s">
        <v>462</v>
      </c>
      <c r="BY74" s="125" t="s">
        <v>462</v>
      </c>
      <c r="BZ74" s="1726" t="s">
        <v>462</v>
      </c>
      <c r="CA74" s="1723" t="s">
        <v>462</v>
      </c>
      <c r="CB74" s="125" t="s">
        <v>462</v>
      </c>
      <c r="CC74" s="1727" t="s">
        <v>462</v>
      </c>
      <c r="CD74" s="1723" t="s">
        <v>462</v>
      </c>
      <c r="CE74" s="125" t="s">
        <v>462</v>
      </c>
      <c r="CF74" s="1727" t="s">
        <v>462</v>
      </c>
      <c r="CG74" s="111"/>
      <c r="CH74" s="111"/>
      <c r="CI74" s="111"/>
    </row>
    <row r="75" ht="15.0" customHeight="1" outlineLevel="1">
      <c r="A75" s="60">
        <v>94.0</v>
      </c>
      <c r="B75" s="849" t="str">
        <f t="shared" si="2"/>
        <v>CPQ11-STRC-CONC-SITE-R22.rvt</v>
      </c>
      <c r="C75" s="60">
        <v>94.0</v>
      </c>
      <c r="D75" s="74" t="s">
        <v>2175</v>
      </c>
      <c r="E75" s="74" t="s">
        <v>2176</v>
      </c>
      <c r="F75" s="71" t="s">
        <v>90</v>
      </c>
      <c r="G75" s="74" t="s">
        <v>482</v>
      </c>
      <c r="H75" s="1713" t="s">
        <v>2124</v>
      </c>
      <c r="I75" s="146" t="s">
        <v>287</v>
      </c>
      <c r="J75" s="72">
        <v>1120.0</v>
      </c>
      <c r="K75" s="147" t="s">
        <v>288</v>
      </c>
      <c r="L75" s="150">
        <v>0.0</v>
      </c>
      <c r="M75" s="746" t="str">
        <f>IFERROR(VLOOKUP(B72:B262,'RELATÓRIO ACC'!B:F,5,FALSE),"N/A")</f>
        <v>N/A</v>
      </c>
      <c r="N75" s="748" t="str">
        <f>IFERROR(VLOOKUP(B72:B262,'RELATÓRIO ACC'!B:P,15,FALSE),"N/A")</f>
        <v>N/A</v>
      </c>
      <c r="O75" s="141" t="s">
        <v>507</v>
      </c>
      <c r="P75" s="1038">
        <v>45919.0</v>
      </c>
      <c r="Q75" s="751" t="s">
        <v>129</v>
      </c>
      <c r="R75" s="746" t="s">
        <v>462</v>
      </c>
      <c r="S75" s="74" t="s">
        <v>462</v>
      </c>
      <c r="T75" s="749" t="s">
        <v>462</v>
      </c>
      <c r="U75" s="746" t="s">
        <v>462</v>
      </c>
      <c r="V75" s="74" t="s">
        <v>462</v>
      </c>
      <c r="W75" s="749" t="s">
        <v>462</v>
      </c>
      <c r="X75" s="746" t="s">
        <v>462</v>
      </c>
      <c r="Y75" s="74" t="s">
        <v>462</v>
      </c>
      <c r="Z75" s="749" t="s">
        <v>462</v>
      </c>
      <c r="AA75" s="746" t="s">
        <v>462</v>
      </c>
      <c r="AB75" s="74" t="s">
        <v>462</v>
      </c>
      <c r="AC75" s="750" t="s">
        <v>462</v>
      </c>
      <c r="AD75" s="746" t="s">
        <v>462</v>
      </c>
      <c r="AE75" s="74" t="s">
        <v>462</v>
      </c>
      <c r="AF75" s="1730" t="s">
        <v>462</v>
      </c>
      <c r="AG75" s="746" t="s">
        <v>462</v>
      </c>
      <c r="AH75" s="74" t="s">
        <v>462</v>
      </c>
      <c r="AI75" s="1730" t="s">
        <v>462</v>
      </c>
      <c r="AJ75" s="746" t="s">
        <v>462</v>
      </c>
      <c r="AK75" s="74" t="s">
        <v>462</v>
      </c>
      <c r="AL75" s="1730" t="s">
        <v>462</v>
      </c>
      <c r="AM75" s="746" t="s">
        <v>462</v>
      </c>
      <c r="AN75" s="74" t="s">
        <v>462</v>
      </c>
      <c r="AO75" s="749" t="s">
        <v>462</v>
      </c>
      <c r="AP75" s="746" t="s">
        <v>462</v>
      </c>
      <c r="AQ75" s="74" t="s">
        <v>462</v>
      </c>
      <c r="AR75" s="749" t="s">
        <v>462</v>
      </c>
      <c r="AS75" s="746" t="s">
        <v>462</v>
      </c>
      <c r="AT75" s="74" t="s">
        <v>462</v>
      </c>
      <c r="AU75" s="749" t="s">
        <v>462</v>
      </c>
      <c r="AV75" s="746" t="s">
        <v>462</v>
      </c>
      <c r="AW75" s="76" t="s">
        <v>462</v>
      </c>
      <c r="AX75" s="750" t="s">
        <v>462</v>
      </c>
      <c r="AY75" s="746" t="s">
        <v>462</v>
      </c>
      <c r="AZ75" s="74" t="s">
        <v>462</v>
      </c>
      <c r="BA75" s="1037" t="s">
        <v>462</v>
      </c>
      <c r="BB75" s="746" t="s">
        <v>462</v>
      </c>
      <c r="BC75" s="74" t="s">
        <v>462</v>
      </c>
      <c r="BD75" s="1037" t="s">
        <v>462</v>
      </c>
      <c r="BE75" s="746" t="s">
        <v>462</v>
      </c>
      <c r="BF75" s="74" t="s">
        <v>462</v>
      </c>
      <c r="BG75" s="1037" t="s">
        <v>462</v>
      </c>
      <c r="BH75" s="746" t="s">
        <v>462</v>
      </c>
      <c r="BI75" s="74" t="s">
        <v>462</v>
      </c>
      <c r="BJ75" s="1037" t="s">
        <v>462</v>
      </c>
      <c r="BK75" s="746" t="s">
        <v>462</v>
      </c>
      <c r="BL75" s="74" t="s">
        <v>462</v>
      </c>
      <c r="BM75" s="1037" t="s">
        <v>462</v>
      </c>
      <c r="BN75" s="746" t="s">
        <v>462</v>
      </c>
      <c r="BO75" s="74" t="s">
        <v>462</v>
      </c>
      <c r="BP75" s="1037" t="s">
        <v>462</v>
      </c>
      <c r="BQ75" s="126"/>
      <c r="BR75" s="141" t="s">
        <v>477</v>
      </c>
      <c r="BS75" s="759" t="s">
        <v>476</v>
      </c>
      <c r="BT75" s="773">
        <v>0.31</v>
      </c>
      <c r="BU75" s="746" t="s">
        <v>477</v>
      </c>
      <c r="BV75" s="759" t="s">
        <v>476</v>
      </c>
      <c r="BW75" s="773">
        <v>0.65</v>
      </c>
      <c r="BX75" s="1728" t="s">
        <v>478</v>
      </c>
      <c r="BY75" s="74">
        <v>0.0</v>
      </c>
      <c r="BZ75" s="753">
        <v>0.0</v>
      </c>
      <c r="CA75" s="1758" t="s">
        <v>477</v>
      </c>
      <c r="CB75" s="766" t="s">
        <v>476</v>
      </c>
      <c r="CC75" s="1387">
        <v>0.89</v>
      </c>
      <c r="CD75" s="1195" t="s">
        <v>478</v>
      </c>
      <c r="CE75" s="74">
        <v>0.0</v>
      </c>
      <c r="CF75" s="1714">
        <v>0.0</v>
      </c>
      <c r="CG75" s="68"/>
      <c r="CH75" s="68"/>
      <c r="CI75" s="68"/>
    </row>
    <row r="76" ht="15.0" customHeight="1" outlineLevel="1">
      <c r="A76" s="60">
        <v>95.0</v>
      </c>
      <c r="B76" s="849" t="str">
        <f t="shared" si="2"/>
        <v>CPQ11-STRC-DPFN-DATA-R22.rvt</v>
      </c>
      <c r="C76" s="60">
        <v>95.0</v>
      </c>
      <c r="D76" s="74" t="s">
        <v>2175</v>
      </c>
      <c r="E76" s="74" t="s">
        <v>2177</v>
      </c>
      <c r="F76" s="71" t="s">
        <v>85</v>
      </c>
      <c r="G76" s="74" t="s">
        <v>482</v>
      </c>
      <c r="H76" s="1713" t="s">
        <v>2124</v>
      </c>
      <c r="I76" s="138" t="s">
        <v>293</v>
      </c>
      <c r="J76" s="72"/>
      <c r="K76" s="147" t="s">
        <v>288</v>
      </c>
      <c r="L76" s="150"/>
      <c r="M76" s="746" t="str">
        <f>IFERROR(VLOOKUP(B73:B263,'RELATÓRIO ACC'!B:F,5,FALSE),"N/A")</f>
        <v>N/A</v>
      </c>
      <c r="N76" s="748" t="str">
        <f>IFERROR(VLOOKUP(B73:B263,'RELATÓRIO ACC'!B:P,15,FALSE),"N/A")</f>
        <v>N/A</v>
      </c>
      <c r="O76" s="141" t="s">
        <v>480</v>
      </c>
      <c r="P76" s="1038">
        <v>45910.0</v>
      </c>
      <c r="Q76" s="751" t="s">
        <v>146</v>
      </c>
      <c r="R76" s="746" t="s">
        <v>466</v>
      </c>
      <c r="S76" s="74" t="s">
        <v>462</v>
      </c>
      <c r="T76" s="749" t="s">
        <v>462</v>
      </c>
      <c r="U76" s="746" t="s">
        <v>466</v>
      </c>
      <c r="V76" s="74" t="s">
        <v>462</v>
      </c>
      <c r="W76" s="749" t="s">
        <v>462</v>
      </c>
      <c r="X76" s="746" t="s">
        <v>477</v>
      </c>
      <c r="Y76" s="861" t="s">
        <v>476</v>
      </c>
      <c r="Z76" s="1756">
        <v>0.27</v>
      </c>
      <c r="AA76" s="746" t="s">
        <v>477</v>
      </c>
      <c r="AB76" s="759" t="s">
        <v>476</v>
      </c>
      <c r="AC76" s="1757">
        <v>0.73</v>
      </c>
      <c r="AD76" s="755" t="s">
        <v>478</v>
      </c>
      <c r="AE76" s="74">
        <v>0.0</v>
      </c>
      <c r="AF76" s="753">
        <v>0.0</v>
      </c>
      <c r="AG76" s="755" t="s">
        <v>478</v>
      </c>
      <c r="AH76" s="74">
        <v>0.0</v>
      </c>
      <c r="AI76" s="753">
        <v>0.0</v>
      </c>
      <c r="AJ76" s="755" t="s">
        <v>478</v>
      </c>
      <c r="AK76" s="74">
        <v>0.0</v>
      </c>
      <c r="AL76" s="753">
        <v>0.0</v>
      </c>
      <c r="AM76" s="746" t="s">
        <v>466</v>
      </c>
      <c r="AN76" s="74" t="s">
        <v>462</v>
      </c>
      <c r="AO76" s="749" t="s">
        <v>462</v>
      </c>
      <c r="AP76" s="746" t="s">
        <v>466</v>
      </c>
      <c r="AQ76" s="74" t="s">
        <v>462</v>
      </c>
      <c r="AR76" s="749" t="s">
        <v>462</v>
      </c>
      <c r="AS76" s="746" t="s">
        <v>477</v>
      </c>
      <c r="AT76" s="861" t="s">
        <v>476</v>
      </c>
      <c r="AU76" s="1756">
        <v>0.27</v>
      </c>
      <c r="AV76" s="746" t="s">
        <v>477</v>
      </c>
      <c r="AW76" s="759" t="s">
        <v>476</v>
      </c>
      <c r="AX76" s="1155">
        <v>0.73</v>
      </c>
      <c r="AY76" s="755" t="s">
        <v>478</v>
      </c>
      <c r="AZ76" s="74">
        <v>0.0</v>
      </c>
      <c r="BA76" s="1037">
        <v>0.0</v>
      </c>
      <c r="BB76" s="755" t="s">
        <v>478</v>
      </c>
      <c r="BC76" s="74">
        <v>0.0</v>
      </c>
      <c r="BD76" s="1037">
        <v>0.0</v>
      </c>
      <c r="BE76" s="755" t="s">
        <v>478</v>
      </c>
      <c r="BF76" s="74">
        <v>0.0</v>
      </c>
      <c r="BG76" s="1037">
        <v>0.0</v>
      </c>
      <c r="BH76" s="755" t="s">
        <v>477</v>
      </c>
      <c r="BI76" s="766" t="s">
        <v>476</v>
      </c>
      <c r="BJ76" s="1057">
        <v>0.67</v>
      </c>
      <c r="BK76" s="755" t="s">
        <v>478</v>
      </c>
      <c r="BL76" s="74">
        <v>0.0</v>
      </c>
      <c r="BM76" s="1037">
        <v>0.0</v>
      </c>
      <c r="BN76" s="755" t="s">
        <v>478</v>
      </c>
      <c r="BO76" s="74">
        <v>0.0</v>
      </c>
      <c r="BP76" s="1037">
        <v>0.0</v>
      </c>
      <c r="BQ76" s="153" t="s">
        <v>708</v>
      </c>
      <c r="BR76" s="141" t="s">
        <v>462</v>
      </c>
      <c r="BS76" s="125" t="s">
        <v>462</v>
      </c>
      <c r="BT76" s="147" t="s">
        <v>462</v>
      </c>
      <c r="BU76" s="1158" t="s">
        <v>462</v>
      </c>
      <c r="BV76" s="125" t="s">
        <v>462</v>
      </c>
      <c r="BW76" s="147" t="s">
        <v>462</v>
      </c>
      <c r="BX76" s="1724" t="s">
        <v>462</v>
      </c>
      <c r="BY76" s="125" t="s">
        <v>462</v>
      </c>
      <c r="BZ76" s="1726" t="s">
        <v>462</v>
      </c>
      <c r="CA76" s="1724" t="s">
        <v>462</v>
      </c>
      <c r="CB76" s="125" t="s">
        <v>462</v>
      </c>
      <c r="CC76" s="1727" t="s">
        <v>462</v>
      </c>
      <c r="CD76" s="1724" t="s">
        <v>462</v>
      </c>
      <c r="CE76" s="125" t="s">
        <v>462</v>
      </c>
      <c r="CF76" s="1727" t="s">
        <v>462</v>
      </c>
      <c r="CG76" s="111"/>
      <c r="CH76" s="111"/>
      <c r="CI76" s="111"/>
    </row>
    <row r="77" ht="15.0" customHeight="1">
      <c r="A77" s="60">
        <v>96.0</v>
      </c>
      <c r="B77" s="1203" t="str">
        <f t="shared" si="2"/>
        <v>CPQ11-STRC-DPFN-SITE-R22.rvt</v>
      </c>
      <c r="C77" s="60">
        <v>96.0</v>
      </c>
      <c r="D77" s="126" t="s">
        <v>2175</v>
      </c>
      <c r="E77" s="126" t="s">
        <v>2177</v>
      </c>
      <c r="F77" s="770" t="s">
        <v>90</v>
      </c>
      <c r="G77" s="126" t="s">
        <v>482</v>
      </c>
      <c r="H77" s="1733" t="s">
        <v>2124</v>
      </c>
      <c r="I77" s="157" t="s">
        <v>293</v>
      </c>
      <c r="J77" s="771"/>
      <c r="K77" s="157" t="s">
        <v>288</v>
      </c>
      <c r="L77" s="150"/>
      <c r="M77" s="852" t="str">
        <f>IFERROR(VLOOKUP(B74:B264,'RELATÓRIO ACC'!B:F,5,FALSE),"N/A")</f>
        <v>N/A</v>
      </c>
      <c r="N77" s="1197" t="str">
        <f>IFERROR(VLOOKUP(B74:B264,'RELATÓRIO ACC'!B:P,15,FALSE),"N/A")</f>
        <v>N/A</v>
      </c>
      <c r="O77" s="126" t="s">
        <v>480</v>
      </c>
      <c r="P77" s="855">
        <v>45910.0</v>
      </c>
      <c r="Q77" s="751" t="s">
        <v>102</v>
      </c>
      <c r="R77" s="746" t="s">
        <v>466</v>
      </c>
      <c r="S77" s="74" t="s">
        <v>462</v>
      </c>
      <c r="T77" s="749" t="s">
        <v>462</v>
      </c>
      <c r="U77" s="746" t="s">
        <v>466</v>
      </c>
      <c r="V77" s="74" t="s">
        <v>462</v>
      </c>
      <c r="W77" s="749" t="s">
        <v>462</v>
      </c>
      <c r="X77" s="746" t="s">
        <v>466</v>
      </c>
      <c r="Y77" s="74" t="s">
        <v>462</v>
      </c>
      <c r="Z77" s="749" t="s">
        <v>462</v>
      </c>
      <c r="AA77" s="774" t="s">
        <v>466</v>
      </c>
      <c r="AB77" s="76" t="s">
        <v>462</v>
      </c>
      <c r="AC77" s="750" t="s">
        <v>462</v>
      </c>
      <c r="AD77" s="776" t="s">
        <v>466</v>
      </c>
      <c r="AE77" s="858" t="s">
        <v>462</v>
      </c>
      <c r="AF77" s="859" t="s">
        <v>462</v>
      </c>
      <c r="AG77" s="68" t="s">
        <v>466</v>
      </c>
      <c r="AH77" s="68" t="s">
        <v>462</v>
      </c>
      <c r="AI77" s="68" t="s">
        <v>462</v>
      </c>
      <c r="AJ77" s="68" t="s">
        <v>466</v>
      </c>
      <c r="AK77" s="68" t="s">
        <v>462</v>
      </c>
      <c r="AL77" s="68" t="s">
        <v>462</v>
      </c>
      <c r="AM77" s="746" t="s">
        <v>466</v>
      </c>
      <c r="AN77" s="74" t="s">
        <v>462</v>
      </c>
      <c r="AO77" s="749" t="s">
        <v>462</v>
      </c>
      <c r="AP77" s="746" t="s">
        <v>466</v>
      </c>
      <c r="AQ77" s="74" t="s">
        <v>462</v>
      </c>
      <c r="AR77" s="749" t="s">
        <v>462</v>
      </c>
      <c r="AS77" s="746" t="s">
        <v>466</v>
      </c>
      <c r="AT77" s="74" t="s">
        <v>462</v>
      </c>
      <c r="AU77" s="749" t="s">
        <v>462</v>
      </c>
      <c r="AV77" s="774" t="s">
        <v>466</v>
      </c>
      <c r="AW77" s="76" t="s">
        <v>462</v>
      </c>
      <c r="AX77" s="750" t="s">
        <v>462</v>
      </c>
      <c r="AY77" s="68" t="s">
        <v>466</v>
      </c>
      <c r="AZ77" s="68" t="s">
        <v>462</v>
      </c>
      <c r="BA77" s="1198" t="s">
        <v>462</v>
      </c>
      <c r="BB77" s="68" t="s">
        <v>466</v>
      </c>
      <c r="BC77" s="68" t="s">
        <v>462</v>
      </c>
      <c r="BD77" s="68" t="s">
        <v>462</v>
      </c>
      <c r="BE77" s="68" t="s">
        <v>466</v>
      </c>
      <c r="BF77" s="68" t="s">
        <v>462</v>
      </c>
      <c r="BG77" s="68" t="s">
        <v>462</v>
      </c>
      <c r="BH77" s="68" t="s">
        <v>466</v>
      </c>
      <c r="BI77" s="68" t="s">
        <v>462</v>
      </c>
      <c r="BJ77" s="1198" t="s">
        <v>462</v>
      </c>
      <c r="BK77" s="68" t="s">
        <v>466</v>
      </c>
      <c r="BL77" s="68" t="s">
        <v>462</v>
      </c>
      <c r="BM77" s="1198" t="s">
        <v>462</v>
      </c>
      <c r="BN77" s="68" t="s">
        <v>466</v>
      </c>
      <c r="BO77" s="68" t="s">
        <v>462</v>
      </c>
      <c r="BP77" s="1198" t="s">
        <v>462</v>
      </c>
      <c r="BQ77" s="68"/>
      <c r="BR77" s="141" t="s">
        <v>477</v>
      </c>
      <c r="BS77" s="759" t="s">
        <v>476</v>
      </c>
      <c r="BT77" s="773">
        <v>0.2</v>
      </c>
      <c r="BU77" s="746" t="s">
        <v>477</v>
      </c>
      <c r="BV77" s="759" t="s">
        <v>476</v>
      </c>
      <c r="BW77" s="773">
        <v>0.2</v>
      </c>
      <c r="BX77" s="1749" t="s">
        <v>478</v>
      </c>
      <c r="BY77" s="68">
        <v>0.0</v>
      </c>
      <c r="BZ77" s="859">
        <v>0.0</v>
      </c>
      <c r="CA77" s="763" t="s">
        <v>478</v>
      </c>
      <c r="CB77" s="68">
        <v>0.0</v>
      </c>
      <c r="CC77" s="1750">
        <v>0.0</v>
      </c>
      <c r="CD77" s="763" t="s">
        <v>478</v>
      </c>
      <c r="CE77" s="68">
        <v>0.0</v>
      </c>
      <c r="CF77" s="1750">
        <v>0.0</v>
      </c>
      <c r="CG77" s="68"/>
      <c r="CH77" s="68"/>
      <c r="CI77" s="68"/>
    </row>
    <row r="78" ht="15.0" customHeight="1" outlineLevel="1">
      <c r="A78" s="60">
        <v>105.0</v>
      </c>
      <c r="B78" s="747" t="str">
        <f t="shared" si="2"/>
        <v>CPQ11-STRC-STEE-ADMN-2X3.ifc</v>
      </c>
      <c r="C78" s="60">
        <v>105.0</v>
      </c>
      <c r="D78" s="74" t="s">
        <v>2175</v>
      </c>
      <c r="E78" s="74" t="s">
        <v>2178</v>
      </c>
      <c r="F78" s="71" t="s">
        <v>3</v>
      </c>
      <c r="G78" s="74" t="s">
        <v>2179</v>
      </c>
      <c r="H78" s="1713" t="s">
        <v>2180</v>
      </c>
      <c r="I78" s="146" t="s">
        <v>317</v>
      </c>
      <c r="J78" s="72">
        <v>1125.0</v>
      </c>
      <c r="K78" s="139" t="s">
        <v>317</v>
      </c>
      <c r="L78" s="139">
        <v>1125.0</v>
      </c>
      <c r="M78" s="746" t="str">
        <f>IFERROR(VLOOKUP(B75:B265,'RELATÓRIO ACC'!B:F,5,FALSE),"N/A")</f>
        <v>V1</v>
      </c>
      <c r="N78" s="748" t="str">
        <f>IFERROR(VLOOKUP(B75:B265,'RELATÓRIO ACC'!B:P,15,FALSE),"N/A")</f>
        <v>21/05/2026</v>
      </c>
      <c r="O78" s="141" t="s">
        <v>507</v>
      </c>
      <c r="P78" s="1038">
        <v>45856.0</v>
      </c>
      <c r="Q78" s="751" t="s">
        <v>129</v>
      </c>
      <c r="R78" s="746" t="s">
        <v>477</v>
      </c>
      <c r="S78" s="759" t="s">
        <v>476</v>
      </c>
      <c r="T78" s="773">
        <v>0.76</v>
      </c>
      <c r="U78" s="746" t="s">
        <v>466</v>
      </c>
      <c r="V78" s="466" t="s">
        <v>483</v>
      </c>
      <c r="W78" s="749">
        <v>0.0</v>
      </c>
      <c r="X78" s="746" t="s">
        <v>477</v>
      </c>
      <c r="Y78" s="766" t="s">
        <v>476</v>
      </c>
      <c r="Z78" s="773">
        <v>0.98</v>
      </c>
      <c r="AA78" s="746" t="s">
        <v>484</v>
      </c>
      <c r="AB78" s="766" t="s">
        <v>476</v>
      </c>
      <c r="AC78" s="768">
        <v>1.0</v>
      </c>
      <c r="AD78" s="746" t="s">
        <v>484</v>
      </c>
      <c r="AE78" s="766" t="s">
        <v>476</v>
      </c>
      <c r="AF78" s="762">
        <v>1.0</v>
      </c>
      <c r="AG78" s="746" t="s">
        <v>485</v>
      </c>
      <c r="AH78" s="766" t="s">
        <v>476</v>
      </c>
      <c r="AI78" s="762">
        <v>1.0</v>
      </c>
      <c r="AJ78" s="746" t="s">
        <v>485</v>
      </c>
      <c r="AK78" s="766" t="s">
        <v>476</v>
      </c>
      <c r="AL78" s="762">
        <v>1.0</v>
      </c>
      <c r="AM78" s="746" t="s">
        <v>462</v>
      </c>
      <c r="AN78" s="74" t="s">
        <v>462</v>
      </c>
      <c r="AO78" s="749" t="s">
        <v>462</v>
      </c>
      <c r="AP78" s="746" t="s">
        <v>462</v>
      </c>
      <c r="AQ78" s="74" t="s">
        <v>462</v>
      </c>
      <c r="AR78" s="749" t="s">
        <v>462</v>
      </c>
      <c r="AS78" s="746" t="s">
        <v>462</v>
      </c>
      <c r="AT78" s="74" t="s">
        <v>462</v>
      </c>
      <c r="AU78" s="749" t="s">
        <v>462</v>
      </c>
      <c r="AV78" s="746" t="s">
        <v>462</v>
      </c>
      <c r="AW78" s="74" t="s">
        <v>462</v>
      </c>
      <c r="AX78" s="753" t="s">
        <v>462</v>
      </c>
      <c r="AY78" s="746" t="s">
        <v>462</v>
      </c>
      <c r="AZ78" s="74" t="s">
        <v>462</v>
      </c>
      <c r="BA78" s="1037" t="s">
        <v>462</v>
      </c>
      <c r="BB78" s="746" t="s">
        <v>462</v>
      </c>
      <c r="BC78" s="74" t="s">
        <v>462</v>
      </c>
      <c r="BD78" s="1037" t="s">
        <v>462</v>
      </c>
      <c r="BE78" s="746" t="s">
        <v>462</v>
      </c>
      <c r="BF78" s="74" t="s">
        <v>462</v>
      </c>
      <c r="BG78" s="1037" t="s">
        <v>462</v>
      </c>
      <c r="BH78" s="746" t="s">
        <v>462</v>
      </c>
      <c r="BI78" s="74" t="s">
        <v>462</v>
      </c>
      <c r="BJ78" s="1037" t="s">
        <v>462</v>
      </c>
      <c r="BK78" s="746" t="s">
        <v>462</v>
      </c>
      <c r="BL78" s="74" t="s">
        <v>462</v>
      </c>
      <c r="BM78" s="1037" t="s">
        <v>462</v>
      </c>
      <c r="BN78" s="746" t="s">
        <v>462</v>
      </c>
      <c r="BO78" s="74" t="s">
        <v>462</v>
      </c>
      <c r="BP78" s="1037" t="s">
        <v>462</v>
      </c>
      <c r="BQ78" s="126"/>
      <c r="BR78" s="1723" t="s">
        <v>462</v>
      </c>
      <c r="BS78" s="74" t="s">
        <v>462</v>
      </c>
      <c r="BT78" s="147" t="s">
        <v>462</v>
      </c>
      <c r="BU78" s="1724" t="s">
        <v>462</v>
      </c>
      <c r="BV78" s="125" t="s">
        <v>462</v>
      </c>
      <c r="BW78" s="147" t="s">
        <v>462</v>
      </c>
      <c r="BX78" s="1724" t="s">
        <v>462</v>
      </c>
      <c r="BY78" s="125" t="s">
        <v>462</v>
      </c>
      <c r="BZ78" s="1726" t="s">
        <v>462</v>
      </c>
      <c r="CA78" s="1724" t="s">
        <v>462</v>
      </c>
      <c r="CB78" s="125" t="s">
        <v>462</v>
      </c>
      <c r="CC78" s="1727" t="s">
        <v>462</v>
      </c>
      <c r="CD78" s="1724" t="s">
        <v>462</v>
      </c>
      <c r="CE78" s="125" t="s">
        <v>462</v>
      </c>
      <c r="CF78" s="1727" t="s">
        <v>462</v>
      </c>
      <c r="CG78" s="111"/>
      <c r="CH78" s="111"/>
      <c r="CI78" s="111"/>
    </row>
    <row r="79" ht="15.75" customHeight="1" outlineLevel="1">
      <c r="A79" s="60">
        <v>106.0</v>
      </c>
      <c r="B79" s="747" t="str">
        <f t="shared" si="2"/>
        <v>CPQ11-STRC-STEE-COL1-2X3.ifc</v>
      </c>
      <c r="C79" s="60">
        <v>106.0</v>
      </c>
      <c r="D79" s="74" t="s">
        <v>2175</v>
      </c>
      <c r="E79" s="74" t="s">
        <v>2178</v>
      </c>
      <c r="F79" s="71" t="s">
        <v>319</v>
      </c>
      <c r="G79" s="74" t="s">
        <v>2179</v>
      </c>
      <c r="H79" s="1713" t="s">
        <v>2180</v>
      </c>
      <c r="I79" s="146" t="s">
        <v>317</v>
      </c>
      <c r="J79" s="72">
        <v>1125.0</v>
      </c>
      <c r="K79" s="139" t="s">
        <v>317</v>
      </c>
      <c r="L79" s="139">
        <v>1125.0</v>
      </c>
      <c r="M79" s="746" t="str">
        <f>IFERROR(VLOOKUP(B76:B266,'RELATÓRIO ACC'!B:F,5,FALSE),"N/A")</f>
        <v>V1</v>
      </c>
      <c r="N79" s="748" t="str">
        <f>IFERROR(VLOOKUP(B76:B266,'RELATÓRIO ACC'!B:P,15,FALSE),"N/A")</f>
        <v>21/05/2026</v>
      </c>
      <c r="O79" s="141" t="s">
        <v>494</v>
      </c>
      <c r="P79" s="1038">
        <v>45856.0</v>
      </c>
      <c r="Q79" s="751" t="s">
        <v>194</v>
      </c>
      <c r="R79" s="746" t="s">
        <v>462</v>
      </c>
      <c r="S79" s="74" t="s">
        <v>462</v>
      </c>
      <c r="T79" s="749" t="s">
        <v>462</v>
      </c>
      <c r="U79" s="746" t="s">
        <v>462</v>
      </c>
      <c r="V79" s="74" t="s">
        <v>462</v>
      </c>
      <c r="W79" s="749" t="s">
        <v>462</v>
      </c>
      <c r="X79" s="746" t="s">
        <v>462</v>
      </c>
      <c r="Y79" s="74" t="s">
        <v>462</v>
      </c>
      <c r="Z79" s="749" t="s">
        <v>462</v>
      </c>
      <c r="AA79" s="746" t="s">
        <v>462</v>
      </c>
      <c r="AB79" s="74" t="s">
        <v>462</v>
      </c>
      <c r="AC79" s="750" t="s">
        <v>462</v>
      </c>
      <c r="AD79" s="746" t="s">
        <v>462</v>
      </c>
      <c r="AE79" s="74" t="s">
        <v>462</v>
      </c>
      <c r="AF79" s="750" t="s">
        <v>462</v>
      </c>
      <c r="AG79" s="746" t="s">
        <v>462</v>
      </c>
      <c r="AH79" s="74" t="s">
        <v>462</v>
      </c>
      <c r="AI79" s="750" t="s">
        <v>462</v>
      </c>
      <c r="AJ79" s="746" t="s">
        <v>462</v>
      </c>
      <c r="AK79" s="74" t="s">
        <v>462</v>
      </c>
      <c r="AL79" s="750" t="s">
        <v>462</v>
      </c>
      <c r="AM79" s="746" t="s">
        <v>477</v>
      </c>
      <c r="AN79" s="759" t="s">
        <v>476</v>
      </c>
      <c r="AO79" s="773">
        <v>0.74</v>
      </c>
      <c r="AP79" s="746" t="s">
        <v>466</v>
      </c>
      <c r="AQ79" s="466" t="s">
        <v>483</v>
      </c>
      <c r="AR79" s="749">
        <v>0.0</v>
      </c>
      <c r="AS79" s="746" t="s">
        <v>484</v>
      </c>
      <c r="AT79" s="766" t="s">
        <v>476</v>
      </c>
      <c r="AU79" s="773">
        <v>1.0</v>
      </c>
      <c r="AV79" s="746" t="s">
        <v>484</v>
      </c>
      <c r="AW79" s="766" t="s">
        <v>476</v>
      </c>
      <c r="AX79" s="768">
        <v>1.0</v>
      </c>
      <c r="AY79" s="746" t="s">
        <v>484</v>
      </c>
      <c r="AZ79" s="766" t="s">
        <v>476</v>
      </c>
      <c r="BA79" s="1068">
        <v>1.0</v>
      </c>
      <c r="BB79" s="746" t="s">
        <v>485</v>
      </c>
      <c r="BC79" s="766" t="s">
        <v>476</v>
      </c>
      <c r="BD79" s="1068">
        <v>1.0</v>
      </c>
      <c r="BE79" s="746" t="s">
        <v>485</v>
      </c>
      <c r="BF79" s="766" t="s">
        <v>476</v>
      </c>
      <c r="BG79" s="1068">
        <v>1.0</v>
      </c>
      <c r="BH79" s="746" t="s">
        <v>462</v>
      </c>
      <c r="BI79" s="74" t="s">
        <v>462</v>
      </c>
      <c r="BJ79" s="1037" t="s">
        <v>462</v>
      </c>
      <c r="BK79" s="746" t="s">
        <v>462</v>
      </c>
      <c r="BL79" s="74" t="s">
        <v>462</v>
      </c>
      <c r="BM79" s="1037" t="s">
        <v>462</v>
      </c>
      <c r="BN79" s="746" t="s">
        <v>462</v>
      </c>
      <c r="BO79" s="74" t="s">
        <v>462</v>
      </c>
      <c r="BP79" s="1037" t="s">
        <v>462</v>
      </c>
      <c r="BQ79" s="126"/>
      <c r="BR79" s="1723" t="s">
        <v>462</v>
      </c>
      <c r="BS79" s="125" t="s">
        <v>462</v>
      </c>
      <c r="BT79" s="147" t="s">
        <v>462</v>
      </c>
      <c r="BU79" s="1724" t="s">
        <v>462</v>
      </c>
      <c r="BV79" s="125" t="s">
        <v>462</v>
      </c>
      <c r="BW79" s="147" t="s">
        <v>462</v>
      </c>
      <c r="BX79" s="1725" t="s">
        <v>462</v>
      </c>
      <c r="BY79" s="125" t="s">
        <v>462</v>
      </c>
      <c r="BZ79" s="1726" t="s">
        <v>462</v>
      </c>
      <c r="CA79" s="1723" t="s">
        <v>462</v>
      </c>
      <c r="CB79" s="125" t="s">
        <v>462</v>
      </c>
      <c r="CC79" s="1727" t="s">
        <v>462</v>
      </c>
      <c r="CD79" s="1723" t="s">
        <v>462</v>
      </c>
      <c r="CE79" s="125" t="s">
        <v>462</v>
      </c>
      <c r="CF79" s="1727" t="s">
        <v>462</v>
      </c>
      <c r="CG79" s="111"/>
      <c r="CH79" s="111"/>
      <c r="CI79" s="111"/>
    </row>
    <row r="80" ht="15.0" customHeight="1" outlineLevel="1">
      <c r="A80" s="60">
        <v>107.0</v>
      </c>
      <c r="B80" s="747" t="str">
        <f t="shared" si="2"/>
        <v>CPQ11-STRC-STEE-COL2-2X3.ifc</v>
      </c>
      <c r="C80" s="60">
        <v>107.0</v>
      </c>
      <c r="D80" s="74" t="s">
        <v>2175</v>
      </c>
      <c r="E80" s="74" t="s">
        <v>2178</v>
      </c>
      <c r="F80" s="71" t="s">
        <v>321</v>
      </c>
      <c r="G80" s="74" t="s">
        <v>2179</v>
      </c>
      <c r="H80" s="1713" t="s">
        <v>2180</v>
      </c>
      <c r="I80" s="146" t="s">
        <v>317</v>
      </c>
      <c r="J80" s="72">
        <v>1125.0</v>
      </c>
      <c r="K80" s="139" t="s">
        <v>317</v>
      </c>
      <c r="L80" s="139">
        <v>1125.0</v>
      </c>
      <c r="M80" s="746" t="str">
        <f>IFERROR(VLOOKUP(B77:B267,'RELATÓRIO ACC'!B:F,5,FALSE),"N/A")</f>
        <v>V1</v>
      </c>
      <c r="N80" s="748" t="str">
        <f>IFERROR(VLOOKUP(B77:B267,'RELATÓRIO ACC'!B:P,15,FALSE),"N/A")</f>
        <v>21/05/2026</v>
      </c>
      <c r="O80" s="141" t="s">
        <v>507</v>
      </c>
      <c r="P80" s="756" t="s">
        <v>594</v>
      </c>
      <c r="Q80" s="751"/>
      <c r="R80" s="746" t="s">
        <v>462</v>
      </c>
      <c r="S80" s="74" t="s">
        <v>462</v>
      </c>
      <c r="T80" s="749" t="s">
        <v>462</v>
      </c>
      <c r="U80" s="746" t="s">
        <v>462</v>
      </c>
      <c r="V80" s="74" t="s">
        <v>462</v>
      </c>
      <c r="W80" s="749" t="s">
        <v>462</v>
      </c>
      <c r="X80" s="746" t="s">
        <v>462</v>
      </c>
      <c r="Y80" s="74" t="s">
        <v>462</v>
      </c>
      <c r="Z80" s="749" t="s">
        <v>462</v>
      </c>
      <c r="AA80" s="746" t="s">
        <v>462</v>
      </c>
      <c r="AB80" s="74" t="s">
        <v>462</v>
      </c>
      <c r="AC80" s="753" t="s">
        <v>462</v>
      </c>
      <c r="AD80" s="746" t="s">
        <v>462</v>
      </c>
      <c r="AE80" s="74" t="s">
        <v>462</v>
      </c>
      <c r="AF80" s="753" t="s">
        <v>462</v>
      </c>
      <c r="AG80" s="746" t="s">
        <v>462</v>
      </c>
      <c r="AH80" s="74" t="s">
        <v>462</v>
      </c>
      <c r="AI80" s="753" t="s">
        <v>462</v>
      </c>
      <c r="AJ80" s="746" t="s">
        <v>462</v>
      </c>
      <c r="AK80" s="74" t="s">
        <v>462</v>
      </c>
      <c r="AL80" s="753" t="s">
        <v>462</v>
      </c>
      <c r="AM80" s="746" t="s">
        <v>462</v>
      </c>
      <c r="AN80" s="74" t="s">
        <v>462</v>
      </c>
      <c r="AO80" s="749" t="s">
        <v>462</v>
      </c>
      <c r="AP80" s="746" t="s">
        <v>462</v>
      </c>
      <c r="AQ80" s="74" t="s">
        <v>462</v>
      </c>
      <c r="AR80" s="749" t="s">
        <v>462</v>
      </c>
      <c r="AS80" s="746" t="s">
        <v>462</v>
      </c>
      <c r="AT80" s="74" t="s">
        <v>462</v>
      </c>
      <c r="AU80" s="749" t="s">
        <v>462</v>
      </c>
      <c r="AV80" s="746" t="s">
        <v>462</v>
      </c>
      <c r="AW80" s="74" t="s">
        <v>462</v>
      </c>
      <c r="AX80" s="753" t="s">
        <v>462</v>
      </c>
      <c r="AY80" s="746" t="s">
        <v>462</v>
      </c>
      <c r="AZ80" s="74" t="s">
        <v>462</v>
      </c>
      <c r="BA80" s="1037" t="s">
        <v>462</v>
      </c>
      <c r="BB80" s="746" t="s">
        <v>462</v>
      </c>
      <c r="BC80" s="74" t="s">
        <v>462</v>
      </c>
      <c r="BD80" s="1037" t="s">
        <v>462</v>
      </c>
      <c r="BE80" s="746" t="s">
        <v>462</v>
      </c>
      <c r="BF80" s="74" t="s">
        <v>462</v>
      </c>
      <c r="BG80" s="1037" t="s">
        <v>462</v>
      </c>
      <c r="BH80" s="755" t="s">
        <v>484</v>
      </c>
      <c r="BI80" s="766" t="s">
        <v>476</v>
      </c>
      <c r="BJ80" s="1156">
        <v>1.0</v>
      </c>
      <c r="BK80" s="746" t="s">
        <v>485</v>
      </c>
      <c r="BL80" s="766" t="s">
        <v>476</v>
      </c>
      <c r="BM80" s="1156">
        <v>1.0</v>
      </c>
      <c r="BN80" s="746" t="s">
        <v>485</v>
      </c>
      <c r="BO80" s="766" t="s">
        <v>476</v>
      </c>
      <c r="BP80" s="1156">
        <v>1.0</v>
      </c>
      <c r="BQ80" s="153" t="s">
        <v>129</v>
      </c>
      <c r="BR80" s="1723" t="s">
        <v>462</v>
      </c>
      <c r="BS80" s="125" t="s">
        <v>462</v>
      </c>
      <c r="BT80" s="147" t="s">
        <v>462</v>
      </c>
      <c r="BU80" s="1724" t="s">
        <v>462</v>
      </c>
      <c r="BV80" s="125" t="s">
        <v>462</v>
      </c>
      <c r="BW80" s="147" t="s">
        <v>462</v>
      </c>
      <c r="BX80" s="1725" t="s">
        <v>462</v>
      </c>
      <c r="BY80" s="125" t="s">
        <v>462</v>
      </c>
      <c r="BZ80" s="1726" t="s">
        <v>462</v>
      </c>
      <c r="CA80" s="1724" t="s">
        <v>462</v>
      </c>
      <c r="CB80" s="125" t="s">
        <v>462</v>
      </c>
      <c r="CC80" s="1727" t="s">
        <v>462</v>
      </c>
      <c r="CD80" s="1724" t="s">
        <v>462</v>
      </c>
      <c r="CE80" s="125" t="s">
        <v>462</v>
      </c>
      <c r="CF80" s="1727" t="s">
        <v>462</v>
      </c>
      <c r="CG80" s="111"/>
      <c r="CH80" s="111"/>
      <c r="CI80" s="111"/>
    </row>
    <row r="81" ht="15.0" customHeight="1" outlineLevel="1">
      <c r="A81" s="60">
        <v>108.0</v>
      </c>
      <c r="B81" s="747" t="str">
        <f t="shared" si="2"/>
        <v>CPQ11-STRC-STEE-COL3-2X3.ifc</v>
      </c>
      <c r="C81" s="60">
        <v>108.0</v>
      </c>
      <c r="D81" s="74" t="s">
        <v>2175</v>
      </c>
      <c r="E81" s="74" t="s">
        <v>2178</v>
      </c>
      <c r="F81" s="71" t="s">
        <v>323</v>
      </c>
      <c r="G81" s="74" t="s">
        <v>2179</v>
      </c>
      <c r="H81" s="1713" t="s">
        <v>2180</v>
      </c>
      <c r="I81" s="146" t="s">
        <v>317</v>
      </c>
      <c r="J81" s="72">
        <v>1125.0</v>
      </c>
      <c r="K81" s="139" t="s">
        <v>317</v>
      </c>
      <c r="L81" s="139">
        <v>1125.0</v>
      </c>
      <c r="M81" s="746" t="str">
        <f>IFERROR(VLOOKUP(B78:B268,'RELATÓRIO ACC'!B:F,5,FALSE),"N/A")</f>
        <v>V1</v>
      </c>
      <c r="N81" s="748" t="str">
        <f>IFERROR(VLOOKUP(B78:B268,'RELATÓRIO ACC'!B:P,15,FALSE),"N/A")</f>
        <v>21/05/2026</v>
      </c>
      <c r="O81" s="141" t="s">
        <v>462</v>
      </c>
      <c r="P81" s="749" t="s">
        <v>462</v>
      </c>
      <c r="Q81" s="751"/>
      <c r="R81" s="746" t="s">
        <v>462</v>
      </c>
      <c r="S81" s="74" t="s">
        <v>462</v>
      </c>
      <c r="T81" s="749" t="s">
        <v>462</v>
      </c>
      <c r="U81" s="746" t="s">
        <v>462</v>
      </c>
      <c r="V81" s="74" t="s">
        <v>462</v>
      </c>
      <c r="W81" s="749" t="s">
        <v>462</v>
      </c>
      <c r="X81" s="746" t="s">
        <v>462</v>
      </c>
      <c r="Y81" s="74" t="s">
        <v>462</v>
      </c>
      <c r="Z81" s="749" t="s">
        <v>462</v>
      </c>
      <c r="AA81" s="746" t="s">
        <v>462</v>
      </c>
      <c r="AB81" s="74" t="s">
        <v>462</v>
      </c>
      <c r="AC81" s="750" t="s">
        <v>462</v>
      </c>
      <c r="AD81" s="746" t="s">
        <v>462</v>
      </c>
      <c r="AE81" s="74" t="s">
        <v>462</v>
      </c>
      <c r="AF81" s="753" t="s">
        <v>462</v>
      </c>
      <c r="AG81" s="746" t="s">
        <v>462</v>
      </c>
      <c r="AH81" s="74" t="s">
        <v>462</v>
      </c>
      <c r="AI81" s="753" t="s">
        <v>462</v>
      </c>
      <c r="AJ81" s="746" t="s">
        <v>462</v>
      </c>
      <c r="AK81" s="74" t="s">
        <v>462</v>
      </c>
      <c r="AL81" s="753" t="s">
        <v>462</v>
      </c>
      <c r="AM81" s="746" t="s">
        <v>462</v>
      </c>
      <c r="AN81" s="74" t="s">
        <v>462</v>
      </c>
      <c r="AO81" s="749" t="s">
        <v>462</v>
      </c>
      <c r="AP81" s="746" t="s">
        <v>462</v>
      </c>
      <c r="AQ81" s="74" t="s">
        <v>462</v>
      </c>
      <c r="AR81" s="749" t="s">
        <v>462</v>
      </c>
      <c r="AS81" s="746" t="s">
        <v>462</v>
      </c>
      <c r="AT81" s="74" t="s">
        <v>462</v>
      </c>
      <c r="AU81" s="749" t="s">
        <v>462</v>
      </c>
      <c r="AV81" s="746" t="s">
        <v>462</v>
      </c>
      <c r="AW81" s="74" t="s">
        <v>462</v>
      </c>
      <c r="AX81" s="750" t="s">
        <v>462</v>
      </c>
      <c r="AY81" s="746" t="s">
        <v>462</v>
      </c>
      <c r="AZ81" s="74" t="s">
        <v>462</v>
      </c>
      <c r="BA81" s="1037" t="s">
        <v>462</v>
      </c>
      <c r="BB81" s="746" t="s">
        <v>462</v>
      </c>
      <c r="BC81" s="74" t="s">
        <v>462</v>
      </c>
      <c r="BD81" s="1037" t="s">
        <v>462</v>
      </c>
      <c r="BE81" s="746" t="s">
        <v>462</v>
      </c>
      <c r="BF81" s="74" t="s">
        <v>462</v>
      </c>
      <c r="BG81" s="1037" t="s">
        <v>462</v>
      </c>
      <c r="BH81" s="746" t="s">
        <v>462</v>
      </c>
      <c r="BI81" s="74" t="s">
        <v>462</v>
      </c>
      <c r="BJ81" s="1037" t="s">
        <v>462</v>
      </c>
      <c r="BK81" s="746" t="s">
        <v>462</v>
      </c>
      <c r="BL81" s="74" t="s">
        <v>462</v>
      </c>
      <c r="BM81" s="1037" t="s">
        <v>462</v>
      </c>
      <c r="BN81" s="746" t="s">
        <v>462</v>
      </c>
      <c r="BO81" s="74" t="s">
        <v>462</v>
      </c>
      <c r="BP81" s="1037" t="s">
        <v>462</v>
      </c>
      <c r="BQ81" s="126"/>
      <c r="BR81" s="1723" t="s">
        <v>462</v>
      </c>
      <c r="BS81" s="125" t="s">
        <v>462</v>
      </c>
      <c r="BT81" s="147" t="s">
        <v>462</v>
      </c>
      <c r="BU81" s="1724" t="s">
        <v>462</v>
      </c>
      <c r="BV81" s="125" t="s">
        <v>462</v>
      </c>
      <c r="BW81" s="147" t="s">
        <v>462</v>
      </c>
      <c r="BX81" s="1725" t="s">
        <v>462</v>
      </c>
      <c r="BY81" s="125" t="s">
        <v>462</v>
      </c>
      <c r="BZ81" s="1726" t="s">
        <v>462</v>
      </c>
      <c r="CA81" s="1724" t="s">
        <v>462</v>
      </c>
      <c r="CB81" s="125" t="s">
        <v>462</v>
      </c>
      <c r="CC81" s="1727" t="s">
        <v>462</v>
      </c>
      <c r="CD81" s="1724" t="s">
        <v>462</v>
      </c>
      <c r="CE81" s="125" t="s">
        <v>462</v>
      </c>
      <c r="CF81" s="1727" t="s">
        <v>462</v>
      </c>
      <c r="CG81" s="111"/>
      <c r="CH81" s="111"/>
      <c r="CI81" s="111"/>
    </row>
    <row r="82" ht="15.0" customHeight="1" outlineLevel="1">
      <c r="A82" s="60">
        <v>109.0</v>
      </c>
      <c r="B82" s="747" t="str">
        <f t="shared" si="2"/>
        <v>CPQ11-STRC-STEE-COL4-2X3.ifc</v>
      </c>
      <c r="C82" s="60">
        <v>109.0</v>
      </c>
      <c r="D82" s="74" t="s">
        <v>2175</v>
      </c>
      <c r="E82" s="74" t="s">
        <v>2178</v>
      </c>
      <c r="F82" s="71" t="s">
        <v>7</v>
      </c>
      <c r="G82" s="74" t="s">
        <v>2179</v>
      </c>
      <c r="H82" s="1713" t="s">
        <v>2180</v>
      </c>
      <c r="I82" s="146" t="s">
        <v>317</v>
      </c>
      <c r="J82" s="72">
        <v>1125.0</v>
      </c>
      <c r="K82" s="139" t="s">
        <v>317</v>
      </c>
      <c r="L82" s="139">
        <v>1125.0</v>
      </c>
      <c r="M82" s="746" t="str">
        <f>IFERROR(VLOOKUP(B79:B269,'RELATÓRIO ACC'!B:F,5,FALSE),"N/A")</f>
        <v>V1</v>
      </c>
      <c r="N82" s="748" t="str">
        <f>IFERROR(VLOOKUP(B79:B269,'RELATÓRIO ACC'!B:P,15,FALSE),"N/A")</f>
        <v>21/05/2026</v>
      </c>
      <c r="O82" s="141" t="s">
        <v>462</v>
      </c>
      <c r="P82" s="749" t="s">
        <v>462</v>
      </c>
      <c r="Q82" s="751"/>
      <c r="R82" s="746" t="s">
        <v>462</v>
      </c>
      <c r="S82" s="74" t="s">
        <v>462</v>
      </c>
      <c r="T82" s="749" t="s">
        <v>462</v>
      </c>
      <c r="U82" s="746" t="s">
        <v>462</v>
      </c>
      <c r="V82" s="74" t="s">
        <v>462</v>
      </c>
      <c r="W82" s="749" t="s">
        <v>462</v>
      </c>
      <c r="X82" s="746" t="s">
        <v>462</v>
      </c>
      <c r="Y82" s="749" t="s">
        <v>462</v>
      </c>
      <c r="Z82" s="749" t="s">
        <v>462</v>
      </c>
      <c r="AA82" s="746" t="s">
        <v>462</v>
      </c>
      <c r="AB82" s="74" t="s">
        <v>462</v>
      </c>
      <c r="AC82" s="750" t="s">
        <v>462</v>
      </c>
      <c r="AD82" s="746" t="s">
        <v>462</v>
      </c>
      <c r="AE82" s="74" t="s">
        <v>462</v>
      </c>
      <c r="AF82" s="753" t="s">
        <v>462</v>
      </c>
      <c r="AG82" s="746" t="s">
        <v>462</v>
      </c>
      <c r="AH82" s="74" t="s">
        <v>462</v>
      </c>
      <c r="AI82" s="753" t="s">
        <v>462</v>
      </c>
      <c r="AJ82" s="746" t="s">
        <v>462</v>
      </c>
      <c r="AK82" s="74" t="s">
        <v>462</v>
      </c>
      <c r="AL82" s="753" t="s">
        <v>462</v>
      </c>
      <c r="AM82" s="746" t="s">
        <v>462</v>
      </c>
      <c r="AN82" s="74" t="s">
        <v>462</v>
      </c>
      <c r="AO82" s="749" t="s">
        <v>462</v>
      </c>
      <c r="AP82" s="746" t="s">
        <v>462</v>
      </c>
      <c r="AQ82" s="74" t="s">
        <v>462</v>
      </c>
      <c r="AR82" s="749" t="s">
        <v>462</v>
      </c>
      <c r="AS82" s="746" t="s">
        <v>462</v>
      </c>
      <c r="AT82" s="74" t="s">
        <v>462</v>
      </c>
      <c r="AU82" s="749" t="s">
        <v>462</v>
      </c>
      <c r="AV82" s="746" t="s">
        <v>462</v>
      </c>
      <c r="AW82" s="74" t="s">
        <v>462</v>
      </c>
      <c r="AX82" s="750" t="s">
        <v>462</v>
      </c>
      <c r="AY82" s="746" t="s">
        <v>462</v>
      </c>
      <c r="AZ82" s="74" t="s">
        <v>462</v>
      </c>
      <c r="BA82" s="1740" t="s">
        <v>462</v>
      </c>
      <c r="BB82" s="746" t="s">
        <v>462</v>
      </c>
      <c r="BC82" s="74" t="s">
        <v>462</v>
      </c>
      <c r="BD82" s="1740" t="s">
        <v>462</v>
      </c>
      <c r="BE82" s="746" t="s">
        <v>462</v>
      </c>
      <c r="BF82" s="74" t="s">
        <v>462</v>
      </c>
      <c r="BG82" s="1740" t="s">
        <v>462</v>
      </c>
      <c r="BH82" s="746" t="s">
        <v>462</v>
      </c>
      <c r="BI82" s="74" t="s">
        <v>462</v>
      </c>
      <c r="BJ82" s="1037" t="s">
        <v>462</v>
      </c>
      <c r="BK82" s="746" t="s">
        <v>462</v>
      </c>
      <c r="BL82" s="74" t="s">
        <v>462</v>
      </c>
      <c r="BM82" s="1037" t="s">
        <v>462</v>
      </c>
      <c r="BN82" s="746" t="s">
        <v>462</v>
      </c>
      <c r="BO82" s="74" t="s">
        <v>462</v>
      </c>
      <c r="BP82" s="1037" t="s">
        <v>462</v>
      </c>
      <c r="BQ82" s="126"/>
      <c r="BR82" s="1723" t="s">
        <v>462</v>
      </c>
      <c r="BS82" s="125" t="s">
        <v>462</v>
      </c>
      <c r="BT82" s="147" t="s">
        <v>462</v>
      </c>
      <c r="BU82" s="1724" t="s">
        <v>462</v>
      </c>
      <c r="BV82" s="125" t="s">
        <v>462</v>
      </c>
      <c r="BW82" s="147" t="s">
        <v>462</v>
      </c>
      <c r="BX82" s="1725" t="s">
        <v>462</v>
      </c>
      <c r="BY82" s="125" t="s">
        <v>462</v>
      </c>
      <c r="BZ82" s="1726" t="s">
        <v>462</v>
      </c>
      <c r="CA82" s="1723" t="s">
        <v>462</v>
      </c>
      <c r="CB82" s="125" t="s">
        <v>462</v>
      </c>
      <c r="CC82" s="1727" t="s">
        <v>462</v>
      </c>
      <c r="CD82" s="1723" t="s">
        <v>462</v>
      </c>
      <c r="CE82" s="125" t="s">
        <v>462</v>
      </c>
      <c r="CF82" s="1727" t="s">
        <v>462</v>
      </c>
      <c r="CG82" s="111"/>
      <c r="CH82" s="111"/>
      <c r="CI82" s="111"/>
    </row>
    <row r="83" ht="15.0" customHeight="1" outlineLevel="1">
      <c r="A83" s="60">
        <v>110.0</v>
      </c>
      <c r="B83" s="747" t="str">
        <f t="shared" si="2"/>
        <v>CPQ11-STRC-STEE-COL5-2X3.ifc</v>
      </c>
      <c r="C83" s="60">
        <v>110.0</v>
      </c>
      <c r="D83" s="74" t="s">
        <v>2175</v>
      </c>
      <c r="E83" s="74" t="s">
        <v>2178</v>
      </c>
      <c r="F83" s="71" t="s">
        <v>326</v>
      </c>
      <c r="G83" s="74" t="s">
        <v>2179</v>
      </c>
      <c r="H83" s="1713" t="s">
        <v>2180</v>
      </c>
      <c r="I83" s="146" t="s">
        <v>317</v>
      </c>
      <c r="J83" s="72">
        <v>1125.0</v>
      </c>
      <c r="K83" s="139" t="s">
        <v>317</v>
      </c>
      <c r="L83" s="139">
        <v>1125.0</v>
      </c>
      <c r="M83" s="746" t="str">
        <f>IFERROR(VLOOKUP(B80:B270,'RELATÓRIO ACC'!B:F,5,FALSE),"N/A")</f>
        <v>V1</v>
      </c>
      <c r="N83" s="748" t="str">
        <f>IFERROR(VLOOKUP(B80:B270,'RELATÓRIO ACC'!B:P,15,FALSE),"N/A")</f>
        <v>21/05/2026</v>
      </c>
      <c r="O83" s="141" t="s">
        <v>462</v>
      </c>
      <c r="P83" s="749" t="s">
        <v>462</v>
      </c>
      <c r="Q83" s="751"/>
      <c r="R83" s="746" t="s">
        <v>462</v>
      </c>
      <c r="S83" s="74" t="s">
        <v>462</v>
      </c>
      <c r="T83" s="749" t="s">
        <v>462</v>
      </c>
      <c r="U83" s="746" t="s">
        <v>462</v>
      </c>
      <c r="V83" s="74" t="s">
        <v>462</v>
      </c>
      <c r="W83" s="749" t="s">
        <v>462</v>
      </c>
      <c r="X83" s="746" t="s">
        <v>462</v>
      </c>
      <c r="Y83" s="74" t="s">
        <v>462</v>
      </c>
      <c r="Z83" s="749" t="s">
        <v>462</v>
      </c>
      <c r="AA83" s="746" t="s">
        <v>462</v>
      </c>
      <c r="AB83" s="74" t="s">
        <v>462</v>
      </c>
      <c r="AC83" s="753" t="s">
        <v>462</v>
      </c>
      <c r="AD83" s="746" t="s">
        <v>462</v>
      </c>
      <c r="AE83" s="74" t="s">
        <v>462</v>
      </c>
      <c r="AF83" s="753" t="s">
        <v>462</v>
      </c>
      <c r="AG83" s="746" t="s">
        <v>462</v>
      </c>
      <c r="AH83" s="74" t="s">
        <v>462</v>
      </c>
      <c r="AI83" s="753" t="s">
        <v>462</v>
      </c>
      <c r="AJ83" s="746" t="s">
        <v>462</v>
      </c>
      <c r="AK83" s="74" t="s">
        <v>462</v>
      </c>
      <c r="AL83" s="753" t="s">
        <v>462</v>
      </c>
      <c r="AM83" s="746" t="s">
        <v>462</v>
      </c>
      <c r="AN83" s="74" t="s">
        <v>462</v>
      </c>
      <c r="AO83" s="749" t="s">
        <v>462</v>
      </c>
      <c r="AP83" s="746" t="s">
        <v>462</v>
      </c>
      <c r="AQ83" s="74" t="s">
        <v>462</v>
      </c>
      <c r="AR83" s="749" t="s">
        <v>462</v>
      </c>
      <c r="AS83" s="746" t="s">
        <v>462</v>
      </c>
      <c r="AT83" s="74" t="s">
        <v>462</v>
      </c>
      <c r="AU83" s="749" t="s">
        <v>462</v>
      </c>
      <c r="AV83" s="746" t="s">
        <v>462</v>
      </c>
      <c r="AW83" s="74" t="s">
        <v>462</v>
      </c>
      <c r="AX83" s="753" t="s">
        <v>462</v>
      </c>
      <c r="AY83" s="746" t="s">
        <v>462</v>
      </c>
      <c r="AZ83" s="74" t="s">
        <v>462</v>
      </c>
      <c r="BA83" s="1037" t="s">
        <v>462</v>
      </c>
      <c r="BB83" s="746" t="s">
        <v>462</v>
      </c>
      <c r="BC83" s="74" t="s">
        <v>462</v>
      </c>
      <c r="BD83" s="1037" t="s">
        <v>462</v>
      </c>
      <c r="BE83" s="746" t="s">
        <v>462</v>
      </c>
      <c r="BF83" s="74" t="s">
        <v>462</v>
      </c>
      <c r="BG83" s="1037" t="s">
        <v>462</v>
      </c>
      <c r="BH83" s="746" t="s">
        <v>462</v>
      </c>
      <c r="BI83" s="74" t="s">
        <v>462</v>
      </c>
      <c r="BJ83" s="1037" t="s">
        <v>462</v>
      </c>
      <c r="BK83" s="746" t="s">
        <v>462</v>
      </c>
      <c r="BL83" s="74" t="s">
        <v>462</v>
      </c>
      <c r="BM83" s="1037" t="s">
        <v>462</v>
      </c>
      <c r="BN83" s="746" t="s">
        <v>462</v>
      </c>
      <c r="BO83" s="74" t="s">
        <v>462</v>
      </c>
      <c r="BP83" s="1037" t="s">
        <v>462</v>
      </c>
      <c r="BQ83" s="126"/>
      <c r="BR83" s="1723" t="s">
        <v>462</v>
      </c>
      <c r="BS83" s="125" t="s">
        <v>462</v>
      </c>
      <c r="BT83" s="147" t="s">
        <v>462</v>
      </c>
      <c r="BU83" s="1724" t="s">
        <v>462</v>
      </c>
      <c r="BV83" s="125" t="s">
        <v>462</v>
      </c>
      <c r="BW83" s="147" t="s">
        <v>462</v>
      </c>
      <c r="BX83" s="1724" t="s">
        <v>462</v>
      </c>
      <c r="BY83" s="125" t="s">
        <v>462</v>
      </c>
      <c r="BZ83" s="1726" t="s">
        <v>462</v>
      </c>
      <c r="CA83" s="1724" t="s">
        <v>462</v>
      </c>
      <c r="CB83" s="125" t="s">
        <v>462</v>
      </c>
      <c r="CC83" s="1727" t="s">
        <v>462</v>
      </c>
      <c r="CD83" s="1724" t="s">
        <v>462</v>
      </c>
      <c r="CE83" s="125" t="s">
        <v>462</v>
      </c>
      <c r="CF83" s="1727" t="s">
        <v>462</v>
      </c>
      <c r="CG83" s="111"/>
      <c r="CH83" s="111"/>
      <c r="CI83" s="111"/>
    </row>
    <row r="84" ht="15.0" customHeight="1">
      <c r="A84" s="60">
        <v>112.0</v>
      </c>
      <c r="B84" s="769" t="str">
        <f t="shared" si="2"/>
        <v>CPQ11-STRC-STEE-GUAR-2X3.ifc</v>
      </c>
      <c r="C84" s="60">
        <v>112.0</v>
      </c>
      <c r="D84" s="126" t="s">
        <v>2175</v>
      </c>
      <c r="E84" s="126" t="s">
        <v>2178</v>
      </c>
      <c r="F84" s="770" t="s">
        <v>127</v>
      </c>
      <c r="G84" s="126" t="s">
        <v>2179</v>
      </c>
      <c r="H84" s="1733" t="s">
        <v>2180</v>
      </c>
      <c r="I84" s="771" t="s">
        <v>317</v>
      </c>
      <c r="J84" s="771">
        <v>1125.0</v>
      </c>
      <c r="K84" s="771" t="s">
        <v>317</v>
      </c>
      <c r="L84" s="139">
        <v>1125.0</v>
      </c>
      <c r="M84" s="852" t="str">
        <f>IFERROR(VLOOKUP(B81:B271,'RELATÓRIO ACC'!B:F,5,FALSE),"N/A")</f>
        <v>V1</v>
      </c>
      <c r="N84" s="1197" t="str">
        <f>IFERROR(VLOOKUP(B81:B271,'RELATÓRIO ACC'!B:P,15,FALSE),"N/A")</f>
        <v>21/05/2026</v>
      </c>
      <c r="O84" s="126" t="s">
        <v>507</v>
      </c>
      <c r="P84" s="855">
        <v>45856.0</v>
      </c>
      <c r="Q84" s="751" t="s">
        <v>102</v>
      </c>
      <c r="R84" s="746" t="s">
        <v>462</v>
      </c>
      <c r="S84" s="74" t="s">
        <v>462</v>
      </c>
      <c r="T84" s="749" t="s">
        <v>462</v>
      </c>
      <c r="U84" s="746" t="s">
        <v>462</v>
      </c>
      <c r="V84" s="74" t="s">
        <v>462</v>
      </c>
      <c r="W84" s="749" t="s">
        <v>462</v>
      </c>
      <c r="X84" s="746" t="s">
        <v>462</v>
      </c>
      <c r="Y84" s="74" t="s">
        <v>462</v>
      </c>
      <c r="Z84" s="749" t="s">
        <v>462</v>
      </c>
      <c r="AA84" s="774" t="s">
        <v>462</v>
      </c>
      <c r="AB84" s="76" t="s">
        <v>462</v>
      </c>
      <c r="AC84" s="750" t="s">
        <v>462</v>
      </c>
      <c r="AD84" s="776" t="s">
        <v>462</v>
      </c>
      <c r="AE84" s="858" t="s">
        <v>462</v>
      </c>
      <c r="AF84" s="859" t="s">
        <v>462</v>
      </c>
      <c r="AG84" s="68" t="s">
        <v>462</v>
      </c>
      <c r="AH84" s="68" t="s">
        <v>462</v>
      </c>
      <c r="AI84" s="68" t="s">
        <v>462</v>
      </c>
      <c r="AJ84" s="68" t="s">
        <v>462</v>
      </c>
      <c r="AK84" s="68" t="s">
        <v>462</v>
      </c>
      <c r="AL84" s="68" t="s">
        <v>462</v>
      </c>
      <c r="AM84" s="746" t="s">
        <v>462</v>
      </c>
      <c r="AN84" s="74" t="s">
        <v>462</v>
      </c>
      <c r="AO84" s="749" t="s">
        <v>462</v>
      </c>
      <c r="AP84" s="746" t="s">
        <v>462</v>
      </c>
      <c r="AQ84" s="74" t="s">
        <v>462</v>
      </c>
      <c r="AR84" s="749" t="s">
        <v>462</v>
      </c>
      <c r="AS84" s="746" t="s">
        <v>462</v>
      </c>
      <c r="AT84" s="74" t="s">
        <v>462</v>
      </c>
      <c r="AU84" s="749" t="s">
        <v>462</v>
      </c>
      <c r="AV84" s="774" t="s">
        <v>462</v>
      </c>
      <c r="AW84" s="76" t="s">
        <v>462</v>
      </c>
      <c r="AX84" s="750" t="s">
        <v>462</v>
      </c>
      <c r="AY84" s="68" t="s">
        <v>462</v>
      </c>
      <c r="AZ84" s="68" t="s">
        <v>462</v>
      </c>
      <c r="BA84" s="1198" t="s">
        <v>462</v>
      </c>
      <c r="BB84" s="68" t="s">
        <v>462</v>
      </c>
      <c r="BC84" s="68" t="s">
        <v>462</v>
      </c>
      <c r="BD84" s="68" t="s">
        <v>462</v>
      </c>
      <c r="BE84" s="68" t="s">
        <v>462</v>
      </c>
      <c r="BF84" s="68" t="s">
        <v>462</v>
      </c>
      <c r="BG84" s="68" t="s">
        <v>462</v>
      </c>
      <c r="BH84" s="68" t="s">
        <v>462</v>
      </c>
      <c r="BI84" s="68" t="s">
        <v>462</v>
      </c>
      <c r="BJ84" s="1198" t="s">
        <v>462</v>
      </c>
      <c r="BK84" s="68" t="s">
        <v>462</v>
      </c>
      <c r="BL84" s="68" t="s">
        <v>462</v>
      </c>
      <c r="BM84" s="1198" t="s">
        <v>462</v>
      </c>
      <c r="BN84" s="68" t="s">
        <v>462</v>
      </c>
      <c r="BO84" s="68" t="s">
        <v>462</v>
      </c>
      <c r="BP84" s="1198" t="s">
        <v>462</v>
      </c>
      <c r="BQ84" s="68"/>
      <c r="BR84" s="141" t="s">
        <v>477</v>
      </c>
      <c r="BS84" s="759" t="s">
        <v>476</v>
      </c>
      <c r="BT84" s="773">
        <v>0.91</v>
      </c>
      <c r="BU84" s="746" t="s">
        <v>477</v>
      </c>
      <c r="BV84" s="759" t="s">
        <v>476</v>
      </c>
      <c r="BW84" s="773">
        <v>0.98</v>
      </c>
      <c r="BX84" s="1749" t="s">
        <v>484</v>
      </c>
      <c r="BY84" s="791" t="s">
        <v>476</v>
      </c>
      <c r="BZ84" s="778">
        <v>1.0</v>
      </c>
      <c r="CA84" s="68" t="s">
        <v>485</v>
      </c>
      <c r="CB84" s="791" t="s">
        <v>476</v>
      </c>
      <c r="CC84" s="1743">
        <v>1.0</v>
      </c>
      <c r="CD84" s="68" t="s">
        <v>485</v>
      </c>
      <c r="CE84" s="791" t="s">
        <v>476</v>
      </c>
      <c r="CF84" s="1743">
        <v>1.0</v>
      </c>
      <c r="CG84" s="68"/>
      <c r="CH84" s="68"/>
      <c r="CI84" s="68"/>
    </row>
    <row r="85" ht="15.0" customHeight="1" outlineLevel="1">
      <c r="A85" s="60">
        <v>113.0</v>
      </c>
      <c r="B85" s="747" t="str">
        <f t="shared" si="2"/>
        <v>CPQ11-STRC-STEE-STIR-2X3.ifc</v>
      </c>
      <c r="C85" s="60">
        <v>113.0</v>
      </c>
      <c r="D85" s="74" t="s">
        <v>2175</v>
      </c>
      <c r="E85" s="74" t="s">
        <v>2178</v>
      </c>
      <c r="F85" s="71" t="s">
        <v>330</v>
      </c>
      <c r="G85" s="74" t="s">
        <v>2179</v>
      </c>
      <c r="H85" s="1713" t="s">
        <v>2180</v>
      </c>
      <c r="I85" s="146" t="s">
        <v>317</v>
      </c>
      <c r="J85" s="72">
        <v>1125.0</v>
      </c>
      <c r="K85" s="139" t="s">
        <v>317</v>
      </c>
      <c r="L85" s="139">
        <v>1125.0</v>
      </c>
      <c r="M85" s="746" t="str">
        <f>IFERROR(VLOOKUP(B82:B272,'RELATÓRIO ACC'!B:F,5,FALSE),"N/A")</f>
        <v>V1</v>
      </c>
      <c r="N85" s="748" t="str">
        <f>IFERROR(VLOOKUP(B82:B272,'RELATÓRIO ACC'!B:P,15,FALSE),"N/A")</f>
        <v>21/05/2026</v>
      </c>
      <c r="O85" s="141" t="s">
        <v>596</v>
      </c>
      <c r="P85" s="1038">
        <v>45856.0</v>
      </c>
      <c r="Q85" s="751" t="s">
        <v>102</v>
      </c>
      <c r="R85" s="746" t="s">
        <v>462</v>
      </c>
      <c r="S85" s="74" t="s">
        <v>462</v>
      </c>
      <c r="T85" s="749" t="s">
        <v>462</v>
      </c>
      <c r="U85" s="746" t="s">
        <v>462</v>
      </c>
      <c r="V85" s="74" t="s">
        <v>462</v>
      </c>
      <c r="W85" s="749" t="s">
        <v>462</v>
      </c>
      <c r="X85" s="746" t="s">
        <v>462</v>
      </c>
      <c r="Y85" s="74" t="s">
        <v>462</v>
      </c>
      <c r="Z85" s="749" t="s">
        <v>462</v>
      </c>
      <c r="AA85" s="746" t="s">
        <v>462</v>
      </c>
      <c r="AB85" s="74" t="s">
        <v>462</v>
      </c>
      <c r="AC85" s="750" t="s">
        <v>462</v>
      </c>
      <c r="AD85" s="746" t="s">
        <v>462</v>
      </c>
      <c r="AE85" s="74" t="s">
        <v>462</v>
      </c>
      <c r="AF85" s="750" t="s">
        <v>462</v>
      </c>
      <c r="AG85" s="746" t="s">
        <v>462</v>
      </c>
      <c r="AH85" s="74" t="s">
        <v>462</v>
      </c>
      <c r="AI85" s="750" t="s">
        <v>462</v>
      </c>
      <c r="AJ85" s="746" t="s">
        <v>462</v>
      </c>
      <c r="AK85" s="74" t="s">
        <v>462</v>
      </c>
      <c r="AL85" s="750" t="s">
        <v>462</v>
      </c>
      <c r="AM85" s="746" t="s">
        <v>462</v>
      </c>
      <c r="AN85" s="74" t="s">
        <v>462</v>
      </c>
      <c r="AO85" s="749" t="s">
        <v>462</v>
      </c>
      <c r="AP85" s="746" t="s">
        <v>462</v>
      </c>
      <c r="AQ85" s="74" t="s">
        <v>462</v>
      </c>
      <c r="AR85" s="749" t="s">
        <v>462</v>
      </c>
      <c r="AS85" s="746" t="s">
        <v>462</v>
      </c>
      <c r="AT85" s="749" t="s">
        <v>462</v>
      </c>
      <c r="AU85" s="749" t="s">
        <v>462</v>
      </c>
      <c r="AV85" s="746" t="s">
        <v>462</v>
      </c>
      <c r="AW85" s="74" t="s">
        <v>462</v>
      </c>
      <c r="AX85" s="750" t="s">
        <v>462</v>
      </c>
      <c r="AY85" s="746" t="s">
        <v>462</v>
      </c>
      <c r="AZ85" s="74" t="s">
        <v>462</v>
      </c>
      <c r="BA85" s="1740" t="s">
        <v>462</v>
      </c>
      <c r="BB85" s="746" t="s">
        <v>462</v>
      </c>
      <c r="BC85" s="74" t="s">
        <v>462</v>
      </c>
      <c r="BD85" s="1740" t="s">
        <v>462</v>
      </c>
      <c r="BE85" s="746" t="s">
        <v>462</v>
      </c>
      <c r="BF85" s="74" t="s">
        <v>462</v>
      </c>
      <c r="BG85" s="1740" t="s">
        <v>462</v>
      </c>
      <c r="BH85" s="746" t="s">
        <v>462</v>
      </c>
      <c r="BI85" s="74" t="s">
        <v>462</v>
      </c>
      <c r="BJ85" s="1037" t="s">
        <v>462</v>
      </c>
      <c r="BK85" s="746" t="s">
        <v>462</v>
      </c>
      <c r="BL85" s="74" t="s">
        <v>462</v>
      </c>
      <c r="BM85" s="1037" t="s">
        <v>462</v>
      </c>
      <c r="BN85" s="746" t="s">
        <v>462</v>
      </c>
      <c r="BO85" s="74" t="s">
        <v>462</v>
      </c>
      <c r="BP85" s="1037" t="s">
        <v>462</v>
      </c>
      <c r="BQ85" s="126"/>
      <c r="BR85" s="141" t="s">
        <v>484</v>
      </c>
      <c r="BS85" s="766" t="s">
        <v>476</v>
      </c>
      <c r="BT85" s="773">
        <v>1.0</v>
      </c>
      <c r="BU85" s="746" t="s">
        <v>484</v>
      </c>
      <c r="BV85" s="766" t="s">
        <v>476</v>
      </c>
      <c r="BW85" s="773">
        <v>1.0</v>
      </c>
      <c r="BX85" s="1728" t="s">
        <v>484</v>
      </c>
      <c r="BY85" s="766" t="s">
        <v>476</v>
      </c>
      <c r="BZ85" s="762">
        <v>1.0</v>
      </c>
      <c r="CA85" s="141" t="s">
        <v>485</v>
      </c>
      <c r="CB85" s="766" t="s">
        <v>476</v>
      </c>
      <c r="CC85" s="1387">
        <v>1.0</v>
      </c>
      <c r="CD85" s="141" t="s">
        <v>485</v>
      </c>
      <c r="CE85" s="766" t="s">
        <v>476</v>
      </c>
      <c r="CF85" s="1387">
        <v>1.0</v>
      </c>
      <c r="CG85" s="135"/>
      <c r="CH85" s="135"/>
      <c r="CI85" s="135"/>
    </row>
    <row r="86" ht="15.0" customHeight="1" outlineLevel="1">
      <c r="A86" s="60">
        <v>111.0</v>
      </c>
      <c r="B86" s="747" t="str">
        <f t="shared" si="2"/>
        <v>CPQ11-STRC-STEE-UTLS-2X3.ifc</v>
      </c>
      <c r="C86" s="60">
        <v>111.0</v>
      </c>
      <c r="D86" s="74" t="s">
        <v>2175</v>
      </c>
      <c r="E86" s="74" t="s">
        <v>2178</v>
      </c>
      <c r="F86" s="71" t="s">
        <v>245</v>
      </c>
      <c r="G86" s="74" t="s">
        <v>2179</v>
      </c>
      <c r="H86" s="1713" t="s">
        <v>2180</v>
      </c>
      <c r="I86" s="146" t="s">
        <v>317</v>
      </c>
      <c r="J86" s="72">
        <v>1125.0</v>
      </c>
      <c r="K86" s="139" t="s">
        <v>317</v>
      </c>
      <c r="L86" s="139">
        <v>1125.0</v>
      </c>
      <c r="M86" s="746" t="str">
        <f>IFERROR(VLOOKUP(B83:B273,'RELATÓRIO ACC'!B:F,5,FALSE),"N/A")</f>
        <v>V1</v>
      </c>
      <c r="N86" s="748" t="str">
        <f>IFERROR(VLOOKUP(B83:B273,'RELATÓRIO ACC'!B:P,15,FALSE),"N/A")</f>
        <v>21/05/2026</v>
      </c>
      <c r="O86" s="141" t="s">
        <v>479</v>
      </c>
      <c r="P86" s="1038">
        <v>45856.0</v>
      </c>
      <c r="Q86" s="751" t="s">
        <v>102</v>
      </c>
      <c r="R86" s="746" t="s">
        <v>462</v>
      </c>
      <c r="S86" s="74" t="s">
        <v>462</v>
      </c>
      <c r="T86" s="749" t="s">
        <v>462</v>
      </c>
      <c r="U86" s="746" t="s">
        <v>462</v>
      </c>
      <c r="V86" s="74" t="s">
        <v>462</v>
      </c>
      <c r="W86" s="749" t="s">
        <v>462</v>
      </c>
      <c r="X86" s="746" t="s">
        <v>462</v>
      </c>
      <c r="Y86" s="74" t="s">
        <v>462</v>
      </c>
      <c r="Z86" s="749" t="s">
        <v>462</v>
      </c>
      <c r="AA86" s="746" t="s">
        <v>462</v>
      </c>
      <c r="AB86" s="74" t="s">
        <v>462</v>
      </c>
      <c r="AC86" s="750" t="s">
        <v>462</v>
      </c>
      <c r="AD86" s="746" t="s">
        <v>462</v>
      </c>
      <c r="AE86" s="74" t="s">
        <v>462</v>
      </c>
      <c r="AF86" s="753" t="s">
        <v>462</v>
      </c>
      <c r="AG86" s="746" t="s">
        <v>462</v>
      </c>
      <c r="AH86" s="74" t="s">
        <v>462</v>
      </c>
      <c r="AI86" s="753" t="s">
        <v>462</v>
      </c>
      <c r="AJ86" s="746" t="s">
        <v>462</v>
      </c>
      <c r="AK86" s="74" t="s">
        <v>462</v>
      </c>
      <c r="AL86" s="753" t="s">
        <v>462</v>
      </c>
      <c r="AM86" s="746" t="s">
        <v>462</v>
      </c>
      <c r="AN86" s="74" t="s">
        <v>462</v>
      </c>
      <c r="AO86" s="749" t="s">
        <v>462</v>
      </c>
      <c r="AP86" s="746" t="s">
        <v>462</v>
      </c>
      <c r="AQ86" s="74" t="s">
        <v>462</v>
      </c>
      <c r="AR86" s="749" t="s">
        <v>462</v>
      </c>
      <c r="AS86" s="746" t="s">
        <v>462</v>
      </c>
      <c r="AT86" s="74" t="s">
        <v>462</v>
      </c>
      <c r="AU86" s="749" t="s">
        <v>462</v>
      </c>
      <c r="AV86" s="746" t="s">
        <v>462</v>
      </c>
      <c r="AW86" s="74" t="s">
        <v>462</v>
      </c>
      <c r="AX86" s="750" t="s">
        <v>462</v>
      </c>
      <c r="AY86" s="746" t="s">
        <v>462</v>
      </c>
      <c r="AZ86" s="74" t="s">
        <v>462</v>
      </c>
      <c r="BA86" s="1037" t="s">
        <v>462</v>
      </c>
      <c r="BB86" s="746" t="s">
        <v>462</v>
      </c>
      <c r="BC86" s="74" t="s">
        <v>462</v>
      </c>
      <c r="BD86" s="1037" t="s">
        <v>462</v>
      </c>
      <c r="BE86" s="746" t="s">
        <v>462</v>
      </c>
      <c r="BF86" s="74" t="s">
        <v>462</v>
      </c>
      <c r="BG86" s="1037" t="s">
        <v>462</v>
      </c>
      <c r="BH86" s="746" t="s">
        <v>462</v>
      </c>
      <c r="BI86" s="74" t="s">
        <v>462</v>
      </c>
      <c r="BJ86" s="1037" t="s">
        <v>462</v>
      </c>
      <c r="BK86" s="746" t="s">
        <v>462</v>
      </c>
      <c r="BL86" s="74" t="s">
        <v>462</v>
      </c>
      <c r="BM86" s="1037" t="s">
        <v>462</v>
      </c>
      <c r="BN86" s="746" t="s">
        <v>462</v>
      </c>
      <c r="BO86" s="74" t="s">
        <v>462</v>
      </c>
      <c r="BP86" s="1037" t="s">
        <v>462</v>
      </c>
      <c r="BQ86" s="126"/>
      <c r="BR86" s="141" t="s">
        <v>477</v>
      </c>
      <c r="BS86" s="759" t="s">
        <v>476</v>
      </c>
      <c r="BT86" s="773">
        <v>0.95</v>
      </c>
      <c r="BU86" s="746" t="s">
        <v>477</v>
      </c>
      <c r="BV86" s="759" t="s">
        <v>476</v>
      </c>
      <c r="BW86" s="773">
        <v>0.99</v>
      </c>
      <c r="BX86" s="755" t="s">
        <v>484</v>
      </c>
      <c r="BY86" s="759" t="s">
        <v>476</v>
      </c>
      <c r="BZ86" s="762">
        <v>1.0</v>
      </c>
      <c r="CA86" s="746" t="s">
        <v>485</v>
      </c>
      <c r="CB86" s="759" t="s">
        <v>476</v>
      </c>
      <c r="CC86" s="1387">
        <v>1.0</v>
      </c>
      <c r="CD86" s="746" t="s">
        <v>485</v>
      </c>
      <c r="CE86" s="759" t="s">
        <v>476</v>
      </c>
      <c r="CF86" s="1387">
        <v>1.0</v>
      </c>
      <c r="CG86" s="68"/>
      <c r="CH86" s="68"/>
      <c r="CI86" s="68"/>
    </row>
    <row r="87" ht="15.0" customHeight="1">
      <c r="A87" s="60">
        <v>34.0</v>
      </c>
      <c r="B87" s="1203" t="str">
        <f t="shared" si="2"/>
        <v>CPQ11-SYST-INFR-DATA-R22.rvt</v>
      </c>
      <c r="C87" s="60">
        <v>34.0</v>
      </c>
      <c r="D87" s="126" t="s">
        <v>2181</v>
      </c>
      <c r="E87" s="126" t="s">
        <v>2151</v>
      </c>
      <c r="F87" s="770" t="s">
        <v>85</v>
      </c>
      <c r="G87" s="126" t="s">
        <v>482</v>
      </c>
      <c r="H87" s="1733" t="s">
        <v>2124</v>
      </c>
      <c r="I87" s="771" t="s">
        <v>169</v>
      </c>
      <c r="J87" s="771">
        <v>1112.0</v>
      </c>
      <c r="K87" s="771" t="s">
        <v>170</v>
      </c>
      <c r="L87" s="139">
        <v>1129.0</v>
      </c>
      <c r="M87" s="852" t="str">
        <f>IFERROR(VLOOKUP(B84:B274,'RELATÓRIO ACC'!B:F,5,FALSE),"N/A")</f>
        <v>N/A</v>
      </c>
      <c r="N87" s="1197" t="str">
        <f>IFERROR(VLOOKUP(B84:B274,'RELATÓRIO ACC'!B:P,15,FALSE),"N/A")</f>
        <v>N/A</v>
      </c>
      <c r="O87" s="126" t="s">
        <v>1475</v>
      </c>
      <c r="P87" s="772" t="s">
        <v>2182</v>
      </c>
      <c r="Q87" s="751" t="s">
        <v>102</v>
      </c>
      <c r="R87" s="746" t="s">
        <v>477</v>
      </c>
      <c r="S87" s="766" t="s">
        <v>476</v>
      </c>
      <c r="T87" s="773">
        <v>0.33</v>
      </c>
      <c r="U87" s="746" t="s">
        <v>477</v>
      </c>
      <c r="V87" s="766" t="s">
        <v>476</v>
      </c>
      <c r="W87" s="773">
        <v>0.98</v>
      </c>
      <c r="X87" s="746" t="s">
        <v>484</v>
      </c>
      <c r="Y87" s="766" t="s">
        <v>476</v>
      </c>
      <c r="Z87" s="773">
        <v>1.0</v>
      </c>
      <c r="AA87" s="774" t="s">
        <v>484</v>
      </c>
      <c r="AB87" s="786" t="s">
        <v>476</v>
      </c>
      <c r="AC87" s="768">
        <v>1.0</v>
      </c>
      <c r="AD87" s="776" t="s">
        <v>484</v>
      </c>
      <c r="AE87" s="788" t="s">
        <v>476</v>
      </c>
      <c r="AF87" s="778">
        <v>1.0</v>
      </c>
      <c r="AG87" s="776" t="s">
        <v>485</v>
      </c>
      <c r="AH87" s="788" t="s">
        <v>476</v>
      </c>
      <c r="AI87" s="778">
        <v>1.0</v>
      </c>
      <c r="AJ87" s="776" t="s">
        <v>485</v>
      </c>
      <c r="AK87" s="788" t="s">
        <v>476</v>
      </c>
      <c r="AL87" s="778">
        <v>1.0</v>
      </c>
      <c r="AM87" s="746" t="s">
        <v>477</v>
      </c>
      <c r="AN87" s="766" t="s">
        <v>476</v>
      </c>
      <c r="AO87" s="773">
        <v>0.33</v>
      </c>
      <c r="AP87" s="746" t="s">
        <v>477</v>
      </c>
      <c r="AQ87" s="766" t="s">
        <v>476</v>
      </c>
      <c r="AR87" s="773">
        <v>0.93</v>
      </c>
      <c r="AS87" s="746" t="s">
        <v>484</v>
      </c>
      <c r="AT87" s="766" t="s">
        <v>476</v>
      </c>
      <c r="AU87" s="773">
        <v>1.0</v>
      </c>
      <c r="AV87" s="774" t="s">
        <v>484</v>
      </c>
      <c r="AW87" s="786" t="s">
        <v>476</v>
      </c>
      <c r="AX87" s="768">
        <v>1.0</v>
      </c>
      <c r="AY87" s="68" t="s">
        <v>484</v>
      </c>
      <c r="AZ87" s="791" t="s">
        <v>476</v>
      </c>
      <c r="BA87" s="1207">
        <v>1.0</v>
      </c>
      <c r="BB87" s="68" t="s">
        <v>485</v>
      </c>
      <c r="BC87" s="791" t="s">
        <v>476</v>
      </c>
      <c r="BD87" s="135">
        <v>1.0</v>
      </c>
      <c r="BE87" s="68" t="s">
        <v>485</v>
      </c>
      <c r="BF87" s="791" t="s">
        <v>476</v>
      </c>
      <c r="BG87" s="135">
        <v>1.0</v>
      </c>
      <c r="BH87" s="68" t="s">
        <v>477</v>
      </c>
      <c r="BI87" s="791" t="s">
        <v>476</v>
      </c>
      <c r="BJ87" s="1207">
        <v>0.72</v>
      </c>
      <c r="BK87" s="763" t="s">
        <v>478</v>
      </c>
      <c r="BL87" s="68">
        <v>0.0</v>
      </c>
      <c r="BM87" s="1198">
        <v>0.0</v>
      </c>
      <c r="BN87" s="763" t="s">
        <v>478</v>
      </c>
      <c r="BO87" s="68">
        <v>0.0</v>
      </c>
      <c r="BP87" s="1198">
        <v>0.0</v>
      </c>
      <c r="BQ87" s="68" t="s">
        <v>91</v>
      </c>
      <c r="BR87" s="1723" t="s">
        <v>462</v>
      </c>
      <c r="BS87" s="125" t="s">
        <v>462</v>
      </c>
      <c r="BT87" s="147" t="s">
        <v>462</v>
      </c>
      <c r="BU87" s="1724" t="s">
        <v>462</v>
      </c>
      <c r="BV87" s="125" t="s">
        <v>462</v>
      </c>
      <c r="BW87" s="147" t="s">
        <v>462</v>
      </c>
      <c r="BX87" s="1734" t="s">
        <v>462</v>
      </c>
      <c r="BY87" s="111" t="s">
        <v>462</v>
      </c>
      <c r="BZ87" s="1735" t="s">
        <v>462</v>
      </c>
      <c r="CA87" s="1736" t="s">
        <v>462</v>
      </c>
      <c r="CB87" s="111" t="s">
        <v>462</v>
      </c>
      <c r="CC87" s="1737" t="s">
        <v>462</v>
      </c>
      <c r="CD87" s="1736" t="s">
        <v>462</v>
      </c>
      <c r="CE87" s="111" t="s">
        <v>462</v>
      </c>
      <c r="CF87" s="1737" t="s">
        <v>462</v>
      </c>
      <c r="CG87" s="111"/>
      <c r="CH87" s="111"/>
      <c r="CI87" s="111"/>
    </row>
    <row r="88" ht="15.0" customHeight="1" outlineLevel="1">
      <c r="A88" s="60">
        <v>85.0</v>
      </c>
      <c r="B88" s="747" t="str">
        <f t="shared" si="2"/>
        <v>CPQ11-LAND-LAND-SITE-R22.rvt</v>
      </c>
      <c r="C88" s="60">
        <v>85.0</v>
      </c>
      <c r="D88" s="74" t="s">
        <v>2183</v>
      </c>
      <c r="E88" s="74" t="s">
        <v>2183</v>
      </c>
      <c r="F88" s="71" t="s">
        <v>90</v>
      </c>
      <c r="G88" s="74" t="s">
        <v>482</v>
      </c>
      <c r="H88" s="1713" t="s">
        <v>2124</v>
      </c>
      <c r="I88" s="138" t="s">
        <v>269</v>
      </c>
      <c r="J88" s="754">
        <v>0.0</v>
      </c>
      <c r="K88" s="139" t="s">
        <v>115</v>
      </c>
      <c r="L88" s="150">
        <v>0.0</v>
      </c>
      <c r="M88" s="746" t="str">
        <f>IFERROR(VLOOKUP(B85:B275,'RELATÓRIO ACC'!B:F,5,FALSE),"N/A")</f>
        <v>N/A</v>
      </c>
      <c r="N88" s="748" t="str">
        <f>IFERROR(VLOOKUP(B85:B275,'RELATÓRIO ACC'!B:P,15,FALSE),"N/A")</f>
        <v>N/A</v>
      </c>
      <c r="O88" s="141" t="s">
        <v>462</v>
      </c>
      <c r="P88" s="749" t="s">
        <v>462</v>
      </c>
      <c r="Q88" s="751"/>
      <c r="R88" s="746" t="s">
        <v>466</v>
      </c>
      <c r="S88" s="74" t="s">
        <v>462</v>
      </c>
      <c r="T88" s="749" t="s">
        <v>462</v>
      </c>
      <c r="U88" s="746" t="s">
        <v>466</v>
      </c>
      <c r="V88" s="74" t="s">
        <v>462</v>
      </c>
      <c r="W88" s="749" t="s">
        <v>462</v>
      </c>
      <c r="X88" s="746" t="s">
        <v>466</v>
      </c>
      <c r="Y88" s="74" t="s">
        <v>462</v>
      </c>
      <c r="Z88" s="749" t="s">
        <v>462</v>
      </c>
      <c r="AA88" s="746" t="s">
        <v>466</v>
      </c>
      <c r="AB88" s="74" t="s">
        <v>462</v>
      </c>
      <c r="AC88" s="753" t="s">
        <v>462</v>
      </c>
      <c r="AD88" s="746" t="s">
        <v>466</v>
      </c>
      <c r="AE88" s="74" t="s">
        <v>462</v>
      </c>
      <c r="AF88" s="753" t="s">
        <v>462</v>
      </c>
      <c r="AG88" s="746" t="s">
        <v>466</v>
      </c>
      <c r="AH88" s="74" t="s">
        <v>462</v>
      </c>
      <c r="AI88" s="753" t="s">
        <v>462</v>
      </c>
      <c r="AJ88" s="746" t="s">
        <v>466</v>
      </c>
      <c r="AK88" s="74" t="s">
        <v>462</v>
      </c>
      <c r="AL88" s="753" t="s">
        <v>462</v>
      </c>
      <c r="AM88" s="746" t="s">
        <v>466</v>
      </c>
      <c r="AN88" s="74" t="s">
        <v>462</v>
      </c>
      <c r="AO88" s="749" t="s">
        <v>462</v>
      </c>
      <c r="AP88" s="746" t="s">
        <v>466</v>
      </c>
      <c r="AQ88" s="74" t="s">
        <v>462</v>
      </c>
      <c r="AR88" s="749" t="s">
        <v>462</v>
      </c>
      <c r="AS88" s="746" t="s">
        <v>466</v>
      </c>
      <c r="AT88" s="74" t="s">
        <v>462</v>
      </c>
      <c r="AU88" s="749" t="s">
        <v>462</v>
      </c>
      <c r="AV88" s="746" t="s">
        <v>466</v>
      </c>
      <c r="AW88" s="74" t="s">
        <v>462</v>
      </c>
      <c r="AX88" s="750" t="s">
        <v>462</v>
      </c>
      <c r="AY88" s="746" t="s">
        <v>466</v>
      </c>
      <c r="AZ88" s="74" t="s">
        <v>462</v>
      </c>
      <c r="BA88" s="1037" t="s">
        <v>462</v>
      </c>
      <c r="BB88" s="746" t="s">
        <v>466</v>
      </c>
      <c r="BC88" s="74" t="s">
        <v>462</v>
      </c>
      <c r="BD88" s="1037" t="s">
        <v>462</v>
      </c>
      <c r="BE88" s="746" t="s">
        <v>466</v>
      </c>
      <c r="BF88" s="74" t="s">
        <v>462</v>
      </c>
      <c r="BG88" s="1037" t="s">
        <v>462</v>
      </c>
      <c r="BH88" s="746" t="s">
        <v>466</v>
      </c>
      <c r="BI88" s="74" t="s">
        <v>462</v>
      </c>
      <c r="BJ88" s="1037" t="s">
        <v>462</v>
      </c>
      <c r="BK88" s="746" t="s">
        <v>466</v>
      </c>
      <c r="BL88" s="74" t="s">
        <v>462</v>
      </c>
      <c r="BM88" s="1037" t="s">
        <v>462</v>
      </c>
      <c r="BN88" s="746" t="s">
        <v>466</v>
      </c>
      <c r="BO88" s="74" t="s">
        <v>462</v>
      </c>
      <c r="BP88" s="1037" t="s">
        <v>462</v>
      </c>
      <c r="BQ88" s="126"/>
      <c r="BR88" s="141" t="s">
        <v>466</v>
      </c>
      <c r="BS88" s="125" t="s">
        <v>462</v>
      </c>
      <c r="BT88" s="749" t="s">
        <v>462</v>
      </c>
      <c r="BU88" s="746" t="s">
        <v>466</v>
      </c>
      <c r="BV88" s="74" t="s">
        <v>462</v>
      </c>
      <c r="BW88" s="749" t="s">
        <v>462</v>
      </c>
      <c r="BX88" s="746" t="s">
        <v>466</v>
      </c>
      <c r="BY88" s="74" t="s">
        <v>462</v>
      </c>
      <c r="BZ88" s="753" t="s">
        <v>462</v>
      </c>
      <c r="CA88" s="746" t="s">
        <v>466</v>
      </c>
      <c r="CB88" s="74" t="s">
        <v>462</v>
      </c>
      <c r="CC88" s="1714" t="s">
        <v>462</v>
      </c>
      <c r="CD88" s="746" t="s">
        <v>466</v>
      </c>
      <c r="CE88" s="74" t="s">
        <v>462</v>
      </c>
      <c r="CF88" s="1714" t="s">
        <v>462</v>
      </c>
      <c r="CG88" s="68"/>
      <c r="CH88" s="68"/>
      <c r="CI88" s="68"/>
    </row>
    <row r="89" ht="15.0" customHeight="1">
      <c r="A89" s="60">
        <v>35.0</v>
      </c>
      <c r="B89" s="769" t="str">
        <f t="shared" si="2"/>
        <v>CPQ11-SYST-INFR-SITE-R22.rvt</v>
      </c>
      <c r="C89" s="60">
        <v>35.0</v>
      </c>
      <c r="D89" s="126" t="s">
        <v>2181</v>
      </c>
      <c r="E89" s="126" t="s">
        <v>2151</v>
      </c>
      <c r="F89" s="770" t="s">
        <v>90</v>
      </c>
      <c r="G89" s="126" t="s">
        <v>482</v>
      </c>
      <c r="H89" s="1733" t="s">
        <v>2124</v>
      </c>
      <c r="I89" s="771" t="s">
        <v>169</v>
      </c>
      <c r="J89" s="771">
        <v>1112.0</v>
      </c>
      <c r="K89" s="771" t="s">
        <v>170</v>
      </c>
      <c r="L89" s="139">
        <v>1129.0</v>
      </c>
      <c r="M89" s="852" t="str">
        <f>IFERROR(VLOOKUP(B86:B276,'RELATÓRIO ACC'!B:F,5,FALSE),"N/A")</f>
        <v>N/A</v>
      </c>
      <c r="N89" s="1197" t="str">
        <f>IFERROR(VLOOKUP(B86:B276,'RELATÓRIO ACC'!B:P,15,FALSE),"N/A")</f>
        <v>N/A</v>
      </c>
      <c r="O89" s="126" t="s">
        <v>855</v>
      </c>
      <c r="P89" s="855">
        <v>45889.0</v>
      </c>
      <c r="Q89" s="751" t="s">
        <v>129</v>
      </c>
      <c r="R89" s="746" t="s">
        <v>462</v>
      </c>
      <c r="S89" s="74" t="s">
        <v>462</v>
      </c>
      <c r="T89" s="749" t="s">
        <v>462</v>
      </c>
      <c r="U89" s="746" t="s">
        <v>462</v>
      </c>
      <c r="V89" s="74" t="s">
        <v>462</v>
      </c>
      <c r="W89" s="749" t="s">
        <v>462</v>
      </c>
      <c r="X89" s="746" t="s">
        <v>462</v>
      </c>
      <c r="Y89" s="74" t="s">
        <v>462</v>
      </c>
      <c r="Z89" s="749" t="s">
        <v>462</v>
      </c>
      <c r="AA89" s="774" t="s">
        <v>462</v>
      </c>
      <c r="AB89" s="76" t="s">
        <v>462</v>
      </c>
      <c r="AC89" s="750" t="s">
        <v>462</v>
      </c>
      <c r="AD89" s="746" t="s">
        <v>462</v>
      </c>
      <c r="AE89" s="74" t="s">
        <v>462</v>
      </c>
      <c r="AF89" s="1730" t="s">
        <v>462</v>
      </c>
      <c r="AG89" s="746" t="s">
        <v>462</v>
      </c>
      <c r="AH89" s="74" t="s">
        <v>462</v>
      </c>
      <c r="AI89" s="1730" t="s">
        <v>462</v>
      </c>
      <c r="AJ89" s="746" t="s">
        <v>462</v>
      </c>
      <c r="AK89" s="74" t="s">
        <v>462</v>
      </c>
      <c r="AL89" s="1730" t="s">
        <v>462</v>
      </c>
      <c r="AM89" s="746" t="s">
        <v>462</v>
      </c>
      <c r="AN89" s="74" t="s">
        <v>462</v>
      </c>
      <c r="AO89" s="749" t="s">
        <v>462</v>
      </c>
      <c r="AP89" s="746" t="s">
        <v>462</v>
      </c>
      <c r="AQ89" s="74" t="s">
        <v>462</v>
      </c>
      <c r="AR89" s="749" t="s">
        <v>462</v>
      </c>
      <c r="AS89" s="746" t="s">
        <v>462</v>
      </c>
      <c r="AT89" s="74" t="s">
        <v>462</v>
      </c>
      <c r="AU89" s="749" t="s">
        <v>462</v>
      </c>
      <c r="AV89" s="774" t="s">
        <v>462</v>
      </c>
      <c r="AW89" s="76" t="s">
        <v>462</v>
      </c>
      <c r="AX89" s="750" t="s">
        <v>462</v>
      </c>
      <c r="AY89" s="68" t="s">
        <v>462</v>
      </c>
      <c r="AZ89" s="68" t="s">
        <v>462</v>
      </c>
      <c r="BA89" s="1198" t="s">
        <v>462</v>
      </c>
      <c r="BB89" s="68" t="s">
        <v>462</v>
      </c>
      <c r="BC89" s="68" t="s">
        <v>462</v>
      </c>
      <c r="BD89" s="1198" t="s">
        <v>462</v>
      </c>
      <c r="BE89" s="68" t="s">
        <v>462</v>
      </c>
      <c r="BF89" s="68" t="s">
        <v>462</v>
      </c>
      <c r="BG89" s="1198" t="s">
        <v>462</v>
      </c>
      <c r="BH89" s="68" t="s">
        <v>462</v>
      </c>
      <c r="BI89" s="749" t="s">
        <v>462</v>
      </c>
      <c r="BJ89" s="1198" t="s">
        <v>462</v>
      </c>
      <c r="BK89" s="68" t="s">
        <v>462</v>
      </c>
      <c r="BL89" s="749" t="s">
        <v>462</v>
      </c>
      <c r="BM89" s="1198" t="s">
        <v>462</v>
      </c>
      <c r="BN89" s="68" t="s">
        <v>462</v>
      </c>
      <c r="BO89" s="749" t="s">
        <v>462</v>
      </c>
      <c r="BP89" s="1198" t="s">
        <v>462</v>
      </c>
      <c r="BQ89" s="68"/>
      <c r="BR89" s="141" t="s">
        <v>477</v>
      </c>
      <c r="BS89" s="759" t="s">
        <v>476</v>
      </c>
      <c r="BT89" s="773">
        <v>0.69</v>
      </c>
      <c r="BU89" s="746" t="s">
        <v>484</v>
      </c>
      <c r="BV89" s="759" t="s">
        <v>476</v>
      </c>
      <c r="BW89" s="773">
        <v>1.0</v>
      </c>
      <c r="BX89" s="1742" t="s">
        <v>484</v>
      </c>
      <c r="BY89" s="791" t="s">
        <v>476</v>
      </c>
      <c r="BZ89" s="778">
        <v>1.0</v>
      </c>
      <c r="CA89" s="68" t="s">
        <v>485</v>
      </c>
      <c r="CB89" s="791" t="s">
        <v>476</v>
      </c>
      <c r="CC89" s="1743">
        <v>1.0</v>
      </c>
      <c r="CD89" s="68" t="s">
        <v>485</v>
      </c>
      <c r="CE89" s="791" t="s">
        <v>476</v>
      </c>
      <c r="CF89" s="1743">
        <v>1.0</v>
      </c>
      <c r="CG89" s="135"/>
      <c r="CH89" s="135"/>
      <c r="CI89" s="135"/>
    </row>
    <row r="90" ht="15.0" customHeight="1" outlineLevel="1">
      <c r="A90" s="60">
        <v>46.0</v>
      </c>
      <c r="B90" s="849" t="str">
        <f t="shared" si="2"/>
        <v>CPQ11-TCOM-DEVS-DATA-R22.rvt</v>
      </c>
      <c r="C90" s="60">
        <v>46.0</v>
      </c>
      <c r="D90" s="74" t="s">
        <v>2184</v>
      </c>
      <c r="E90" s="74" t="s">
        <v>2150</v>
      </c>
      <c r="F90" s="71" t="s">
        <v>85</v>
      </c>
      <c r="G90" s="74" t="s">
        <v>482</v>
      </c>
      <c r="H90" s="1713" t="s">
        <v>2124</v>
      </c>
      <c r="I90" s="146" t="s">
        <v>180</v>
      </c>
      <c r="J90" s="72">
        <v>1114.0</v>
      </c>
      <c r="K90" s="139" t="s">
        <v>180</v>
      </c>
      <c r="L90" s="139">
        <v>1114.0</v>
      </c>
      <c r="M90" s="746" t="str">
        <f>IFERROR(VLOOKUP(B87:B277,'RELATÓRIO ACC'!B:F,5,FALSE),"N/A")</f>
        <v>N/A</v>
      </c>
      <c r="N90" s="748" t="str">
        <f>IFERROR(VLOOKUP(B87:B277,'RELATÓRIO ACC'!B:P,15,FALSE),"N/A")</f>
        <v>N/A</v>
      </c>
      <c r="O90" s="141" t="s">
        <v>718</v>
      </c>
      <c r="P90" s="782">
        <v>45896.0</v>
      </c>
      <c r="Q90" s="751" t="s">
        <v>194</v>
      </c>
      <c r="R90" s="746" t="s">
        <v>477</v>
      </c>
      <c r="S90" s="766" t="s">
        <v>476</v>
      </c>
      <c r="T90" s="773">
        <v>0.48</v>
      </c>
      <c r="U90" s="746" t="s">
        <v>477</v>
      </c>
      <c r="V90" s="766" t="s">
        <v>476</v>
      </c>
      <c r="W90" s="773">
        <v>0.9</v>
      </c>
      <c r="X90" s="746" t="s">
        <v>477</v>
      </c>
      <c r="Y90" s="766" t="s">
        <v>476</v>
      </c>
      <c r="Z90" s="773">
        <v>0.9</v>
      </c>
      <c r="AA90" s="746" t="s">
        <v>484</v>
      </c>
      <c r="AB90" s="766" t="s">
        <v>476</v>
      </c>
      <c r="AC90" s="762">
        <v>1.0</v>
      </c>
      <c r="AD90" s="746" t="s">
        <v>484</v>
      </c>
      <c r="AE90" s="766" t="s">
        <v>476</v>
      </c>
      <c r="AF90" s="762">
        <v>1.0</v>
      </c>
      <c r="AG90" s="746" t="s">
        <v>485</v>
      </c>
      <c r="AH90" s="766" t="s">
        <v>476</v>
      </c>
      <c r="AI90" s="762">
        <v>1.0</v>
      </c>
      <c r="AJ90" s="746" t="s">
        <v>485</v>
      </c>
      <c r="AK90" s="766" t="s">
        <v>476</v>
      </c>
      <c r="AL90" s="762">
        <v>1.0</v>
      </c>
      <c r="AM90" s="746" t="s">
        <v>477</v>
      </c>
      <c r="AN90" s="766" t="s">
        <v>476</v>
      </c>
      <c r="AO90" s="773">
        <v>0.43</v>
      </c>
      <c r="AP90" s="746" t="s">
        <v>477</v>
      </c>
      <c r="AQ90" s="766" t="s">
        <v>476</v>
      </c>
      <c r="AR90" s="773">
        <v>0.9</v>
      </c>
      <c r="AS90" s="746" t="s">
        <v>477</v>
      </c>
      <c r="AT90" s="766" t="s">
        <v>476</v>
      </c>
      <c r="AU90" s="773">
        <v>0.95</v>
      </c>
      <c r="AV90" s="746" t="s">
        <v>484</v>
      </c>
      <c r="AW90" s="766" t="s">
        <v>476</v>
      </c>
      <c r="AX90" s="768">
        <v>1.0</v>
      </c>
      <c r="AY90" s="746" t="s">
        <v>484</v>
      </c>
      <c r="AZ90" s="766" t="s">
        <v>476</v>
      </c>
      <c r="BA90" s="1057">
        <v>1.0</v>
      </c>
      <c r="BB90" s="746" t="s">
        <v>485</v>
      </c>
      <c r="BC90" s="766" t="s">
        <v>476</v>
      </c>
      <c r="BD90" s="1057">
        <v>1.0</v>
      </c>
      <c r="BE90" s="746" t="s">
        <v>485</v>
      </c>
      <c r="BF90" s="766" t="s">
        <v>476</v>
      </c>
      <c r="BG90" s="1057">
        <v>1.0</v>
      </c>
      <c r="BH90" s="746" t="s">
        <v>477</v>
      </c>
      <c r="BI90" s="759" t="s">
        <v>476</v>
      </c>
      <c r="BJ90" s="1057">
        <v>0.82</v>
      </c>
      <c r="BK90" s="755" t="s">
        <v>478</v>
      </c>
      <c r="BL90" s="74">
        <v>0.0</v>
      </c>
      <c r="BM90" s="1037">
        <v>0.0</v>
      </c>
      <c r="BN90" s="755" t="s">
        <v>478</v>
      </c>
      <c r="BO90" s="74">
        <v>0.0</v>
      </c>
      <c r="BP90" s="1037">
        <v>0.0</v>
      </c>
      <c r="BQ90" s="126" t="s">
        <v>91</v>
      </c>
      <c r="BR90" s="1723" t="s">
        <v>462</v>
      </c>
      <c r="BS90" s="125" t="s">
        <v>462</v>
      </c>
      <c r="BT90" s="147" t="s">
        <v>462</v>
      </c>
      <c r="BU90" s="1724" t="s">
        <v>462</v>
      </c>
      <c r="BV90" s="1759" t="s">
        <v>462</v>
      </c>
      <c r="BW90" s="147" t="s">
        <v>462</v>
      </c>
      <c r="BX90" s="1724" t="s">
        <v>462</v>
      </c>
      <c r="BY90" s="125" t="s">
        <v>462</v>
      </c>
      <c r="BZ90" s="1726" t="s">
        <v>462</v>
      </c>
      <c r="CA90" s="1724" t="s">
        <v>462</v>
      </c>
      <c r="CB90" s="125" t="s">
        <v>462</v>
      </c>
      <c r="CC90" s="1727" t="s">
        <v>462</v>
      </c>
      <c r="CD90" s="1723" t="s">
        <v>462</v>
      </c>
      <c r="CE90" s="125" t="s">
        <v>462</v>
      </c>
      <c r="CF90" s="1727" t="s">
        <v>462</v>
      </c>
      <c r="CG90" s="111"/>
      <c r="CH90" s="111"/>
      <c r="CI90" s="111"/>
    </row>
    <row r="91" ht="15.0" customHeight="1" outlineLevel="1">
      <c r="A91" s="60">
        <v>45.0</v>
      </c>
      <c r="B91" s="747" t="str">
        <f t="shared" si="2"/>
        <v>CPQ11-TCOM-DEVS-SITE-R22.rvt</v>
      </c>
      <c r="C91" s="60">
        <v>45.0</v>
      </c>
      <c r="D91" s="74" t="s">
        <v>2184</v>
      </c>
      <c r="E91" s="74" t="s">
        <v>2150</v>
      </c>
      <c r="F91" s="71" t="s">
        <v>90</v>
      </c>
      <c r="G91" s="74" t="s">
        <v>482</v>
      </c>
      <c r="H91" s="1713" t="s">
        <v>2124</v>
      </c>
      <c r="I91" s="146" t="s">
        <v>180</v>
      </c>
      <c r="J91" s="72">
        <v>1114.0</v>
      </c>
      <c r="K91" s="139" t="s">
        <v>180</v>
      </c>
      <c r="L91" s="139">
        <v>1114.0</v>
      </c>
      <c r="M91" s="746" t="str">
        <f>IFERROR(VLOOKUP(B88:B278,'RELATÓRIO ACC'!B:F,5,FALSE),"N/A")</f>
        <v>N/A</v>
      </c>
      <c r="N91" s="748" t="str">
        <f>IFERROR(VLOOKUP(B88:B278,'RELATÓRIO ACC'!B:P,15,FALSE),"N/A")</f>
        <v>N/A</v>
      </c>
      <c r="O91" s="141" t="s">
        <v>486</v>
      </c>
      <c r="P91" s="782">
        <v>45870.0</v>
      </c>
      <c r="Q91" s="751" t="s">
        <v>87</v>
      </c>
      <c r="R91" s="746" t="s">
        <v>462</v>
      </c>
      <c r="S91" s="74" t="s">
        <v>462</v>
      </c>
      <c r="T91" s="749" t="s">
        <v>462</v>
      </c>
      <c r="U91" s="746" t="s">
        <v>462</v>
      </c>
      <c r="V91" s="74" t="s">
        <v>462</v>
      </c>
      <c r="W91" s="749" t="s">
        <v>462</v>
      </c>
      <c r="X91" s="746" t="s">
        <v>462</v>
      </c>
      <c r="Y91" s="74" t="s">
        <v>462</v>
      </c>
      <c r="Z91" s="749" t="s">
        <v>462</v>
      </c>
      <c r="AA91" s="746" t="s">
        <v>462</v>
      </c>
      <c r="AB91" s="74" t="s">
        <v>462</v>
      </c>
      <c r="AC91" s="753" t="s">
        <v>462</v>
      </c>
      <c r="AD91" s="746" t="s">
        <v>462</v>
      </c>
      <c r="AE91" s="74" t="s">
        <v>462</v>
      </c>
      <c r="AF91" s="753" t="s">
        <v>462</v>
      </c>
      <c r="AG91" s="746" t="s">
        <v>462</v>
      </c>
      <c r="AH91" s="74" t="s">
        <v>462</v>
      </c>
      <c r="AI91" s="753" t="s">
        <v>462</v>
      </c>
      <c r="AJ91" s="746" t="s">
        <v>462</v>
      </c>
      <c r="AK91" s="74" t="s">
        <v>462</v>
      </c>
      <c r="AL91" s="753" t="s">
        <v>462</v>
      </c>
      <c r="AM91" s="746" t="s">
        <v>462</v>
      </c>
      <c r="AN91" s="74" t="s">
        <v>462</v>
      </c>
      <c r="AO91" s="749" t="s">
        <v>462</v>
      </c>
      <c r="AP91" s="746" t="s">
        <v>462</v>
      </c>
      <c r="AQ91" s="74" t="s">
        <v>462</v>
      </c>
      <c r="AR91" s="749" t="s">
        <v>462</v>
      </c>
      <c r="AS91" s="746" t="s">
        <v>462</v>
      </c>
      <c r="AT91" s="74" t="s">
        <v>462</v>
      </c>
      <c r="AU91" s="749" t="s">
        <v>462</v>
      </c>
      <c r="AV91" s="746" t="s">
        <v>462</v>
      </c>
      <c r="AW91" s="74" t="s">
        <v>462</v>
      </c>
      <c r="AX91" s="753" t="s">
        <v>462</v>
      </c>
      <c r="AY91" s="746" t="s">
        <v>462</v>
      </c>
      <c r="AZ91" s="74" t="s">
        <v>462</v>
      </c>
      <c r="BA91" s="1037" t="s">
        <v>462</v>
      </c>
      <c r="BB91" s="746" t="s">
        <v>462</v>
      </c>
      <c r="BC91" s="74" t="s">
        <v>462</v>
      </c>
      <c r="BD91" s="1037" t="s">
        <v>462</v>
      </c>
      <c r="BE91" s="746" t="s">
        <v>462</v>
      </c>
      <c r="BF91" s="74" t="s">
        <v>462</v>
      </c>
      <c r="BG91" s="1037" t="s">
        <v>462</v>
      </c>
      <c r="BH91" s="746" t="s">
        <v>462</v>
      </c>
      <c r="BI91" s="74" t="s">
        <v>462</v>
      </c>
      <c r="BJ91" s="1037" t="s">
        <v>462</v>
      </c>
      <c r="BK91" s="746" t="s">
        <v>462</v>
      </c>
      <c r="BL91" s="74" t="s">
        <v>462</v>
      </c>
      <c r="BM91" s="1037" t="s">
        <v>462</v>
      </c>
      <c r="BN91" s="746" t="s">
        <v>462</v>
      </c>
      <c r="BO91" s="74" t="s">
        <v>462</v>
      </c>
      <c r="BP91" s="1037" t="s">
        <v>462</v>
      </c>
      <c r="BQ91" s="126"/>
      <c r="BR91" s="141" t="s">
        <v>477</v>
      </c>
      <c r="BS91" s="759" t="s">
        <v>476</v>
      </c>
      <c r="BT91" s="773">
        <v>0.85</v>
      </c>
      <c r="BU91" s="852" t="s">
        <v>484</v>
      </c>
      <c r="BV91" s="759" t="s">
        <v>476</v>
      </c>
      <c r="BW91" s="119">
        <v>1.0</v>
      </c>
      <c r="BX91" s="852" t="s">
        <v>484</v>
      </c>
      <c r="BY91" s="759" t="s">
        <v>476</v>
      </c>
      <c r="BZ91" s="92">
        <v>1.0</v>
      </c>
      <c r="CA91" s="746" t="s">
        <v>485</v>
      </c>
      <c r="CB91" s="759" t="s">
        <v>476</v>
      </c>
      <c r="CC91" s="1760">
        <v>1.0</v>
      </c>
      <c r="CD91" s="746" t="s">
        <v>485</v>
      </c>
      <c r="CE91" s="759" t="s">
        <v>476</v>
      </c>
      <c r="CF91" s="1760">
        <v>1.0</v>
      </c>
      <c r="CG91" s="135"/>
      <c r="CH91" s="135"/>
      <c r="CI91" s="135"/>
    </row>
    <row r="92" ht="15.0" customHeight="1" outlineLevel="1">
      <c r="A92" s="60">
        <v>65.0</v>
      </c>
      <c r="B92" s="971" t="s">
        <v>229</v>
      </c>
      <c r="C92" s="60">
        <v>65.0</v>
      </c>
      <c r="D92" s="294"/>
      <c r="E92" s="294"/>
      <c r="F92" s="294"/>
      <c r="G92" s="294"/>
      <c r="H92" s="975"/>
      <c r="I92" s="1761"/>
      <c r="J92" s="294"/>
      <c r="K92" s="293"/>
      <c r="L92" s="293"/>
      <c r="M92" s="866"/>
      <c r="N92" s="975"/>
      <c r="O92" s="1761"/>
      <c r="P92" s="293"/>
      <c r="Q92" s="865"/>
      <c r="R92" s="866"/>
      <c r="S92" s="867"/>
      <c r="T92" s="868"/>
      <c r="U92" s="866"/>
      <c r="V92" s="867"/>
      <c r="W92" s="868"/>
      <c r="X92" s="866"/>
      <c r="Y92" s="867"/>
      <c r="Z92" s="868"/>
      <c r="AA92" s="977"/>
      <c r="AB92" s="867"/>
      <c r="AC92" s="978"/>
      <c r="AD92" s="977"/>
      <c r="AE92" s="867"/>
      <c r="AF92" s="978"/>
      <c r="AG92" s="977"/>
      <c r="AH92" s="867"/>
      <c r="AI92" s="978"/>
      <c r="AJ92" s="977"/>
      <c r="AK92" s="867"/>
      <c r="AL92" s="978"/>
      <c r="AM92" s="866"/>
      <c r="AN92" s="867"/>
      <c r="AO92" s="868"/>
      <c r="AP92" s="866"/>
      <c r="AQ92" s="867"/>
      <c r="AR92" s="868"/>
      <c r="AS92" s="866"/>
      <c r="AT92" s="867"/>
      <c r="AU92" s="868"/>
      <c r="AV92" s="977"/>
      <c r="AW92" s="867"/>
      <c r="AX92" s="871"/>
      <c r="AY92" s="977"/>
      <c r="AZ92" s="867"/>
      <c r="BA92" s="1217"/>
      <c r="BB92" s="977"/>
      <c r="BC92" s="867"/>
      <c r="BD92" s="1217"/>
      <c r="BE92" s="977"/>
      <c r="BF92" s="867"/>
      <c r="BG92" s="1217"/>
      <c r="BH92" s="977"/>
      <c r="BI92" s="867"/>
      <c r="BJ92" s="1217"/>
      <c r="BK92" s="977"/>
      <c r="BL92" s="867"/>
      <c r="BM92" s="1217"/>
      <c r="BN92" s="977"/>
      <c r="BO92" s="867"/>
      <c r="BP92" s="1217"/>
      <c r="BQ92" s="1210"/>
      <c r="BR92" s="1762"/>
      <c r="BS92" s="867"/>
      <c r="BT92" s="868"/>
      <c r="BU92" s="977"/>
      <c r="BV92" s="867"/>
      <c r="BW92" s="868"/>
      <c r="BX92" s="977"/>
      <c r="BY92" s="867"/>
      <c r="BZ92" s="978"/>
      <c r="CA92" s="977"/>
      <c r="CB92" s="867"/>
      <c r="CC92" s="1763"/>
      <c r="CD92" s="1762"/>
      <c r="CE92" s="867"/>
      <c r="CF92" s="1763"/>
      <c r="CG92" s="186"/>
      <c r="CH92" s="186"/>
      <c r="CI92" s="186"/>
    </row>
    <row r="93" ht="15.0" customHeight="1" outlineLevel="1">
      <c r="A93" s="60">
        <v>90.0</v>
      </c>
      <c r="B93" s="747" t="str">
        <f>"CPQ11" &amp; "-" &amp; D93 &amp; "-" &amp; E93 &amp; "-" &amp; F93 &amp; "-" &amp; G93 &amp; H93</f>
        <v>CPQ11-CIVL-SIGN-SITE-R22.rvt</v>
      </c>
      <c r="C93" s="60">
        <v>90.0</v>
      </c>
      <c r="D93" s="74" t="s">
        <v>2152</v>
      </c>
      <c r="E93" s="74" t="s">
        <v>2185</v>
      </c>
      <c r="F93" s="71" t="s">
        <v>90</v>
      </c>
      <c r="G93" s="74" t="s">
        <v>482</v>
      </c>
      <c r="H93" s="1713" t="s">
        <v>2124</v>
      </c>
      <c r="I93" s="146" t="s">
        <v>115</v>
      </c>
      <c r="J93" s="754">
        <v>0.0</v>
      </c>
      <c r="K93" s="139" t="s">
        <v>115</v>
      </c>
      <c r="L93" s="150">
        <v>0.0</v>
      </c>
      <c r="M93" s="746" t="str">
        <f>IFERROR(VLOOKUP(B90:B280,'RELATÓRIO ACC'!B:F,5,FALSE),"N/A")</f>
        <v>N/A</v>
      </c>
      <c r="N93" s="748" t="str">
        <f>IFERROR(VLOOKUP(B90:B280,'RELATÓRIO ACC'!B:P,15,FALSE),"N/A")</f>
        <v>N/A</v>
      </c>
      <c r="O93" s="141" t="s">
        <v>462</v>
      </c>
      <c r="P93" s="749" t="s">
        <v>462</v>
      </c>
      <c r="Q93" s="751"/>
      <c r="R93" s="746" t="s">
        <v>466</v>
      </c>
      <c r="S93" s="74" t="s">
        <v>462</v>
      </c>
      <c r="T93" s="749" t="s">
        <v>462</v>
      </c>
      <c r="U93" s="746" t="s">
        <v>466</v>
      </c>
      <c r="V93" s="74" t="s">
        <v>462</v>
      </c>
      <c r="W93" s="749" t="s">
        <v>462</v>
      </c>
      <c r="X93" s="746" t="s">
        <v>466</v>
      </c>
      <c r="Y93" s="74" t="s">
        <v>462</v>
      </c>
      <c r="Z93" s="749" t="s">
        <v>462</v>
      </c>
      <c r="AA93" s="746" t="s">
        <v>466</v>
      </c>
      <c r="AB93" s="74" t="s">
        <v>462</v>
      </c>
      <c r="AC93" s="753" t="s">
        <v>462</v>
      </c>
      <c r="AD93" s="746" t="s">
        <v>466</v>
      </c>
      <c r="AE93" s="74" t="s">
        <v>462</v>
      </c>
      <c r="AF93" s="753" t="s">
        <v>462</v>
      </c>
      <c r="AG93" s="746" t="s">
        <v>466</v>
      </c>
      <c r="AH93" s="74" t="s">
        <v>462</v>
      </c>
      <c r="AI93" s="753" t="s">
        <v>462</v>
      </c>
      <c r="AJ93" s="746" t="s">
        <v>466</v>
      </c>
      <c r="AK93" s="74" t="s">
        <v>462</v>
      </c>
      <c r="AL93" s="753" t="s">
        <v>462</v>
      </c>
      <c r="AM93" s="746" t="s">
        <v>466</v>
      </c>
      <c r="AN93" s="74" t="s">
        <v>462</v>
      </c>
      <c r="AO93" s="749" t="s">
        <v>462</v>
      </c>
      <c r="AP93" s="746" t="s">
        <v>466</v>
      </c>
      <c r="AQ93" s="74" t="s">
        <v>462</v>
      </c>
      <c r="AR93" s="749" t="s">
        <v>462</v>
      </c>
      <c r="AS93" s="746" t="s">
        <v>466</v>
      </c>
      <c r="AT93" s="74" t="s">
        <v>462</v>
      </c>
      <c r="AU93" s="749" t="s">
        <v>462</v>
      </c>
      <c r="AV93" s="746" t="s">
        <v>466</v>
      </c>
      <c r="AW93" s="74" t="s">
        <v>462</v>
      </c>
      <c r="AX93" s="753" t="s">
        <v>462</v>
      </c>
      <c r="AY93" s="746" t="s">
        <v>466</v>
      </c>
      <c r="AZ93" s="74" t="s">
        <v>462</v>
      </c>
      <c r="BA93" s="1037" t="s">
        <v>462</v>
      </c>
      <c r="BB93" s="746" t="s">
        <v>466</v>
      </c>
      <c r="BC93" s="74" t="s">
        <v>462</v>
      </c>
      <c r="BD93" s="1037" t="s">
        <v>462</v>
      </c>
      <c r="BE93" s="746" t="s">
        <v>466</v>
      </c>
      <c r="BF93" s="74" t="s">
        <v>462</v>
      </c>
      <c r="BG93" s="1037" t="s">
        <v>462</v>
      </c>
      <c r="BH93" s="746" t="s">
        <v>466</v>
      </c>
      <c r="BI93" s="74" t="s">
        <v>462</v>
      </c>
      <c r="BJ93" s="1037" t="s">
        <v>462</v>
      </c>
      <c r="BK93" s="746" t="s">
        <v>466</v>
      </c>
      <c r="BL93" s="74" t="s">
        <v>462</v>
      </c>
      <c r="BM93" s="1037" t="s">
        <v>462</v>
      </c>
      <c r="BN93" s="746" t="s">
        <v>466</v>
      </c>
      <c r="BO93" s="74" t="s">
        <v>462</v>
      </c>
      <c r="BP93" s="1037" t="s">
        <v>462</v>
      </c>
      <c r="BQ93" s="126"/>
      <c r="BR93" s="141" t="s">
        <v>466</v>
      </c>
      <c r="BS93" s="125" t="s">
        <v>462</v>
      </c>
      <c r="BT93" s="749" t="s">
        <v>462</v>
      </c>
      <c r="BU93" s="746" t="s">
        <v>466</v>
      </c>
      <c r="BV93" s="74" t="s">
        <v>462</v>
      </c>
      <c r="BW93" s="749" t="s">
        <v>462</v>
      </c>
      <c r="BX93" s="746" t="s">
        <v>466</v>
      </c>
      <c r="BY93" s="74" t="s">
        <v>462</v>
      </c>
      <c r="BZ93" s="753" t="s">
        <v>462</v>
      </c>
      <c r="CA93" s="746" t="s">
        <v>466</v>
      </c>
      <c r="CB93" s="74" t="s">
        <v>462</v>
      </c>
      <c r="CC93" s="1714" t="s">
        <v>462</v>
      </c>
      <c r="CD93" s="746" t="s">
        <v>466</v>
      </c>
      <c r="CE93" s="74" t="s">
        <v>462</v>
      </c>
      <c r="CF93" s="1714" t="s">
        <v>462</v>
      </c>
      <c r="CG93" s="68"/>
      <c r="CH93" s="68"/>
      <c r="CI93" s="68"/>
    </row>
    <row r="94" ht="15.0" customHeight="1" outlineLevel="1">
      <c r="A94" s="60">
        <v>36.0</v>
      </c>
      <c r="B94" s="809" t="s">
        <v>173</v>
      </c>
      <c r="C94" s="60">
        <v>36.0</v>
      </c>
      <c r="D94" s="191"/>
      <c r="E94" s="191"/>
      <c r="F94" s="191"/>
      <c r="G94" s="191"/>
      <c r="H94" s="812"/>
      <c r="I94" s="811"/>
      <c r="J94" s="191"/>
      <c r="K94" s="190"/>
      <c r="L94" s="190"/>
      <c r="M94" s="813"/>
      <c r="N94" s="812"/>
      <c r="O94" s="811"/>
      <c r="P94" s="190"/>
      <c r="Q94" s="243"/>
      <c r="R94" s="813"/>
      <c r="S94" s="876"/>
      <c r="T94" s="877"/>
      <c r="U94" s="813"/>
      <c r="V94" s="876"/>
      <c r="W94" s="877"/>
      <c r="X94" s="813"/>
      <c r="Y94" s="876"/>
      <c r="Z94" s="877"/>
      <c r="AA94" s="878"/>
      <c r="AB94" s="876"/>
      <c r="AC94" s="959"/>
      <c r="AD94" s="878"/>
      <c r="AE94" s="876"/>
      <c r="AF94" s="959"/>
      <c r="AG94" s="878"/>
      <c r="AH94" s="876"/>
      <c r="AI94" s="959"/>
      <c r="AJ94" s="878"/>
      <c r="AK94" s="876"/>
      <c r="AL94" s="959"/>
      <c r="AM94" s="813"/>
      <c r="AN94" s="876"/>
      <c r="AO94" s="877"/>
      <c r="AP94" s="813"/>
      <c r="AQ94" s="876"/>
      <c r="AR94" s="877"/>
      <c r="AS94" s="813"/>
      <c r="AT94" s="876"/>
      <c r="AU94" s="877"/>
      <c r="AV94" s="878"/>
      <c r="AW94" s="876"/>
      <c r="AX94" s="959"/>
      <c r="AY94" s="878"/>
      <c r="AZ94" s="876"/>
      <c r="BA94" s="1169"/>
      <c r="BB94" s="878"/>
      <c r="BC94" s="876"/>
      <c r="BD94" s="1169"/>
      <c r="BE94" s="878"/>
      <c r="BF94" s="876"/>
      <c r="BG94" s="1169"/>
      <c r="BH94" s="878"/>
      <c r="BI94" s="876"/>
      <c r="BJ94" s="1169"/>
      <c r="BK94" s="878"/>
      <c r="BL94" s="876"/>
      <c r="BM94" s="1169"/>
      <c r="BN94" s="878"/>
      <c r="BO94" s="876"/>
      <c r="BP94" s="1169"/>
      <c r="BQ94" s="1210"/>
      <c r="BR94" s="1696"/>
      <c r="BS94" s="1697"/>
      <c r="BT94" s="1698"/>
      <c r="BU94" s="1699"/>
      <c r="BV94" s="1697"/>
      <c r="BW94" s="1698"/>
      <c r="BX94" s="1699"/>
      <c r="BY94" s="1697"/>
      <c r="BZ94" s="1701"/>
      <c r="CA94" s="1699"/>
      <c r="CB94" s="1697"/>
      <c r="CC94" s="1702"/>
      <c r="CD94" s="1699"/>
      <c r="CE94" s="1697"/>
      <c r="CF94" s="1702"/>
      <c r="CG94" s="215"/>
      <c r="CH94" s="215"/>
      <c r="CI94" s="215"/>
    </row>
    <row r="95" ht="15.0" customHeight="1">
      <c r="A95" s="60">
        <v>59.0</v>
      </c>
      <c r="B95" s="881" t="s">
        <v>219</v>
      </c>
      <c r="C95" s="60">
        <v>59.0</v>
      </c>
      <c r="D95" s="264"/>
      <c r="E95" s="264"/>
      <c r="F95" s="264"/>
      <c r="G95" s="264"/>
      <c r="H95" s="883"/>
      <c r="I95" s="264"/>
      <c r="J95" s="264"/>
      <c r="K95" s="264"/>
      <c r="L95" s="265"/>
      <c r="M95" s="882"/>
      <c r="N95" s="883"/>
      <c r="O95" s="264"/>
      <c r="P95" s="264"/>
      <c r="Q95" s="884"/>
      <c r="R95" s="885"/>
      <c r="S95" s="1764"/>
      <c r="T95" s="887"/>
      <c r="U95" s="885"/>
      <c r="V95" s="886"/>
      <c r="W95" s="887"/>
      <c r="X95" s="885"/>
      <c r="Y95" s="886"/>
      <c r="Z95" s="887"/>
      <c r="AA95" s="888"/>
      <c r="AB95" s="889"/>
      <c r="AC95" s="890"/>
      <c r="AD95" s="891"/>
      <c r="AE95" s="892"/>
      <c r="AF95" s="893"/>
      <c r="AG95" s="894"/>
      <c r="AH95" s="894"/>
      <c r="AI95" s="894"/>
      <c r="AJ95" s="894"/>
      <c r="AK95" s="894"/>
      <c r="AL95" s="894"/>
      <c r="AM95" s="885"/>
      <c r="AN95" s="886"/>
      <c r="AO95" s="887"/>
      <c r="AP95" s="885"/>
      <c r="AQ95" s="886"/>
      <c r="AR95" s="887"/>
      <c r="AS95" s="885"/>
      <c r="AT95" s="886"/>
      <c r="AU95" s="887"/>
      <c r="AV95" s="888"/>
      <c r="AW95" s="889"/>
      <c r="AX95" s="890"/>
      <c r="AY95" s="894"/>
      <c r="AZ95" s="894"/>
      <c r="BA95" s="1089"/>
      <c r="BB95" s="894"/>
      <c r="BC95" s="894"/>
      <c r="BD95" s="894"/>
      <c r="BE95" s="894"/>
      <c r="BF95" s="894"/>
      <c r="BG95" s="894"/>
      <c r="BH95" s="894"/>
      <c r="BI95" s="894"/>
      <c r="BJ95" s="1089"/>
      <c r="BK95" s="894"/>
      <c r="BL95" s="894"/>
      <c r="BM95" s="894"/>
      <c r="BN95" s="894"/>
      <c r="BO95" s="894"/>
      <c r="BP95" s="894"/>
      <c r="BQ95" s="186"/>
      <c r="BR95" s="1765"/>
      <c r="BS95" s="886"/>
      <c r="BT95" s="887"/>
      <c r="BU95" s="1175"/>
      <c r="BV95" s="886"/>
      <c r="BW95" s="887"/>
      <c r="BX95" s="1766"/>
      <c r="BY95" s="894"/>
      <c r="BZ95" s="893"/>
      <c r="CA95" s="894"/>
      <c r="CB95" s="894"/>
      <c r="CC95" s="1767"/>
      <c r="CD95" s="894"/>
      <c r="CE95" s="894"/>
      <c r="CF95" s="1767"/>
      <c r="CG95" s="186"/>
      <c r="CH95" s="186"/>
      <c r="CI95" s="186"/>
    </row>
    <row r="96" ht="15.0" customHeight="1" outlineLevel="1">
      <c r="A96" s="60">
        <v>38.0</v>
      </c>
      <c r="B96" s="809" t="s">
        <v>177</v>
      </c>
      <c r="C96" s="60">
        <v>38.0</v>
      </c>
      <c r="D96" s="191"/>
      <c r="E96" s="191"/>
      <c r="F96" s="191"/>
      <c r="G96" s="191"/>
      <c r="H96" s="812"/>
      <c r="I96" s="811"/>
      <c r="J96" s="189"/>
      <c r="K96" s="190"/>
      <c r="L96" s="190"/>
      <c r="M96" s="813"/>
      <c r="N96" s="812"/>
      <c r="O96" s="811"/>
      <c r="P96" s="190"/>
      <c r="Q96" s="243"/>
      <c r="R96" s="813"/>
      <c r="S96" s="876"/>
      <c r="T96" s="1768"/>
      <c r="U96" s="813"/>
      <c r="V96" s="876"/>
      <c r="W96" s="877"/>
      <c r="X96" s="213"/>
      <c r="Y96" s="876"/>
      <c r="Z96" s="877"/>
      <c r="AA96" s="878"/>
      <c r="AB96" s="876"/>
      <c r="AC96" s="879"/>
      <c r="AD96" s="1769"/>
      <c r="AE96" s="876"/>
      <c r="AF96" s="1770"/>
      <c r="AG96" s="878"/>
      <c r="AH96" s="876"/>
      <c r="AI96" s="898"/>
      <c r="AJ96" s="878"/>
      <c r="AK96" s="876"/>
      <c r="AL96" s="898"/>
      <c r="AM96" s="813"/>
      <c r="AN96" s="876"/>
      <c r="AO96" s="877"/>
      <c r="AP96" s="813"/>
      <c r="AQ96" s="876"/>
      <c r="AR96" s="877"/>
      <c r="AS96" s="260"/>
      <c r="AT96" s="876"/>
      <c r="AU96" s="877"/>
      <c r="AV96" s="878"/>
      <c r="AW96" s="876"/>
      <c r="AX96" s="879"/>
      <c r="AY96" s="878"/>
      <c r="AZ96" s="876"/>
      <c r="BA96" s="1169"/>
      <c r="BB96" s="878"/>
      <c r="BC96" s="876"/>
      <c r="BD96" s="1169"/>
      <c r="BE96" s="878"/>
      <c r="BF96" s="876"/>
      <c r="BG96" s="1169"/>
      <c r="BH96" s="878"/>
      <c r="BI96" s="876"/>
      <c r="BJ96" s="1169"/>
      <c r="BK96" s="878"/>
      <c r="BL96" s="876"/>
      <c r="BM96" s="1169"/>
      <c r="BN96" s="878"/>
      <c r="BO96" s="876"/>
      <c r="BP96" s="1169"/>
      <c r="BQ96" s="1210"/>
      <c r="BR96" s="1768"/>
      <c r="BS96" s="876"/>
      <c r="BT96" s="877"/>
      <c r="BU96" s="878"/>
      <c r="BV96" s="876"/>
      <c r="BW96" s="877"/>
      <c r="BX96" s="1771"/>
      <c r="BY96" s="876"/>
      <c r="BZ96" s="959"/>
      <c r="CA96" s="1768"/>
      <c r="CB96" s="876"/>
      <c r="CC96" s="1772"/>
      <c r="CD96" s="1768"/>
      <c r="CE96" s="876"/>
      <c r="CF96" s="1772"/>
      <c r="CG96" s="186"/>
      <c r="CH96" s="186"/>
      <c r="CI96" s="186"/>
    </row>
    <row r="97" ht="15.0" customHeight="1" outlineLevel="1">
      <c r="A97" s="60">
        <v>67.0</v>
      </c>
      <c r="B97" s="1773" t="s">
        <v>233</v>
      </c>
      <c r="C97" s="60">
        <v>67.0</v>
      </c>
      <c r="D97" s="322"/>
      <c r="E97" s="322"/>
      <c r="F97" s="322"/>
      <c r="G97" s="322"/>
      <c r="H97" s="1774"/>
      <c r="I97" s="1775"/>
      <c r="J97" s="322"/>
      <c r="K97" s="321"/>
      <c r="L97" s="321"/>
      <c r="M97" s="900"/>
      <c r="N97" s="1774"/>
      <c r="O97" s="1775"/>
      <c r="P97" s="321"/>
      <c r="Q97" s="326"/>
      <c r="R97" s="343"/>
      <c r="S97" s="322"/>
      <c r="T97" s="320"/>
      <c r="U97" s="900"/>
      <c r="V97" s="322"/>
      <c r="W97" s="321"/>
      <c r="X97" s="900"/>
      <c r="Y97" s="322"/>
      <c r="Z97" s="321"/>
      <c r="AA97" s="900"/>
      <c r="AB97" s="322"/>
      <c r="AC97" s="1774"/>
      <c r="AD97" s="900"/>
      <c r="AE97" s="322"/>
      <c r="AF97" s="1774"/>
      <c r="AG97" s="900"/>
      <c r="AH97" s="322"/>
      <c r="AI97" s="1774"/>
      <c r="AJ97" s="900"/>
      <c r="AK97" s="322"/>
      <c r="AL97" s="1774"/>
      <c r="AM97" s="900"/>
      <c r="AN97" s="322"/>
      <c r="AO97" s="321"/>
      <c r="AP97" s="900"/>
      <c r="AQ97" s="322"/>
      <c r="AR97" s="321"/>
      <c r="AS97" s="900"/>
      <c r="AT97" s="322"/>
      <c r="AU97" s="321"/>
      <c r="AV97" s="900"/>
      <c r="AW97" s="322"/>
      <c r="AX97" s="1774"/>
      <c r="AY97" s="900"/>
      <c r="AZ97" s="322"/>
      <c r="BA97" s="1776"/>
      <c r="BB97" s="900"/>
      <c r="BC97" s="322"/>
      <c r="BD97" s="1776"/>
      <c r="BE97" s="900"/>
      <c r="BF97" s="322"/>
      <c r="BG97" s="1776"/>
      <c r="BH97" s="900"/>
      <c r="BI97" s="322"/>
      <c r="BJ97" s="1776"/>
      <c r="BK97" s="900"/>
      <c r="BL97" s="322"/>
      <c r="BM97" s="1776"/>
      <c r="BN97" s="900"/>
      <c r="BO97" s="322"/>
      <c r="BP97" s="1776"/>
      <c r="BQ97" s="126"/>
      <c r="BR97" s="1775"/>
      <c r="BS97" s="322"/>
      <c r="BT97" s="321"/>
      <c r="BU97" s="900"/>
      <c r="BV97" s="322"/>
      <c r="BW97" s="321"/>
      <c r="BX97" s="1777"/>
      <c r="BY97" s="322"/>
      <c r="BZ97" s="1774"/>
      <c r="CA97" s="900"/>
      <c r="CB97" s="322"/>
      <c r="CC97" s="1778"/>
      <c r="CD97" s="1775"/>
      <c r="CE97" s="322"/>
      <c r="CF97" s="1778"/>
      <c r="CG97" s="68"/>
      <c r="CH97" s="68"/>
      <c r="CI97" s="68"/>
    </row>
    <row r="98" ht="15.0" customHeight="1" outlineLevel="1">
      <c r="A98" s="60">
        <v>70.0</v>
      </c>
      <c r="B98" s="908" t="s">
        <v>238</v>
      </c>
      <c r="C98" s="60">
        <v>70.0</v>
      </c>
      <c r="D98" s="349"/>
      <c r="E98" s="349"/>
      <c r="F98" s="349"/>
      <c r="G98" s="349"/>
      <c r="H98" s="912"/>
      <c r="I98" s="910"/>
      <c r="J98" s="349"/>
      <c r="K98" s="348"/>
      <c r="L98" s="348"/>
      <c r="M98" s="911"/>
      <c r="N98" s="912"/>
      <c r="O98" s="910"/>
      <c r="P98" s="348"/>
      <c r="Q98" s="913"/>
      <c r="R98" s="911"/>
      <c r="S98" s="914"/>
      <c r="T98" s="915"/>
      <c r="U98" s="911"/>
      <c r="V98" s="914"/>
      <c r="W98" s="916"/>
      <c r="X98" s="917"/>
      <c r="Y98" s="914"/>
      <c r="Z98" s="916"/>
      <c r="AA98" s="918"/>
      <c r="AB98" s="914"/>
      <c r="AC98" s="919"/>
      <c r="AD98" s="918"/>
      <c r="AE98" s="914"/>
      <c r="AF98" s="1779"/>
      <c r="AG98" s="918"/>
      <c r="AH98" s="914"/>
      <c r="AI98" s="1779"/>
      <c r="AJ98" s="918"/>
      <c r="AK98" s="914"/>
      <c r="AL98" s="1779"/>
      <c r="AM98" s="918"/>
      <c r="AN98" s="914"/>
      <c r="AO98" s="916"/>
      <c r="AP98" s="911"/>
      <c r="AQ98" s="914"/>
      <c r="AR98" s="916"/>
      <c r="AS98" s="917"/>
      <c r="AT98" s="914"/>
      <c r="AU98" s="916"/>
      <c r="AV98" s="918"/>
      <c r="AW98" s="914"/>
      <c r="AX98" s="919"/>
      <c r="AY98" s="918"/>
      <c r="AZ98" s="914"/>
      <c r="BA98" s="1212"/>
      <c r="BB98" s="918"/>
      <c r="BC98" s="914"/>
      <c r="BD98" s="1212"/>
      <c r="BE98" s="918"/>
      <c r="BF98" s="914"/>
      <c r="BG98" s="1212"/>
      <c r="BH98" s="918"/>
      <c r="BI98" s="914"/>
      <c r="BJ98" s="1212"/>
      <c r="BK98" s="918"/>
      <c r="BL98" s="914"/>
      <c r="BM98" s="1212"/>
      <c r="BN98" s="918"/>
      <c r="BO98" s="914"/>
      <c r="BP98" s="1212"/>
      <c r="BQ98" s="1210"/>
      <c r="BR98" s="915"/>
      <c r="BS98" s="914"/>
      <c r="BT98" s="916"/>
      <c r="BU98" s="918"/>
      <c r="BV98" s="914"/>
      <c r="BW98" s="916"/>
      <c r="BX98" s="1780"/>
      <c r="BY98" s="914"/>
      <c r="BZ98" s="1781"/>
      <c r="CA98" s="915"/>
      <c r="CB98" s="914"/>
      <c r="CC98" s="1782"/>
      <c r="CD98" s="915"/>
      <c r="CE98" s="914"/>
      <c r="CF98" s="1782"/>
      <c r="CG98" s="186"/>
      <c r="CH98" s="186"/>
      <c r="CI98" s="186"/>
    </row>
    <row r="99" ht="15.0" customHeight="1" outlineLevel="1">
      <c r="A99" s="60">
        <v>84.0</v>
      </c>
      <c r="B99" s="923" t="s">
        <v>266</v>
      </c>
      <c r="C99" s="60">
        <v>84.0</v>
      </c>
      <c r="D99" s="433"/>
      <c r="E99" s="433"/>
      <c r="F99" s="433"/>
      <c r="G99" s="433"/>
      <c r="H99" s="927"/>
      <c r="I99" s="925"/>
      <c r="J99" s="433"/>
      <c r="K99" s="432"/>
      <c r="L99" s="432"/>
      <c r="M99" s="926"/>
      <c r="N99" s="927"/>
      <c r="O99" s="925"/>
      <c r="P99" s="432"/>
      <c r="Q99" s="928"/>
      <c r="R99" s="926"/>
      <c r="S99" s="929"/>
      <c r="T99" s="930"/>
      <c r="U99" s="926"/>
      <c r="V99" s="929"/>
      <c r="W99" s="931"/>
      <c r="X99" s="926"/>
      <c r="Y99" s="929"/>
      <c r="Z99" s="931"/>
      <c r="AA99" s="933"/>
      <c r="AB99" s="929"/>
      <c r="AC99" s="1783"/>
      <c r="AD99" s="933"/>
      <c r="AE99" s="929"/>
      <c r="AF99" s="1783"/>
      <c r="AG99" s="933"/>
      <c r="AH99" s="929"/>
      <c r="AI99" s="1783"/>
      <c r="AJ99" s="933"/>
      <c r="AK99" s="929"/>
      <c r="AL99" s="1783"/>
      <c r="AM99" s="933"/>
      <c r="AN99" s="1122"/>
      <c r="AO99" s="1123"/>
      <c r="AP99" s="926"/>
      <c r="AQ99" s="1122"/>
      <c r="AR99" s="1123"/>
      <c r="AS99" s="926"/>
      <c r="AT99" s="1122"/>
      <c r="AU99" s="1123"/>
      <c r="AV99" s="1213"/>
      <c r="AW99" s="1122"/>
      <c r="AX99" s="1126"/>
      <c r="AY99" s="1213"/>
      <c r="AZ99" s="1122"/>
      <c r="BA99" s="1214"/>
      <c r="BB99" s="1213"/>
      <c r="BC99" s="1122"/>
      <c r="BD99" s="1214"/>
      <c r="BE99" s="1213"/>
      <c r="BF99" s="1122"/>
      <c r="BG99" s="1214"/>
      <c r="BH99" s="1213"/>
      <c r="BI99" s="1122"/>
      <c r="BJ99" s="1214"/>
      <c r="BK99" s="1213"/>
      <c r="BL99" s="1122"/>
      <c r="BM99" s="1214"/>
      <c r="BN99" s="1213"/>
      <c r="BO99" s="1122"/>
      <c r="BP99" s="1214"/>
      <c r="BQ99" s="1210"/>
      <c r="BR99" s="1784"/>
      <c r="BS99" s="1785"/>
      <c r="BT99" s="1786"/>
      <c r="BU99" s="1787"/>
      <c r="BV99" s="1785"/>
      <c r="BW99" s="1786"/>
      <c r="BX99" s="1788"/>
      <c r="BY99" s="1785"/>
      <c r="BZ99" s="1789"/>
      <c r="CA99" s="1784"/>
      <c r="CB99" s="1785"/>
      <c r="CC99" s="1790"/>
      <c r="CD99" s="1784"/>
      <c r="CE99" s="1785"/>
      <c r="CF99" s="1790"/>
      <c r="CG99" s="215"/>
      <c r="CH99" s="215"/>
      <c r="CI99" s="215"/>
    </row>
    <row r="100" ht="15.0" customHeight="1" outlineLevel="1">
      <c r="A100" s="60">
        <v>97.0</v>
      </c>
      <c r="B100" s="747" t="str">
        <f t="shared" ref="B100:B107" si="3">"CPQ11" &amp; "-" &amp; D100 &amp; "-" &amp; E100 &amp; "-" &amp; F100 &amp; "-" &amp; G100 &amp; H100</f>
        <v>CPQ11-STRC-FLOO-DATA-R22.rvt</v>
      </c>
      <c r="C100" s="60">
        <v>97.0</v>
      </c>
      <c r="D100" s="74" t="s">
        <v>2175</v>
      </c>
      <c r="E100" s="74" t="s">
        <v>2186</v>
      </c>
      <c r="F100" s="71" t="s">
        <v>85</v>
      </c>
      <c r="G100" s="74" t="s">
        <v>482</v>
      </c>
      <c r="H100" s="1713" t="s">
        <v>2124</v>
      </c>
      <c r="I100" s="138" t="s">
        <v>2187</v>
      </c>
      <c r="J100" s="72">
        <v>1121.0</v>
      </c>
      <c r="K100" s="147" t="s">
        <v>119</v>
      </c>
      <c r="L100" s="150">
        <v>0.0</v>
      </c>
      <c r="M100" s="746" t="str">
        <f>IFERROR(VLOOKUP(B97:B287,'RELATÓRIO ACC'!B:F,5,FALSE),"N/A")</f>
        <v>N/A</v>
      </c>
      <c r="N100" s="748" t="str">
        <f>IFERROR(VLOOKUP(B97:B287,'RELATÓRIO ACC'!B:P,15,FALSE),"N/A")</f>
        <v>N/A</v>
      </c>
      <c r="O100" s="141" t="s">
        <v>462</v>
      </c>
      <c r="P100" s="749" t="s">
        <v>462</v>
      </c>
      <c r="Q100" s="751"/>
      <c r="R100" s="746" t="s">
        <v>466</v>
      </c>
      <c r="S100" s="133" t="s">
        <v>462</v>
      </c>
      <c r="T100" s="749" t="s">
        <v>462</v>
      </c>
      <c r="U100" s="746" t="s">
        <v>466</v>
      </c>
      <c r="V100" s="74" t="s">
        <v>462</v>
      </c>
      <c r="W100" s="749" t="s">
        <v>462</v>
      </c>
      <c r="X100" s="746" t="s">
        <v>466</v>
      </c>
      <c r="Y100" s="74" t="s">
        <v>462</v>
      </c>
      <c r="Z100" s="749" t="s">
        <v>462</v>
      </c>
      <c r="AA100" s="746" t="s">
        <v>466</v>
      </c>
      <c r="AB100" s="74" t="s">
        <v>462</v>
      </c>
      <c r="AC100" s="753" t="s">
        <v>462</v>
      </c>
      <c r="AD100" s="746" t="s">
        <v>466</v>
      </c>
      <c r="AE100" s="74" t="s">
        <v>462</v>
      </c>
      <c r="AF100" s="753" t="s">
        <v>462</v>
      </c>
      <c r="AG100" s="746" t="s">
        <v>466</v>
      </c>
      <c r="AH100" s="74" t="s">
        <v>462</v>
      </c>
      <c r="AI100" s="753" t="s">
        <v>462</v>
      </c>
      <c r="AJ100" s="746" t="s">
        <v>466</v>
      </c>
      <c r="AK100" s="74" t="s">
        <v>462</v>
      </c>
      <c r="AL100" s="753" t="s">
        <v>462</v>
      </c>
      <c r="AM100" s="746" t="s">
        <v>466</v>
      </c>
      <c r="AN100" s="74" t="s">
        <v>462</v>
      </c>
      <c r="AO100" s="749" t="s">
        <v>462</v>
      </c>
      <c r="AP100" s="746" t="s">
        <v>466</v>
      </c>
      <c r="AQ100" s="74" t="s">
        <v>462</v>
      </c>
      <c r="AR100" s="749" t="s">
        <v>462</v>
      </c>
      <c r="AS100" s="746" t="s">
        <v>466</v>
      </c>
      <c r="AT100" s="74" t="s">
        <v>462</v>
      </c>
      <c r="AU100" s="749" t="s">
        <v>462</v>
      </c>
      <c r="AV100" s="746" t="s">
        <v>466</v>
      </c>
      <c r="AW100" s="74" t="s">
        <v>462</v>
      </c>
      <c r="AX100" s="753" t="s">
        <v>462</v>
      </c>
      <c r="AY100" s="746" t="s">
        <v>466</v>
      </c>
      <c r="AZ100" s="74" t="s">
        <v>462</v>
      </c>
      <c r="BA100" s="1037" t="s">
        <v>462</v>
      </c>
      <c r="BB100" s="746" t="s">
        <v>466</v>
      </c>
      <c r="BC100" s="74" t="s">
        <v>462</v>
      </c>
      <c r="BD100" s="1037" t="s">
        <v>462</v>
      </c>
      <c r="BE100" s="746" t="s">
        <v>466</v>
      </c>
      <c r="BF100" s="74" t="s">
        <v>462</v>
      </c>
      <c r="BG100" s="1037" t="s">
        <v>462</v>
      </c>
      <c r="BH100" s="746" t="s">
        <v>466</v>
      </c>
      <c r="BI100" s="74" t="s">
        <v>462</v>
      </c>
      <c r="BJ100" s="1037" t="s">
        <v>462</v>
      </c>
      <c r="BK100" s="746" t="s">
        <v>466</v>
      </c>
      <c r="BL100" s="74" t="s">
        <v>462</v>
      </c>
      <c r="BM100" s="1037" t="s">
        <v>462</v>
      </c>
      <c r="BN100" s="746" t="s">
        <v>466</v>
      </c>
      <c r="BO100" s="74" t="s">
        <v>462</v>
      </c>
      <c r="BP100" s="1037" t="s">
        <v>462</v>
      </c>
      <c r="BQ100" s="126"/>
      <c r="BR100" s="141" t="s">
        <v>466</v>
      </c>
      <c r="BS100" s="125" t="s">
        <v>462</v>
      </c>
      <c r="BT100" s="749" t="s">
        <v>462</v>
      </c>
      <c r="BU100" s="746" t="s">
        <v>466</v>
      </c>
      <c r="BV100" s="74" t="s">
        <v>462</v>
      </c>
      <c r="BW100" s="749" t="s">
        <v>462</v>
      </c>
      <c r="BX100" s="746" t="s">
        <v>466</v>
      </c>
      <c r="BY100" s="74" t="s">
        <v>462</v>
      </c>
      <c r="BZ100" s="753" t="s">
        <v>462</v>
      </c>
      <c r="CA100" s="746" t="s">
        <v>466</v>
      </c>
      <c r="CB100" s="74" t="s">
        <v>462</v>
      </c>
      <c r="CC100" s="1714" t="s">
        <v>462</v>
      </c>
      <c r="CD100" s="746" t="s">
        <v>466</v>
      </c>
      <c r="CE100" s="74" t="s">
        <v>462</v>
      </c>
      <c r="CF100" s="1714" t="s">
        <v>462</v>
      </c>
      <c r="CG100" s="68"/>
      <c r="CH100" s="68"/>
      <c r="CI100" s="68"/>
    </row>
    <row r="101" ht="15.0" customHeight="1" outlineLevel="1">
      <c r="A101" s="60">
        <v>98.0</v>
      </c>
      <c r="B101" s="747" t="str">
        <f t="shared" si="3"/>
        <v>CPQ11-STRC-FLOO-SITE-R22.rvt</v>
      </c>
      <c r="C101" s="60">
        <v>98.0</v>
      </c>
      <c r="D101" s="74" t="s">
        <v>2175</v>
      </c>
      <c r="E101" s="74" t="s">
        <v>2186</v>
      </c>
      <c r="F101" s="71" t="s">
        <v>90</v>
      </c>
      <c r="G101" s="74" t="s">
        <v>482</v>
      </c>
      <c r="H101" s="1713" t="s">
        <v>2124</v>
      </c>
      <c r="I101" s="138" t="s">
        <v>2187</v>
      </c>
      <c r="J101" s="72"/>
      <c r="K101" s="147" t="s">
        <v>119</v>
      </c>
      <c r="L101" s="150"/>
      <c r="M101" s="746" t="str">
        <f>IFERROR(VLOOKUP(B98:B288,'RELATÓRIO ACC'!B:F,5,FALSE),"N/A")</f>
        <v>N/A</v>
      </c>
      <c r="N101" s="748" t="str">
        <f>IFERROR(VLOOKUP(B98:B288,'RELATÓRIO ACC'!B:P,15,FALSE),"N/A")</f>
        <v>N/A</v>
      </c>
      <c r="O101" s="141" t="s">
        <v>462</v>
      </c>
      <c r="P101" s="749" t="s">
        <v>462</v>
      </c>
      <c r="Q101" s="751"/>
      <c r="R101" s="746" t="s">
        <v>466</v>
      </c>
      <c r="S101" s="133" t="s">
        <v>462</v>
      </c>
      <c r="T101" s="749" t="s">
        <v>462</v>
      </c>
      <c r="U101" s="746" t="s">
        <v>466</v>
      </c>
      <c r="V101" s="74" t="s">
        <v>462</v>
      </c>
      <c r="W101" s="749" t="s">
        <v>462</v>
      </c>
      <c r="X101" s="746" t="s">
        <v>466</v>
      </c>
      <c r="Y101" s="74" t="s">
        <v>462</v>
      </c>
      <c r="Z101" s="749" t="s">
        <v>462</v>
      </c>
      <c r="AA101" s="746" t="s">
        <v>466</v>
      </c>
      <c r="AB101" s="74" t="s">
        <v>462</v>
      </c>
      <c r="AC101" s="753" t="s">
        <v>462</v>
      </c>
      <c r="AD101" s="746" t="s">
        <v>466</v>
      </c>
      <c r="AE101" s="74" t="s">
        <v>462</v>
      </c>
      <c r="AF101" s="753" t="s">
        <v>462</v>
      </c>
      <c r="AG101" s="746" t="s">
        <v>466</v>
      </c>
      <c r="AH101" s="74" t="s">
        <v>462</v>
      </c>
      <c r="AI101" s="753" t="s">
        <v>462</v>
      </c>
      <c r="AJ101" s="746" t="s">
        <v>466</v>
      </c>
      <c r="AK101" s="74" t="s">
        <v>462</v>
      </c>
      <c r="AL101" s="753" t="s">
        <v>462</v>
      </c>
      <c r="AM101" s="746" t="s">
        <v>466</v>
      </c>
      <c r="AN101" s="74" t="s">
        <v>462</v>
      </c>
      <c r="AO101" s="749" t="s">
        <v>462</v>
      </c>
      <c r="AP101" s="746" t="s">
        <v>466</v>
      </c>
      <c r="AQ101" s="74" t="s">
        <v>462</v>
      </c>
      <c r="AR101" s="749" t="s">
        <v>462</v>
      </c>
      <c r="AS101" s="746" t="s">
        <v>466</v>
      </c>
      <c r="AT101" s="74" t="s">
        <v>462</v>
      </c>
      <c r="AU101" s="749" t="s">
        <v>462</v>
      </c>
      <c r="AV101" s="746" t="s">
        <v>466</v>
      </c>
      <c r="AW101" s="74" t="s">
        <v>462</v>
      </c>
      <c r="AX101" s="753" t="s">
        <v>462</v>
      </c>
      <c r="AY101" s="746" t="s">
        <v>466</v>
      </c>
      <c r="AZ101" s="74" t="s">
        <v>462</v>
      </c>
      <c r="BA101" s="1037" t="s">
        <v>462</v>
      </c>
      <c r="BB101" s="746" t="s">
        <v>466</v>
      </c>
      <c r="BC101" s="74" t="s">
        <v>462</v>
      </c>
      <c r="BD101" s="1037" t="s">
        <v>462</v>
      </c>
      <c r="BE101" s="746" t="s">
        <v>466</v>
      </c>
      <c r="BF101" s="74" t="s">
        <v>462</v>
      </c>
      <c r="BG101" s="1037" t="s">
        <v>462</v>
      </c>
      <c r="BH101" s="746" t="s">
        <v>466</v>
      </c>
      <c r="BI101" s="74" t="s">
        <v>462</v>
      </c>
      <c r="BJ101" s="1037" t="s">
        <v>462</v>
      </c>
      <c r="BK101" s="746" t="s">
        <v>466</v>
      </c>
      <c r="BL101" s="74" t="s">
        <v>462</v>
      </c>
      <c r="BM101" s="1037" t="s">
        <v>462</v>
      </c>
      <c r="BN101" s="746" t="s">
        <v>466</v>
      </c>
      <c r="BO101" s="74" t="s">
        <v>462</v>
      </c>
      <c r="BP101" s="1037" t="s">
        <v>462</v>
      </c>
      <c r="BQ101" s="126"/>
      <c r="BR101" s="141" t="s">
        <v>466</v>
      </c>
      <c r="BS101" s="74" t="s">
        <v>462</v>
      </c>
      <c r="BT101" s="74" t="s">
        <v>462</v>
      </c>
      <c r="BU101" s="746" t="s">
        <v>466</v>
      </c>
      <c r="BV101" s="74" t="s">
        <v>462</v>
      </c>
      <c r="BW101" s="749" t="s">
        <v>462</v>
      </c>
      <c r="BX101" s="746" t="s">
        <v>466</v>
      </c>
      <c r="BY101" s="74" t="s">
        <v>462</v>
      </c>
      <c r="BZ101" s="753" t="s">
        <v>462</v>
      </c>
      <c r="CA101" s="746" t="s">
        <v>466</v>
      </c>
      <c r="CB101" s="74" t="s">
        <v>462</v>
      </c>
      <c r="CC101" s="1714" t="s">
        <v>462</v>
      </c>
      <c r="CD101" s="746" t="s">
        <v>466</v>
      </c>
      <c r="CE101" s="74" t="s">
        <v>462</v>
      </c>
      <c r="CF101" s="1714" t="s">
        <v>462</v>
      </c>
      <c r="CG101" s="68"/>
      <c r="CH101" s="68"/>
      <c r="CI101" s="68"/>
    </row>
    <row r="102" ht="15.0" customHeight="1" outlineLevel="1">
      <c r="A102" s="60">
        <v>99.0</v>
      </c>
      <c r="B102" s="747" t="str">
        <f t="shared" si="3"/>
        <v>CPQ11-STRC-DPF1-SITE-R22.rvt</v>
      </c>
      <c r="C102" s="60">
        <v>99.0</v>
      </c>
      <c r="D102" s="74" t="s">
        <v>2175</v>
      </c>
      <c r="E102" s="74" t="s">
        <v>2188</v>
      </c>
      <c r="F102" s="71" t="s">
        <v>90</v>
      </c>
      <c r="G102" s="74" t="s">
        <v>482</v>
      </c>
      <c r="H102" s="1713" t="s">
        <v>2124</v>
      </c>
      <c r="I102" s="146" t="s">
        <v>303</v>
      </c>
      <c r="J102" s="72">
        <v>1122.0</v>
      </c>
      <c r="K102" s="147" t="s">
        <v>288</v>
      </c>
      <c r="L102" s="150">
        <v>0.0</v>
      </c>
      <c r="M102" s="746" t="str">
        <f>IFERROR(VLOOKUP(B99:B289,'RELATÓRIO ACC'!B:F,5,FALSE),"N/A")</f>
        <v>N/A</v>
      </c>
      <c r="N102" s="748" t="str">
        <f>IFERROR(VLOOKUP(B99:B289,'RELATÓRIO ACC'!B:P,15,FALSE),"N/A")</f>
        <v>N/A</v>
      </c>
      <c r="O102" s="141" t="s">
        <v>462</v>
      </c>
      <c r="P102" s="749" t="s">
        <v>462</v>
      </c>
      <c r="Q102" s="751"/>
      <c r="R102" s="746" t="s">
        <v>466</v>
      </c>
      <c r="S102" s="74" t="s">
        <v>462</v>
      </c>
      <c r="T102" s="749" t="s">
        <v>462</v>
      </c>
      <c r="U102" s="746" t="s">
        <v>466</v>
      </c>
      <c r="V102" s="74" t="s">
        <v>462</v>
      </c>
      <c r="W102" s="749" t="s">
        <v>462</v>
      </c>
      <c r="X102" s="746" t="s">
        <v>466</v>
      </c>
      <c r="Y102" s="74" t="s">
        <v>462</v>
      </c>
      <c r="Z102" s="749" t="s">
        <v>462</v>
      </c>
      <c r="AA102" s="746" t="s">
        <v>466</v>
      </c>
      <c r="AB102" s="74" t="s">
        <v>462</v>
      </c>
      <c r="AC102" s="753" t="s">
        <v>462</v>
      </c>
      <c r="AD102" s="746" t="s">
        <v>466</v>
      </c>
      <c r="AE102" s="74" t="s">
        <v>462</v>
      </c>
      <c r="AF102" s="753" t="s">
        <v>462</v>
      </c>
      <c r="AG102" s="746" t="s">
        <v>466</v>
      </c>
      <c r="AH102" s="74" t="s">
        <v>462</v>
      </c>
      <c r="AI102" s="753" t="s">
        <v>462</v>
      </c>
      <c r="AJ102" s="746" t="s">
        <v>466</v>
      </c>
      <c r="AK102" s="74" t="s">
        <v>462</v>
      </c>
      <c r="AL102" s="753" t="s">
        <v>462</v>
      </c>
      <c r="AM102" s="746" t="s">
        <v>466</v>
      </c>
      <c r="AN102" s="74" t="s">
        <v>462</v>
      </c>
      <c r="AO102" s="749" t="s">
        <v>462</v>
      </c>
      <c r="AP102" s="746" t="s">
        <v>466</v>
      </c>
      <c r="AQ102" s="74" t="s">
        <v>462</v>
      </c>
      <c r="AR102" s="749" t="s">
        <v>462</v>
      </c>
      <c r="AS102" s="746" t="s">
        <v>466</v>
      </c>
      <c r="AT102" s="74" t="s">
        <v>462</v>
      </c>
      <c r="AU102" s="749" t="s">
        <v>462</v>
      </c>
      <c r="AV102" s="746" t="s">
        <v>466</v>
      </c>
      <c r="AW102" s="74" t="s">
        <v>462</v>
      </c>
      <c r="AX102" s="753" t="s">
        <v>462</v>
      </c>
      <c r="AY102" s="746" t="s">
        <v>466</v>
      </c>
      <c r="AZ102" s="74" t="s">
        <v>462</v>
      </c>
      <c r="BA102" s="1037" t="s">
        <v>462</v>
      </c>
      <c r="BB102" s="746" t="s">
        <v>466</v>
      </c>
      <c r="BC102" s="74" t="s">
        <v>462</v>
      </c>
      <c r="BD102" s="1037" t="s">
        <v>462</v>
      </c>
      <c r="BE102" s="746" t="s">
        <v>466</v>
      </c>
      <c r="BF102" s="74" t="s">
        <v>462</v>
      </c>
      <c r="BG102" s="1037" t="s">
        <v>462</v>
      </c>
      <c r="BH102" s="746" t="s">
        <v>466</v>
      </c>
      <c r="BI102" s="74" t="s">
        <v>462</v>
      </c>
      <c r="BJ102" s="1037" t="s">
        <v>462</v>
      </c>
      <c r="BK102" s="746" t="s">
        <v>466</v>
      </c>
      <c r="BL102" s="74" t="s">
        <v>462</v>
      </c>
      <c r="BM102" s="1037" t="s">
        <v>462</v>
      </c>
      <c r="BN102" s="746" t="s">
        <v>466</v>
      </c>
      <c r="BO102" s="74" t="s">
        <v>462</v>
      </c>
      <c r="BP102" s="1037" t="s">
        <v>462</v>
      </c>
      <c r="BQ102" s="126"/>
      <c r="BR102" s="141" t="s">
        <v>466</v>
      </c>
      <c r="BS102" s="125" t="s">
        <v>462</v>
      </c>
      <c r="BT102" s="749" t="s">
        <v>462</v>
      </c>
      <c r="BU102" s="746" t="s">
        <v>466</v>
      </c>
      <c r="BV102" s="74" t="s">
        <v>462</v>
      </c>
      <c r="BW102" s="749" t="s">
        <v>462</v>
      </c>
      <c r="BX102" s="746" t="s">
        <v>466</v>
      </c>
      <c r="BY102" s="74" t="s">
        <v>462</v>
      </c>
      <c r="BZ102" s="753" t="s">
        <v>462</v>
      </c>
      <c r="CA102" s="746" t="s">
        <v>466</v>
      </c>
      <c r="CB102" s="74" t="s">
        <v>462</v>
      </c>
      <c r="CC102" s="1714" t="s">
        <v>462</v>
      </c>
      <c r="CD102" s="746" t="s">
        <v>466</v>
      </c>
      <c r="CE102" s="74" t="s">
        <v>462</v>
      </c>
      <c r="CF102" s="1714" t="s">
        <v>462</v>
      </c>
      <c r="CG102" s="68"/>
      <c r="CH102" s="68"/>
      <c r="CI102" s="68"/>
    </row>
    <row r="103" ht="15.0" customHeight="1" outlineLevel="1">
      <c r="A103" s="60">
        <v>100.0</v>
      </c>
      <c r="B103" s="747" t="str">
        <f t="shared" si="3"/>
        <v>CPQ11-STRC-DPF1-DATA-R22.rvt</v>
      </c>
      <c r="C103" s="60">
        <v>100.0</v>
      </c>
      <c r="D103" s="74" t="s">
        <v>2175</v>
      </c>
      <c r="E103" s="74" t="s">
        <v>2188</v>
      </c>
      <c r="F103" s="71" t="s">
        <v>85</v>
      </c>
      <c r="G103" s="74" t="s">
        <v>482</v>
      </c>
      <c r="H103" s="1713" t="s">
        <v>2124</v>
      </c>
      <c r="I103" s="146" t="s">
        <v>303</v>
      </c>
      <c r="J103" s="72">
        <v>1122.0</v>
      </c>
      <c r="K103" s="147" t="s">
        <v>288</v>
      </c>
      <c r="L103" s="150">
        <v>0.0</v>
      </c>
      <c r="M103" s="746" t="str">
        <f>IFERROR(VLOOKUP(B100:B290,'RELATÓRIO ACC'!B:F,5,FALSE),"N/A")</f>
        <v>N/A</v>
      </c>
      <c r="N103" s="748" t="str">
        <f>IFERROR(VLOOKUP(B100:B290,'RELATÓRIO ACC'!B:P,15,FALSE),"N/A")</f>
        <v>N/A</v>
      </c>
      <c r="O103" s="141" t="s">
        <v>462</v>
      </c>
      <c r="P103" s="749" t="s">
        <v>462</v>
      </c>
      <c r="Q103" s="751"/>
      <c r="R103" s="746" t="s">
        <v>466</v>
      </c>
      <c r="S103" s="74" t="s">
        <v>462</v>
      </c>
      <c r="T103" s="749" t="s">
        <v>462</v>
      </c>
      <c r="U103" s="746" t="s">
        <v>466</v>
      </c>
      <c r="V103" s="74" t="s">
        <v>462</v>
      </c>
      <c r="W103" s="749" t="s">
        <v>462</v>
      </c>
      <c r="X103" s="746" t="s">
        <v>466</v>
      </c>
      <c r="Y103" s="74" t="s">
        <v>462</v>
      </c>
      <c r="Z103" s="749" t="s">
        <v>462</v>
      </c>
      <c r="AA103" s="746" t="s">
        <v>466</v>
      </c>
      <c r="AB103" s="74" t="s">
        <v>462</v>
      </c>
      <c r="AC103" s="753" t="s">
        <v>462</v>
      </c>
      <c r="AD103" s="746" t="s">
        <v>466</v>
      </c>
      <c r="AE103" s="74" t="s">
        <v>462</v>
      </c>
      <c r="AF103" s="753" t="s">
        <v>462</v>
      </c>
      <c r="AG103" s="746" t="s">
        <v>466</v>
      </c>
      <c r="AH103" s="74" t="s">
        <v>462</v>
      </c>
      <c r="AI103" s="753" t="s">
        <v>462</v>
      </c>
      <c r="AJ103" s="746" t="s">
        <v>466</v>
      </c>
      <c r="AK103" s="74" t="s">
        <v>462</v>
      </c>
      <c r="AL103" s="753" t="s">
        <v>462</v>
      </c>
      <c r="AM103" s="746" t="s">
        <v>466</v>
      </c>
      <c r="AN103" s="74" t="s">
        <v>462</v>
      </c>
      <c r="AO103" s="749" t="s">
        <v>462</v>
      </c>
      <c r="AP103" s="746" t="s">
        <v>466</v>
      </c>
      <c r="AQ103" s="74" t="s">
        <v>462</v>
      </c>
      <c r="AR103" s="749" t="s">
        <v>462</v>
      </c>
      <c r="AS103" s="746" t="s">
        <v>466</v>
      </c>
      <c r="AT103" s="74" t="s">
        <v>462</v>
      </c>
      <c r="AU103" s="749" t="s">
        <v>462</v>
      </c>
      <c r="AV103" s="746" t="s">
        <v>466</v>
      </c>
      <c r="AW103" s="74" t="s">
        <v>462</v>
      </c>
      <c r="AX103" s="753" t="s">
        <v>462</v>
      </c>
      <c r="AY103" s="746" t="s">
        <v>466</v>
      </c>
      <c r="AZ103" s="74" t="s">
        <v>462</v>
      </c>
      <c r="BA103" s="1037" t="s">
        <v>462</v>
      </c>
      <c r="BB103" s="746" t="s">
        <v>466</v>
      </c>
      <c r="BC103" s="74" t="s">
        <v>462</v>
      </c>
      <c r="BD103" s="1037" t="s">
        <v>462</v>
      </c>
      <c r="BE103" s="746" t="s">
        <v>466</v>
      </c>
      <c r="BF103" s="74" t="s">
        <v>462</v>
      </c>
      <c r="BG103" s="1037" t="s">
        <v>462</v>
      </c>
      <c r="BH103" s="746" t="s">
        <v>466</v>
      </c>
      <c r="BI103" s="74" t="s">
        <v>462</v>
      </c>
      <c r="BJ103" s="1037" t="s">
        <v>462</v>
      </c>
      <c r="BK103" s="746" t="s">
        <v>466</v>
      </c>
      <c r="BL103" s="74" t="s">
        <v>462</v>
      </c>
      <c r="BM103" s="1037" t="s">
        <v>462</v>
      </c>
      <c r="BN103" s="746" t="s">
        <v>466</v>
      </c>
      <c r="BO103" s="74" t="s">
        <v>462</v>
      </c>
      <c r="BP103" s="1037" t="s">
        <v>462</v>
      </c>
      <c r="BQ103" s="126"/>
      <c r="BR103" s="141" t="s">
        <v>466</v>
      </c>
      <c r="BS103" s="125" t="s">
        <v>462</v>
      </c>
      <c r="BT103" s="749" t="s">
        <v>462</v>
      </c>
      <c r="BU103" s="746" t="s">
        <v>466</v>
      </c>
      <c r="BV103" s="74" t="s">
        <v>462</v>
      </c>
      <c r="BW103" s="749" t="s">
        <v>462</v>
      </c>
      <c r="BX103" s="746" t="s">
        <v>466</v>
      </c>
      <c r="BY103" s="74" t="s">
        <v>462</v>
      </c>
      <c r="BZ103" s="753" t="s">
        <v>462</v>
      </c>
      <c r="CA103" s="746" t="s">
        <v>466</v>
      </c>
      <c r="CB103" s="74" t="s">
        <v>462</v>
      </c>
      <c r="CC103" s="1714" t="s">
        <v>462</v>
      </c>
      <c r="CD103" s="746" t="s">
        <v>466</v>
      </c>
      <c r="CE103" s="74" t="s">
        <v>462</v>
      </c>
      <c r="CF103" s="1714" t="s">
        <v>462</v>
      </c>
      <c r="CG103" s="68"/>
      <c r="CH103" s="68"/>
      <c r="CI103" s="68"/>
    </row>
    <row r="104" ht="15.0" customHeight="1" outlineLevel="1">
      <c r="A104" s="60">
        <v>101.0</v>
      </c>
      <c r="B104" s="747" t="str">
        <f t="shared" si="3"/>
        <v>CPQ11-STRC-DPF2-SITE-R22.rvt</v>
      </c>
      <c r="C104" s="60">
        <v>101.0</v>
      </c>
      <c r="D104" s="74" t="s">
        <v>2175</v>
      </c>
      <c r="E104" s="74" t="s">
        <v>2189</v>
      </c>
      <c r="F104" s="71" t="s">
        <v>90</v>
      </c>
      <c r="G104" s="74" t="s">
        <v>482</v>
      </c>
      <c r="H104" s="1713" t="s">
        <v>2124</v>
      </c>
      <c r="I104" s="146" t="s">
        <v>308</v>
      </c>
      <c r="J104" s="72">
        <v>1123.0</v>
      </c>
      <c r="K104" s="147" t="s">
        <v>288</v>
      </c>
      <c r="L104" s="150">
        <v>0.0</v>
      </c>
      <c r="M104" s="746" t="str">
        <f>IFERROR(VLOOKUP(B101:B291,'RELATÓRIO ACC'!B:F,5,FALSE),"N/A")</f>
        <v>N/A</v>
      </c>
      <c r="N104" s="748" t="str">
        <f>IFERROR(VLOOKUP(B101:B291,'RELATÓRIO ACC'!B:P,15,FALSE),"N/A")</f>
        <v>N/A</v>
      </c>
      <c r="O104" s="141" t="s">
        <v>462</v>
      </c>
      <c r="P104" s="749" t="s">
        <v>462</v>
      </c>
      <c r="Q104" s="751"/>
      <c r="R104" s="746" t="s">
        <v>466</v>
      </c>
      <c r="S104" s="74" t="s">
        <v>462</v>
      </c>
      <c r="T104" s="749" t="s">
        <v>462</v>
      </c>
      <c r="U104" s="746" t="s">
        <v>466</v>
      </c>
      <c r="V104" s="74" t="s">
        <v>462</v>
      </c>
      <c r="W104" s="749" t="s">
        <v>462</v>
      </c>
      <c r="X104" s="746" t="s">
        <v>466</v>
      </c>
      <c r="Y104" s="74" t="s">
        <v>462</v>
      </c>
      <c r="Z104" s="749" t="s">
        <v>462</v>
      </c>
      <c r="AA104" s="746" t="s">
        <v>466</v>
      </c>
      <c r="AB104" s="74" t="s">
        <v>462</v>
      </c>
      <c r="AC104" s="753" t="s">
        <v>462</v>
      </c>
      <c r="AD104" s="746" t="s">
        <v>466</v>
      </c>
      <c r="AE104" s="74" t="s">
        <v>462</v>
      </c>
      <c r="AF104" s="753" t="s">
        <v>462</v>
      </c>
      <c r="AG104" s="746" t="s">
        <v>466</v>
      </c>
      <c r="AH104" s="74" t="s">
        <v>462</v>
      </c>
      <c r="AI104" s="753" t="s">
        <v>462</v>
      </c>
      <c r="AJ104" s="746" t="s">
        <v>466</v>
      </c>
      <c r="AK104" s="74" t="s">
        <v>462</v>
      </c>
      <c r="AL104" s="753" t="s">
        <v>462</v>
      </c>
      <c r="AM104" s="746" t="s">
        <v>466</v>
      </c>
      <c r="AN104" s="74" t="s">
        <v>462</v>
      </c>
      <c r="AO104" s="749" t="s">
        <v>462</v>
      </c>
      <c r="AP104" s="746" t="s">
        <v>466</v>
      </c>
      <c r="AQ104" s="74" t="s">
        <v>462</v>
      </c>
      <c r="AR104" s="749" t="s">
        <v>462</v>
      </c>
      <c r="AS104" s="746" t="s">
        <v>466</v>
      </c>
      <c r="AT104" s="74" t="s">
        <v>462</v>
      </c>
      <c r="AU104" s="749" t="s">
        <v>462</v>
      </c>
      <c r="AV104" s="746" t="s">
        <v>466</v>
      </c>
      <c r="AW104" s="74" t="s">
        <v>462</v>
      </c>
      <c r="AX104" s="753" t="s">
        <v>462</v>
      </c>
      <c r="AY104" s="746" t="s">
        <v>466</v>
      </c>
      <c r="AZ104" s="74" t="s">
        <v>462</v>
      </c>
      <c r="BA104" s="1037" t="s">
        <v>462</v>
      </c>
      <c r="BB104" s="746" t="s">
        <v>466</v>
      </c>
      <c r="BC104" s="74" t="s">
        <v>462</v>
      </c>
      <c r="BD104" s="1037" t="s">
        <v>462</v>
      </c>
      <c r="BE104" s="746" t="s">
        <v>466</v>
      </c>
      <c r="BF104" s="74" t="s">
        <v>462</v>
      </c>
      <c r="BG104" s="1037" t="s">
        <v>462</v>
      </c>
      <c r="BH104" s="746" t="s">
        <v>466</v>
      </c>
      <c r="BI104" s="74" t="s">
        <v>462</v>
      </c>
      <c r="BJ104" s="1037" t="s">
        <v>462</v>
      </c>
      <c r="BK104" s="746" t="s">
        <v>466</v>
      </c>
      <c r="BL104" s="74" t="s">
        <v>462</v>
      </c>
      <c r="BM104" s="1037" t="s">
        <v>462</v>
      </c>
      <c r="BN104" s="746" t="s">
        <v>466</v>
      </c>
      <c r="BO104" s="74" t="s">
        <v>462</v>
      </c>
      <c r="BP104" s="1037" t="s">
        <v>462</v>
      </c>
      <c r="BQ104" s="126"/>
      <c r="BR104" s="141" t="s">
        <v>466</v>
      </c>
      <c r="BS104" s="125" t="s">
        <v>462</v>
      </c>
      <c r="BT104" s="749" t="s">
        <v>462</v>
      </c>
      <c r="BU104" s="746" t="s">
        <v>466</v>
      </c>
      <c r="BV104" s="74" t="s">
        <v>462</v>
      </c>
      <c r="BW104" s="749" t="s">
        <v>462</v>
      </c>
      <c r="BX104" s="746" t="s">
        <v>466</v>
      </c>
      <c r="BY104" s="74" t="s">
        <v>462</v>
      </c>
      <c r="BZ104" s="753" t="s">
        <v>462</v>
      </c>
      <c r="CA104" s="746" t="s">
        <v>466</v>
      </c>
      <c r="CB104" s="74" t="s">
        <v>462</v>
      </c>
      <c r="CC104" s="1714" t="s">
        <v>462</v>
      </c>
      <c r="CD104" s="746" t="s">
        <v>466</v>
      </c>
      <c r="CE104" s="74" t="s">
        <v>462</v>
      </c>
      <c r="CF104" s="1714" t="s">
        <v>462</v>
      </c>
      <c r="CG104" s="68"/>
      <c r="CH104" s="68"/>
      <c r="CI104" s="68"/>
    </row>
    <row r="105" ht="15.0" customHeight="1" outlineLevel="1">
      <c r="A105" s="60">
        <v>102.0</v>
      </c>
      <c r="B105" s="747" t="str">
        <f t="shared" si="3"/>
        <v>CPQ11-STRC-DPF2-DATA-R22.rvt</v>
      </c>
      <c r="C105" s="60">
        <v>102.0</v>
      </c>
      <c r="D105" s="74" t="s">
        <v>2175</v>
      </c>
      <c r="E105" s="74" t="s">
        <v>2189</v>
      </c>
      <c r="F105" s="71" t="s">
        <v>85</v>
      </c>
      <c r="G105" s="74" t="s">
        <v>482</v>
      </c>
      <c r="H105" s="1713" t="s">
        <v>2124</v>
      </c>
      <c r="I105" s="146" t="s">
        <v>308</v>
      </c>
      <c r="J105" s="72">
        <v>1123.0</v>
      </c>
      <c r="K105" s="147" t="s">
        <v>288</v>
      </c>
      <c r="L105" s="150">
        <v>0.0</v>
      </c>
      <c r="M105" s="746" t="str">
        <f>IFERROR(VLOOKUP(B102:B292,'RELATÓRIO ACC'!B:F,5,FALSE),"N/A")</f>
        <v>N/A</v>
      </c>
      <c r="N105" s="748" t="str">
        <f>IFERROR(VLOOKUP(B102:B292,'RELATÓRIO ACC'!B:P,15,FALSE),"N/A")</f>
        <v>N/A</v>
      </c>
      <c r="O105" s="141" t="s">
        <v>462</v>
      </c>
      <c r="P105" s="749" t="s">
        <v>462</v>
      </c>
      <c r="Q105" s="751"/>
      <c r="R105" s="746" t="s">
        <v>466</v>
      </c>
      <c r="S105" s="74" t="s">
        <v>462</v>
      </c>
      <c r="T105" s="749" t="s">
        <v>462</v>
      </c>
      <c r="U105" s="746" t="s">
        <v>466</v>
      </c>
      <c r="V105" s="74" t="s">
        <v>462</v>
      </c>
      <c r="W105" s="749" t="s">
        <v>462</v>
      </c>
      <c r="X105" s="746" t="s">
        <v>466</v>
      </c>
      <c r="Y105" s="74" t="s">
        <v>462</v>
      </c>
      <c r="Z105" s="749" t="s">
        <v>462</v>
      </c>
      <c r="AA105" s="746" t="s">
        <v>466</v>
      </c>
      <c r="AB105" s="74" t="s">
        <v>462</v>
      </c>
      <c r="AC105" s="753" t="s">
        <v>462</v>
      </c>
      <c r="AD105" s="746" t="s">
        <v>466</v>
      </c>
      <c r="AE105" s="74" t="s">
        <v>462</v>
      </c>
      <c r="AF105" s="753" t="s">
        <v>462</v>
      </c>
      <c r="AG105" s="746" t="s">
        <v>466</v>
      </c>
      <c r="AH105" s="74" t="s">
        <v>462</v>
      </c>
      <c r="AI105" s="753" t="s">
        <v>462</v>
      </c>
      <c r="AJ105" s="746" t="s">
        <v>466</v>
      </c>
      <c r="AK105" s="74" t="s">
        <v>462</v>
      </c>
      <c r="AL105" s="753" t="s">
        <v>462</v>
      </c>
      <c r="AM105" s="746" t="s">
        <v>466</v>
      </c>
      <c r="AN105" s="74" t="s">
        <v>462</v>
      </c>
      <c r="AO105" s="749" t="s">
        <v>462</v>
      </c>
      <c r="AP105" s="746" t="s">
        <v>466</v>
      </c>
      <c r="AQ105" s="74" t="s">
        <v>462</v>
      </c>
      <c r="AR105" s="749" t="s">
        <v>462</v>
      </c>
      <c r="AS105" s="746" t="s">
        <v>466</v>
      </c>
      <c r="AT105" s="74" t="s">
        <v>462</v>
      </c>
      <c r="AU105" s="749" t="s">
        <v>462</v>
      </c>
      <c r="AV105" s="746" t="s">
        <v>466</v>
      </c>
      <c r="AW105" s="74" t="s">
        <v>462</v>
      </c>
      <c r="AX105" s="753" t="s">
        <v>462</v>
      </c>
      <c r="AY105" s="746" t="s">
        <v>466</v>
      </c>
      <c r="AZ105" s="74" t="s">
        <v>462</v>
      </c>
      <c r="BA105" s="1037" t="s">
        <v>462</v>
      </c>
      <c r="BB105" s="746" t="s">
        <v>466</v>
      </c>
      <c r="BC105" s="74" t="s">
        <v>462</v>
      </c>
      <c r="BD105" s="1037" t="s">
        <v>462</v>
      </c>
      <c r="BE105" s="746" t="s">
        <v>466</v>
      </c>
      <c r="BF105" s="74" t="s">
        <v>462</v>
      </c>
      <c r="BG105" s="1037" t="s">
        <v>462</v>
      </c>
      <c r="BH105" s="746" t="s">
        <v>466</v>
      </c>
      <c r="BI105" s="74" t="s">
        <v>462</v>
      </c>
      <c r="BJ105" s="1037" t="s">
        <v>462</v>
      </c>
      <c r="BK105" s="746" t="s">
        <v>466</v>
      </c>
      <c r="BL105" s="74" t="s">
        <v>462</v>
      </c>
      <c r="BM105" s="1037" t="s">
        <v>462</v>
      </c>
      <c r="BN105" s="746" t="s">
        <v>466</v>
      </c>
      <c r="BO105" s="74" t="s">
        <v>462</v>
      </c>
      <c r="BP105" s="1037" t="s">
        <v>462</v>
      </c>
      <c r="BQ105" s="126"/>
      <c r="BR105" s="141" t="s">
        <v>466</v>
      </c>
      <c r="BS105" s="125" t="s">
        <v>462</v>
      </c>
      <c r="BT105" s="749" t="s">
        <v>462</v>
      </c>
      <c r="BU105" s="746" t="s">
        <v>466</v>
      </c>
      <c r="BV105" s="74" t="s">
        <v>462</v>
      </c>
      <c r="BW105" s="749" t="s">
        <v>462</v>
      </c>
      <c r="BX105" s="746" t="s">
        <v>466</v>
      </c>
      <c r="BY105" s="74" t="s">
        <v>462</v>
      </c>
      <c r="BZ105" s="753" t="s">
        <v>462</v>
      </c>
      <c r="CA105" s="746" t="s">
        <v>466</v>
      </c>
      <c r="CB105" s="74" t="s">
        <v>462</v>
      </c>
      <c r="CC105" s="1714" t="s">
        <v>462</v>
      </c>
      <c r="CD105" s="746" t="s">
        <v>466</v>
      </c>
      <c r="CE105" s="74" t="s">
        <v>462</v>
      </c>
      <c r="CF105" s="1714" t="s">
        <v>462</v>
      </c>
      <c r="CG105" s="68"/>
      <c r="CH105" s="68"/>
      <c r="CI105" s="68"/>
    </row>
    <row r="106" ht="15.0" customHeight="1" outlineLevel="1">
      <c r="A106" s="60">
        <v>103.0</v>
      </c>
      <c r="B106" s="747" t="str">
        <f t="shared" si="3"/>
        <v>CPQ11-STRC-CHAI-SITE-R22.rvt</v>
      </c>
      <c r="C106" s="60">
        <v>103.0</v>
      </c>
      <c r="D106" s="74" t="s">
        <v>2175</v>
      </c>
      <c r="E106" s="74" t="s">
        <v>2129</v>
      </c>
      <c r="F106" s="71" t="s">
        <v>90</v>
      </c>
      <c r="G106" s="74" t="s">
        <v>482</v>
      </c>
      <c r="H106" s="1713" t="s">
        <v>2124</v>
      </c>
      <c r="I106" s="138" t="s">
        <v>100</v>
      </c>
      <c r="J106" s="72">
        <v>1104.0</v>
      </c>
      <c r="K106" s="139" t="s">
        <v>101</v>
      </c>
      <c r="L106" s="139">
        <v>1127.0</v>
      </c>
      <c r="M106" s="746" t="str">
        <f>IFERROR(VLOOKUP(B103:B293,'RELATÓRIO ACC'!B:F,5,FALSE),"N/A")</f>
        <v>N/A</v>
      </c>
      <c r="N106" s="748" t="str">
        <f>IFERROR(VLOOKUP(B103:B293,'RELATÓRIO ACC'!B:P,15,FALSE),"N/A")</f>
        <v>N/A</v>
      </c>
      <c r="O106" s="141" t="s">
        <v>462</v>
      </c>
      <c r="P106" s="749" t="s">
        <v>462</v>
      </c>
      <c r="Q106" s="751"/>
      <c r="R106" s="746" t="s">
        <v>466</v>
      </c>
      <c r="S106" s="74" t="s">
        <v>462</v>
      </c>
      <c r="T106" s="749" t="s">
        <v>462</v>
      </c>
      <c r="U106" s="746" t="s">
        <v>466</v>
      </c>
      <c r="V106" s="74" t="s">
        <v>462</v>
      </c>
      <c r="W106" s="749" t="s">
        <v>462</v>
      </c>
      <c r="X106" s="746" t="s">
        <v>466</v>
      </c>
      <c r="Y106" s="74" t="s">
        <v>462</v>
      </c>
      <c r="Z106" s="749" t="s">
        <v>462</v>
      </c>
      <c r="AA106" s="746" t="s">
        <v>466</v>
      </c>
      <c r="AB106" s="74" t="s">
        <v>462</v>
      </c>
      <c r="AC106" s="753" t="s">
        <v>462</v>
      </c>
      <c r="AD106" s="746" t="s">
        <v>466</v>
      </c>
      <c r="AE106" s="74" t="s">
        <v>462</v>
      </c>
      <c r="AF106" s="753" t="s">
        <v>462</v>
      </c>
      <c r="AG106" s="746" t="s">
        <v>466</v>
      </c>
      <c r="AH106" s="74" t="s">
        <v>462</v>
      </c>
      <c r="AI106" s="753" t="s">
        <v>462</v>
      </c>
      <c r="AJ106" s="746" t="s">
        <v>466</v>
      </c>
      <c r="AK106" s="74" t="s">
        <v>462</v>
      </c>
      <c r="AL106" s="753" t="s">
        <v>462</v>
      </c>
      <c r="AM106" s="746" t="s">
        <v>466</v>
      </c>
      <c r="AN106" s="74" t="s">
        <v>462</v>
      </c>
      <c r="AO106" s="749" t="s">
        <v>462</v>
      </c>
      <c r="AP106" s="746" t="s">
        <v>466</v>
      </c>
      <c r="AQ106" s="74" t="s">
        <v>462</v>
      </c>
      <c r="AR106" s="749" t="s">
        <v>462</v>
      </c>
      <c r="AS106" s="746" t="s">
        <v>466</v>
      </c>
      <c r="AT106" s="74" t="s">
        <v>462</v>
      </c>
      <c r="AU106" s="749" t="s">
        <v>462</v>
      </c>
      <c r="AV106" s="746" t="s">
        <v>466</v>
      </c>
      <c r="AW106" s="74" t="s">
        <v>462</v>
      </c>
      <c r="AX106" s="753" t="s">
        <v>462</v>
      </c>
      <c r="AY106" s="746" t="s">
        <v>466</v>
      </c>
      <c r="AZ106" s="74" t="s">
        <v>462</v>
      </c>
      <c r="BA106" s="1037" t="s">
        <v>462</v>
      </c>
      <c r="BB106" s="746" t="s">
        <v>466</v>
      </c>
      <c r="BC106" s="74" t="s">
        <v>462</v>
      </c>
      <c r="BD106" s="1037" t="s">
        <v>462</v>
      </c>
      <c r="BE106" s="746" t="s">
        <v>466</v>
      </c>
      <c r="BF106" s="74" t="s">
        <v>462</v>
      </c>
      <c r="BG106" s="1037" t="s">
        <v>462</v>
      </c>
      <c r="BH106" s="746" t="s">
        <v>466</v>
      </c>
      <c r="BI106" s="74" t="s">
        <v>462</v>
      </c>
      <c r="BJ106" s="1037" t="s">
        <v>462</v>
      </c>
      <c r="BK106" s="746" t="s">
        <v>466</v>
      </c>
      <c r="BL106" s="74" t="s">
        <v>462</v>
      </c>
      <c r="BM106" s="1037" t="s">
        <v>462</v>
      </c>
      <c r="BN106" s="746" t="s">
        <v>466</v>
      </c>
      <c r="BO106" s="74" t="s">
        <v>462</v>
      </c>
      <c r="BP106" s="1037" t="s">
        <v>462</v>
      </c>
      <c r="BQ106" s="126"/>
      <c r="BR106" s="141" t="s">
        <v>466</v>
      </c>
      <c r="BS106" s="125" t="s">
        <v>462</v>
      </c>
      <c r="BT106" s="749" t="s">
        <v>462</v>
      </c>
      <c r="BU106" s="746" t="s">
        <v>466</v>
      </c>
      <c r="BV106" s="74" t="s">
        <v>462</v>
      </c>
      <c r="BW106" s="749" t="s">
        <v>462</v>
      </c>
      <c r="BX106" s="746" t="s">
        <v>466</v>
      </c>
      <c r="BY106" s="74" t="s">
        <v>462</v>
      </c>
      <c r="BZ106" s="753" t="s">
        <v>462</v>
      </c>
      <c r="CA106" s="746" t="s">
        <v>466</v>
      </c>
      <c r="CB106" s="74" t="s">
        <v>462</v>
      </c>
      <c r="CC106" s="1714" t="s">
        <v>462</v>
      </c>
      <c r="CD106" s="746" t="s">
        <v>466</v>
      </c>
      <c r="CE106" s="74" t="s">
        <v>462</v>
      </c>
      <c r="CF106" s="1714" t="s">
        <v>462</v>
      </c>
      <c r="CG106" s="68"/>
      <c r="CH106" s="68"/>
      <c r="CI106" s="68"/>
    </row>
    <row r="107" ht="15.0" customHeight="1" outlineLevel="1">
      <c r="A107" s="60">
        <v>104.0</v>
      </c>
      <c r="B107" s="747" t="str">
        <f t="shared" si="3"/>
        <v>CPQ11-STRC-FENC-SITE-R22.rvt</v>
      </c>
      <c r="C107" s="60">
        <v>104.0</v>
      </c>
      <c r="D107" s="74" t="s">
        <v>2175</v>
      </c>
      <c r="E107" s="74" t="s">
        <v>2126</v>
      </c>
      <c r="F107" s="71" t="s">
        <v>90</v>
      </c>
      <c r="G107" s="74" t="s">
        <v>482</v>
      </c>
      <c r="H107" s="1713" t="s">
        <v>2124</v>
      </c>
      <c r="I107" s="138" t="s">
        <v>315</v>
      </c>
      <c r="J107" s="72">
        <v>1124.0</v>
      </c>
      <c r="K107" s="139" t="s">
        <v>115</v>
      </c>
      <c r="L107" s="150">
        <v>0.0</v>
      </c>
      <c r="M107" s="746" t="str">
        <f>IFERROR(VLOOKUP(B104:B294,'RELATÓRIO ACC'!B:F,5,FALSE),"N/A")</f>
        <v>N/A</v>
      </c>
      <c r="N107" s="748" t="str">
        <f>IFERROR(VLOOKUP(B104:B294,'RELATÓRIO ACC'!B:P,15,FALSE),"N/A")</f>
        <v>N/A</v>
      </c>
      <c r="O107" s="141" t="s">
        <v>462</v>
      </c>
      <c r="P107" s="749" t="s">
        <v>462</v>
      </c>
      <c r="Q107" s="751"/>
      <c r="R107" s="746" t="s">
        <v>466</v>
      </c>
      <c r="S107" s="74" t="s">
        <v>462</v>
      </c>
      <c r="T107" s="749" t="s">
        <v>462</v>
      </c>
      <c r="U107" s="746" t="s">
        <v>466</v>
      </c>
      <c r="V107" s="74" t="s">
        <v>462</v>
      </c>
      <c r="W107" s="749" t="s">
        <v>462</v>
      </c>
      <c r="X107" s="746" t="s">
        <v>466</v>
      </c>
      <c r="Y107" s="74" t="s">
        <v>462</v>
      </c>
      <c r="Z107" s="749" t="s">
        <v>462</v>
      </c>
      <c r="AA107" s="746" t="s">
        <v>466</v>
      </c>
      <c r="AB107" s="74" t="s">
        <v>462</v>
      </c>
      <c r="AC107" s="753" t="s">
        <v>462</v>
      </c>
      <c r="AD107" s="746" t="s">
        <v>466</v>
      </c>
      <c r="AE107" s="74" t="s">
        <v>462</v>
      </c>
      <c r="AF107" s="753" t="s">
        <v>462</v>
      </c>
      <c r="AG107" s="746" t="s">
        <v>466</v>
      </c>
      <c r="AH107" s="74" t="s">
        <v>462</v>
      </c>
      <c r="AI107" s="753" t="s">
        <v>462</v>
      </c>
      <c r="AJ107" s="746" t="s">
        <v>466</v>
      </c>
      <c r="AK107" s="74" t="s">
        <v>462</v>
      </c>
      <c r="AL107" s="753" t="s">
        <v>462</v>
      </c>
      <c r="AM107" s="746" t="s">
        <v>466</v>
      </c>
      <c r="AN107" s="74" t="s">
        <v>462</v>
      </c>
      <c r="AO107" s="749" t="s">
        <v>462</v>
      </c>
      <c r="AP107" s="746" t="s">
        <v>466</v>
      </c>
      <c r="AQ107" s="74" t="s">
        <v>462</v>
      </c>
      <c r="AR107" s="749" t="s">
        <v>462</v>
      </c>
      <c r="AS107" s="746" t="s">
        <v>466</v>
      </c>
      <c r="AT107" s="74" t="s">
        <v>462</v>
      </c>
      <c r="AU107" s="749" t="s">
        <v>462</v>
      </c>
      <c r="AV107" s="746" t="s">
        <v>466</v>
      </c>
      <c r="AW107" s="74" t="s">
        <v>462</v>
      </c>
      <c r="AX107" s="753" t="s">
        <v>462</v>
      </c>
      <c r="AY107" s="746" t="s">
        <v>466</v>
      </c>
      <c r="AZ107" s="74" t="s">
        <v>462</v>
      </c>
      <c r="BA107" s="1037" t="s">
        <v>462</v>
      </c>
      <c r="BB107" s="746" t="s">
        <v>466</v>
      </c>
      <c r="BC107" s="74" t="s">
        <v>462</v>
      </c>
      <c r="BD107" s="1037" t="s">
        <v>462</v>
      </c>
      <c r="BE107" s="746" t="s">
        <v>466</v>
      </c>
      <c r="BF107" s="74" t="s">
        <v>462</v>
      </c>
      <c r="BG107" s="1037" t="s">
        <v>462</v>
      </c>
      <c r="BH107" s="746" t="s">
        <v>466</v>
      </c>
      <c r="BI107" s="74" t="s">
        <v>462</v>
      </c>
      <c r="BJ107" s="1037" t="s">
        <v>462</v>
      </c>
      <c r="BK107" s="746" t="s">
        <v>466</v>
      </c>
      <c r="BL107" s="74" t="s">
        <v>462</v>
      </c>
      <c r="BM107" s="1037" t="s">
        <v>462</v>
      </c>
      <c r="BN107" s="746" t="s">
        <v>466</v>
      </c>
      <c r="BO107" s="74" t="s">
        <v>462</v>
      </c>
      <c r="BP107" s="1037" t="s">
        <v>462</v>
      </c>
      <c r="BQ107" s="126"/>
      <c r="BR107" s="141" t="s">
        <v>466</v>
      </c>
      <c r="BS107" s="125" t="s">
        <v>462</v>
      </c>
      <c r="BT107" s="749" t="s">
        <v>462</v>
      </c>
      <c r="BU107" s="746" t="s">
        <v>466</v>
      </c>
      <c r="BV107" s="74" t="s">
        <v>462</v>
      </c>
      <c r="BW107" s="749" t="s">
        <v>462</v>
      </c>
      <c r="BX107" s="746" t="s">
        <v>466</v>
      </c>
      <c r="BY107" s="74" t="s">
        <v>462</v>
      </c>
      <c r="BZ107" s="753" t="s">
        <v>462</v>
      </c>
      <c r="CA107" s="746" t="s">
        <v>466</v>
      </c>
      <c r="CB107" s="74" t="s">
        <v>462</v>
      </c>
      <c r="CC107" s="1714" t="s">
        <v>462</v>
      </c>
      <c r="CD107" s="746" t="s">
        <v>466</v>
      </c>
      <c r="CE107" s="74" t="s">
        <v>462</v>
      </c>
      <c r="CF107" s="1714" t="s">
        <v>462</v>
      </c>
      <c r="CG107" s="68"/>
      <c r="CH107" s="68"/>
      <c r="CI107" s="68"/>
    </row>
    <row r="108" ht="15.0" customHeight="1" outlineLevel="1">
      <c r="A108" s="60">
        <v>81.0</v>
      </c>
      <c r="B108" s="936" t="s">
        <v>261</v>
      </c>
      <c r="C108" s="60">
        <v>81.0</v>
      </c>
      <c r="D108" s="405"/>
      <c r="E108" s="405"/>
      <c r="F108" s="405"/>
      <c r="G108" s="405"/>
      <c r="H108" s="940"/>
      <c r="I108" s="938"/>
      <c r="J108" s="405"/>
      <c r="K108" s="404"/>
      <c r="L108" s="404"/>
      <c r="M108" s="939"/>
      <c r="N108" s="940"/>
      <c r="O108" s="938"/>
      <c r="P108" s="404"/>
      <c r="Q108" s="941"/>
      <c r="R108" s="939"/>
      <c r="S108" s="944"/>
      <c r="T108" s="943"/>
      <c r="U108" s="939"/>
      <c r="V108" s="944"/>
      <c r="W108" s="943"/>
      <c r="X108" s="939"/>
      <c r="Y108" s="944"/>
      <c r="Z108" s="943"/>
      <c r="AA108" s="945"/>
      <c r="AB108" s="944"/>
      <c r="AC108" s="1117"/>
      <c r="AD108" s="945"/>
      <c r="AE108" s="944"/>
      <c r="AF108" s="1117"/>
      <c r="AG108" s="945"/>
      <c r="AH108" s="944"/>
      <c r="AI108" s="1117"/>
      <c r="AJ108" s="945"/>
      <c r="AK108" s="944"/>
      <c r="AL108" s="1117"/>
      <c r="AM108" s="945"/>
      <c r="AN108" s="944"/>
      <c r="AO108" s="943"/>
      <c r="AP108" s="939"/>
      <c r="AQ108" s="944"/>
      <c r="AR108" s="943"/>
      <c r="AS108" s="939"/>
      <c r="AT108" s="944"/>
      <c r="AU108" s="943"/>
      <c r="AV108" s="945"/>
      <c r="AW108" s="944"/>
      <c r="AX108" s="946"/>
      <c r="AY108" s="945"/>
      <c r="AZ108" s="944"/>
      <c r="BA108" s="1215"/>
      <c r="BB108" s="945"/>
      <c r="BC108" s="944"/>
      <c r="BD108" s="1215"/>
      <c r="BE108" s="945"/>
      <c r="BF108" s="944"/>
      <c r="BG108" s="1215"/>
      <c r="BH108" s="945"/>
      <c r="BI108" s="944"/>
      <c r="BJ108" s="1215"/>
      <c r="BK108" s="945"/>
      <c r="BL108" s="944"/>
      <c r="BM108" s="1215"/>
      <c r="BN108" s="945"/>
      <c r="BO108" s="944"/>
      <c r="BP108" s="1215"/>
      <c r="BQ108" s="1210"/>
      <c r="BR108" s="1791"/>
      <c r="BS108" s="1792"/>
      <c r="BT108" s="1793"/>
      <c r="BU108" s="1794"/>
      <c r="BV108" s="1792"/>
      <c r="BW108" s="1793"/>
      <c r="BX108" s="1795"/>
      <c r="BY108" s="1792"/>
      <c r="BZ108" s="1796"/>
      <c r="CA108" s="1791"/>
      <c r="CB108" s="1792"/>
      <c r="CC108" s="1797"/>
      <c r="CD108" s="1791"/>
      <c r="CE108" s="1792"/>
      <c r="CF108" s="1797"/>
      <c r="CG108" s="215"/>
      <c r="CH108" s="215"/>
      <c r="CI108" s="215"/>
    </row>
    <row r="109" ht="15.0" customHeight="1" outlineLevel="1">
      <c r="A109" s="60">
        <v>74.0</v>
      </c>
      <c r="B109" s="948" t="s">
        <v>247</v>
      </c>
      <c r="C109" s="60">
        <v>74.0</v>
      </c>
      <c r="D109" s="377"/>
      <c r="E109" s="377"/>
      <c r="F109" s="377"/>
      <c r="G109" s="377"/>
      <c r="H109" s="376"/>
      <c r="I109" s="951"/>
      <c r="J109" s="377"/>
      <c r="K109" s="376"/>
      <c r="L109" s="376"/>
      <c r="M109" s="951"/>
      <c r="N109" s="952"/>
      <c r="O109" s="950"/>
      <c r="P109" s="376"/>
      <c r="Q109" s="953"/>
      <c r="R109" s="951"/>
      <c r="S109" s="954"/>
      <c r="T109" s="955"/>
      <c r="U109" s="951"/>
      <c r="V109" s="954"/>
      <c r="W109" s="955"/>
      <c r="X109" s="951"/>
      <c r="Y109" s="954"/>
      <c r="Z109" s="955"/>
      <c r="AA109" s="956"/>
      <c r="AB109" s="954"/>
      <c r="AC109" s="386"/>
      <c r="AD109" s="956"/>
      <c r="AE109" s="954"/>
      <c r="AF109" s="957"/>
      <c r="AG109" s="956"/>
      <c r="AH109" s="954"/>
      <c r="AI109" s="957"/>
      <c r="AJ109" s="956"/>
      <c r="AK109" s="954"/>
      <c r="AL109" s="957"/>
      <c r="AM109" s="956"/>
      <c r="AN109" s="954"/>
      <c r="AO109" s="955"/>
      <c r="AP109" s="951"/>
      <c r="AQ109" s="954"/>
      <c r="AR109" s="955"/>
      <c r="AS109" s="951"/>
      <c r="AT109" s="954"/>
      <c r="AU109" s="955"/>
      <c r="AV109" s="956"/>
      <c r="AW109" s="954"/>
      <c r="AX109" s="957"/>
      <c r="AY109" s="956"/>
      <c r="AZ109" s="954"/>
      <c r="BA109" s="1216"/>
      <c r="BB109" s="956"/>
      <c r="BC109" s="954"/>
      <c r="BD109" s="1216"/>
      <c r="BE109" s="956"/>
      <c r="BF109" s="954"/>
      <c r="BG109" s="1216"/>
      <c r="BH109" s="956"/>
      <c r="BI109" s="954"/>
      <c r="BJ109" s="1216"/>
      <c r="BK109" s="956"/>
      <c r="BL109" s="954"/>
      <c r="BM109" s="1216"/>
      <c r="BN109" s="956"/>
      <c r="BO109" s="954"/>
      <c r="BP109" s="1216"/>
      <c r="BQ109" s="1210"/>
      <c r="BR109" s="1798"/>
      <c r="BS109" s="954"/>
      <c r="BT109" s="955"/>
      <c r="BU109" s="956"/>
      <c r="BV109" s="954"/>
      <c r="BW109" s="955"/>
      <c r="BX109" s="1799"/>
      <c r="BY109" s="954"/>
      <c r="BZ109" s="957"/>
      <c r="CA109" s="1798"/>
      <c r="CB109" s="954"/>
      <c r="CC109" s="1800"/>
      <c r="CD109" s="1798"/>
      <c r="CE109" s="954"/>
      <c r="CF109" s="1800"/>
      <c r="CG109" s="186"/>
      <c r="CH109" s="186"/>
      <c r="CI109" s="186"/>
    </row>
    <row r="110" ht="15.0" customHeight="1" outlineLevel="1">
      <c r="A110" s="60">
        <v>41.0</v>
      </c>
      <c r="B110" s="809" t="s">
        <v>183</v>
      </c>
      <c r="C110" s="60">
        <v>41.0</v>
      </c>
      <c r="D110" s="191"/>
      <c r="E110" s="191"/>
      <c r="F110" s="191"/>
      <c r="G110" s="191"/>
      <c r="H110" s="190"/>
      <c r="I110" s="813"/>
      <c r="J110" s="191"/>
      <c r="K110" s="191"/>
      <c r="L110" s="1801"/>
      <c r="M110" s="813"/>
      <c r="N110" s="812"/>
      <c r="O110" s="813"/>
      <c r="P110" s="190"/>
      <c r="Q110" s="1802"/>
      <c r="R110" s="813"/>
      <c r="S110" s="876"/>
      <c r="T110" s="877"/>
      <c r="U110" s="813"/>
      <c r="V110" s="876"/>
      <c r="W110" s="877"/>
      <c r="X110" s="813"/>
      <c r="Y110" s="876"/>
      <c r="Z110" s="877"/>
      <c r="AA110" s="878"/>
      <c r="AB110" s="876"/>
      <c r="AC110" s="200"/>
      <c r="AD110" s="878"/>
      <c r="AE110" s="876"/>
      <c r="AF110" s="959"/>
      <c r="AG110" s="878"/>
      <c r="AH110" s="876"/>
      <c r="AI110" s="959"/>
      <c r="AJ110" s="878"/>
      <c r="AK110" s="876"/>
      <c r="AL110" s="959"/>
      <c r="AM110" s="878"/>
      <c r="AN110" s="876"/>
      <c r="AO110" s="877"/>
      <c r="AP110" s="813"/>
      <c r="AQ110" s="876"/>
      <c r="AR110" s="877"/>
      <c r="AS110" s="813"/>
      <c r="AT110" s="876"/>
      <c r="AU110" s="959"/>
      <c r="AV110" s="878"/>
      <c r="AW110" s="876"/>
      <c r="AX110" s="959"/>
      <c r="AY110" s="878"/>
      <c r="AZ110" s="876"/>
      <c r="BA110" s="1169"/>
      <c r="BB110" s="878"/>
      <c r="BC110" s="876"/>
      <c r="BD110" s="1169"/>
      <c r="BE110" s="878"/>
      <c r="BF110" s="876"/>
      <c r="BG110" s="1169"/>
      <c r="BH110" s="878"/>
      <c r="BI110" s="876"/>
      <c r="BJ110" s="1169"/>
      <c r="BK110" s="878"/>
      <c r="BL110" s="876"/>
      <c r="BM110" s="1169"/>
      <c r="BN110" s="878"/>
      <c r="BO110" s="876"/>
      <c r="BP110" s="1169"/>
      <c r="BQ110" s="1210"/>
      <c r="BR110" s="1696"/>
      <c r="BS110" s="1697"/>
      <c r="BT110" s="1698"/>
      <c r="BU110" s="1699"/>
      <c r="BV110" s="1697"/>
      <c r="BW110" s="1698"/>
      <c r="BX110" s="1700"/>
      <c r="BY110" s="1697"/>
      <c r="BZ110" s="1701"/>
      <c r="CA110" s="1696"/>
      <c r="CB110" s="1697"/>
      <c r="CC110" s="1702"/>
      <c r="CD110" s="1696"/>
      <c r="CE110" s="1697"/>
      <c r="CF110" s="1702"/>
      <c r="CG110" s="215"/>
      <c r="CH110" s="215"/>
      <c r="CI110" s="215"/>
    </row>
    <row r="111" ht="15.0" customHeight="1" outlineLevel="1">
      <c r="A111" s="60">
        <v>56.0</v>
      </c>
      <c r="B111" s="809" t="s">
        <v>211</v>
      </c>
      <c r="C111" s="60">
        <v>56.0</v>
      </c>
      <c r="D111" s="191"/>
      <c r="E111" s="191"/>
      <c r="F111" s="191"/>
      <c r="G111" s="191"/>
      <c r="H111" s="190"/>
      <c r="I111" s="813"/>
      <c r="J111" s="191"/>
      <c r="K111" s="191"/>
      <c r="L111" s="190"/>
      <c r="M111" s="813"/>
      <c r="N111" s="812"/>
      <c r="O111" s="813"/>
      <c r="P111" s="190"/>
      <c r="Q111" s="260"/>
      <c r="R111" s="813"/>
      <c r="S111" s="876"/>
      <c r="T111" s="877"/>
      <c r="U111" s="813"/>
      <c r="V111" s="876"/>
      <c r="W111" s="877"/>
      <c r="X111" s="813"/>
      <c r="Y111" s="876"/>
      <c r="Z111" s="877"/>
      <c r="AA111" s="878"/>
      <c r="AB111" s="876"/>
      <c r="AC111" s="200"/>
      <c r="AD111" s="878"/>
      <c r="AE111" s="876"/>
      <c r="AF111" s="959"/>
      <c r="AG111" s="878"/>
      <c r="AH111" s="876"/>
      <c r="AI111" s="959"/>
      <c r="AJ111" s="878"/>
      <c r="AK111" s="876"/>
      <c r="AL111" s="959"/>
      <c r="AM111" s="878"/>
      <c r="AN111" s="876"/>
      <c r="AO111" s="877"/>
      <c r="AP111" s="813"/>
      <c r="AQ111" s="876"/>
      <c r="AR111" s="877"/>
      <c r="AS111" s="813"/>
      <c r="AT111" s="876"/>
      <c r="AU111" s="959"/>
      <c r="AV111" s="878"/>
      <c r="AW111" s="876"/>
      <c r="AX111" s="959"/>
      <c r="AY111" s="878"/>
      <c r="AZ111" s="876"/>
      <c r="BA111" s="1169"/>
      <c r="BB111" s="878"/>
      <c r="BC111" s="876"/>
      <c r="BD111" s="1169"/>
      <c r="BE111" s="878"/>
      <c r="BF111" s="876"/>
      <c r="BG111" s="1169"/>
      <c r="BH111" s="878"/>
      <c r="BI111" s="876"/>
      <c r="BJ111" s="1169"/>
      <c r="BK111" s="878"/>
      <c r="BL111" s="876"/>
      <c r="BM111" s="1169"/>
      <c r="BN111" s="878"/>
      <c r="BO111" s="876"/>
      <c r="BP111" s="1169"/>
      <c r="BQ111" s="1210"/>
      <c r="BR111" s="1696"/>
      <c r="BS111" s="1697"/>
      <c r="BT111" s="1698"/>
      <c r="BU111" s="1699"/>
      <c r="BV111" s="1697"/>
      <c r="BW111" s="1698"/>
      <c r="BX111" s="1700"/>
      <c r="BY111" s="1697"/>
      <c r="BZ111" s="1701"/>
      <c r="CA111" s="1696"/>
      <c r="CB111" s="1697"/>
      <c r="CC111" s="1702"/>
      <c r="CD111" s="1696"/>
      <c r="CE111" s="1697"/>
      <c r="CF111" s="1702"/>
      <c r="CG111" s="215"/>
      <c r="CH111" s="215"/>
      <c r="CI111" s="215"/>
    </row>
    <row r="112" ht="15.0" customHeight="1" outlineLevel="1">
      <c r="A112" s="60">
        <v>53.0</v>
      </c>
      <c r="B112" s="960" t="s">
        <v>206</v>
      </c>
      <c r="C112" s="60">
        <v>53.0</v>
      </c>
      <c r="D112" s="162"/>
      <c r="E112" s="162"/>
      <c r="F112" s="162"/>
      <c r="G112" s="162"/>
      <c r="H112" s="161"/>
      <c r="I112" s="962"/>
      <c r="J112" s="162"/>
      <c r="K112" s="162"/>
      <c r="L112" s="161"/>
      <c r="M112" s="962"/>
      <c r="N112" s="963"/>
      <c r="O112" s="962"/>
      <c r="P112" s="161"/>
      <c r="Q112" s="990"/>
      <c r="R112" s="962"/>
      <c r="S112" s="966"/>
      <c r="T112" s="967"/>
      <c r="U112" s="962"/>
      <c r="V112" s="966"/>
      <c r="W112" s="967"/>
      <c r="X112" s="962"/>
      <c r="Y112" s="966"/>
      <c r="Z112" s="967"/>
      <c r="AA112" s="968"/>
      <c r="AB112" s="966"/>
      <c r="AC112" s="171"/>
      <c r="AD112" s="968"/>
      <c r="AE112" s="966"/>
      <c r="AF112" s="969"/>
      <c r="AG112" s="968"/>
      <c r="AH112" s="966"/>
      <c r="AI112" s="969"/>
      <c r="AJ112" s="968"/>
      <c r="AK112" s="966"/>
      <c r="AL112" s="969"/>
      <c r="AM112" s="968"/>
      <c r="AN112" s="966"/>
      <c r="AO112" s="967"/>
      <c r="AP112" s="962"/>
      <c r="AQ112" s="966"/>
      <c r="AR112" s="967"/>
      <c r="AS112" s="962"/>
      <c r="AT112" s="966"/>
      <c r="AU112" s="969"/>
      <c r="AV112" s="968"/>
      <c r="AW112" s="966"/>
      <c r="AX112" s="969"/>
      <c r="AY112" s="968"/>
      <c r="AZ112" s="966"/>
      <c r="BA112" s="1172"/>
      <c r="BB112" s="968"/>
      <c r="BC112" s="966"/>
      <c r="BD112" s="1172"/>
      <c r="BE112" s="968"/>
      <c r="BF112" s="966"/>
      <c r="BG112" s="1172"/>
      <c r="BH112" s="968"/>
      <c r="BI112" s="966"/>
      <c r="BJ112" s="1172"/>
      <c r="BK112" s="968"/>
      <c r="BL112" s="966"/>
      <c r="BM112" s="1172"/>
      <c r="BN112" s="968"/>
      <c r="BO112" s="966"/>
      <c r="BP112" s="1172"/>
      <c r="BQ112" s="1210"/>
      <c r="BR112" s="1705"/>
      <c r="BS112" s="1706"/>
      <c r="BT112" s="1707"/>
      <c r="BU112" s="1708"/>
      <c r="BV112" s="1706"/>
      <c r="BW112" s="1707"/>
      <c r="BX112" s="1709"/>
      <c r="BY112" s="1706"/>
      <c r="BZ112" s="1710"/>
      <c r="CA112" s="1705"/>
      <c r="CB112" s="1706"/>
      <c r="CC112" s="1711"/>
      <c r="CD112" s="1705"/>
      <c r="CE112" s="1706"/>
      <c r="CF112" s="1711"/>
      <c r="CG112" s="215"/>
      <c r="CH112" s="215"/>
      <c r="CI112" s="215"/>
    </row>
    <row r="113" ht="15.0" customHeight="1" outlineLevel="1">
      <c r="A113" s="60">
        <v>62.0</v>
      </c>
      <c r="B113" s="971" t="s">
        <v>224</v>
      </c>
      <c r="C113" s="60">
        <v>62.0</v>
      </c>
      <c r="D113" s="294"/>
      <c r="E113" s="294"/>
      <c r="F113" s="294"/>
      <c r="G113" s="294"/>
      <c r="H113" s="293"/>
      <c r="I113" s="866"/>
      <c r="J113" s="294"/>
      <c r="K113" s="294"/>
      <c r="L113" s="293"/>
      <c r="M113" s="866"/>
      <c r="N113" s="975"/>
      <c r="O113" s="866"/>
      <c r="P113" s="1803"/>
      <c r="Q113" s="863"/>
      <c r="R113" s="866"/>
      <c r="S113" s="867"/>
      <c r="T113" s="868"/>
      <c r="U113" s="866"/>
      <c r="V113" s="867"/>
      <c r="W113" s="868"/>
      <c r="X113" s="866"/>
      <c r="Y113" s="867"/>
      <c r="Z113" s="868"/>
      <c r="AA113" s="977"/>
      <c r="AB113" s="867"/>
      <c r="AC113" s="303"/>
      <c r="AD113" s="977"/>
      <c r="AE113" s="867"/>
      <c r="AF113" s="978"/>
      <c r="AG113" s="977"/>
      <c r="AH113" s="867"/>
      <c r="AI113" s="978"/>
      <c r="AJ113" s="977"/>
      <c r="AK113" s="867"/>
      <c r="AL113" s="978"/>
      <c r="AM113" s="866"/>
      <c r="AN113" s="867"/>
      <c r="AO113" s="868"/>
      <c r="AP113" s="866"/>
      <c r="AQ113" s="867"/>
      <c r="AR113" s="868"/>
      <c r="AS113" s="866"/>
      <c r="AT113" s="867"/>
      <c r="AU113" s="978"/>
      <c r="AV113" s="977"/>
      <c r="AW113" s="867"/>
      <c r="AX113" s="978"/>
      <c r="AY113" s="977"/>
      <c r="AZ113" s="867"/>
      <c r="BA113" s="1217"/>
      <c r="BB113" s="977"/>
      <c r="BC113" s="867"/>
      <c r="BD113" s="1217"/>
      <c r="BE113" s="977"/>
      <c r="BF113" s="867"/>
      <c r="BG113" s="1217"/>
      <c r="BH113" s="977"/>
      <c r="BI113" s="867"/>
      <c r="BJ113" s="1217"/>
      <c r="BK113" s="977"/>
      <c r="BL113" s="867"/>
      <c r="BM113" s="1217"/>
      <c r="BN113" s="977"/>
      <c r="BO113" s="867"/>
      <c r="BP113" s="1217"/>
      <c r="BQ113" s="1210"/>
      <c r="BR113" s="1762"/>
      <c r="BS113" s="867"/>
      <c r="BT113" s="868"/>
      <c r="BU113" s="977"/>
      <c r="BV113" s="867"/>
      <c r="BW113" s="868"/>
      <c r="BX113" s="1804"/>
      <c r="BY113" s="867"/>
      <c r="BZ113" s="978"/>
      <c r="CA113" s="1762"/>
      <c r="CB113" s="867"/>
      <c r="CC113" s="1763"/>
      <c r="CD113" s="1762"/>
      <c r="CE113" s="867"/>
      <c r="CF113" s="1763"/>
      <c r="CG113" s="186"/>
      <c r="CH113" s="186"/>
      <c r="CI113" s="186"/>
    </row>
    <row r="114" ht="15.0" customHeight="1" outlineLevel="1">
      <c r="A114" s="60">
        <v>92.0</v>
      </c>
      <c r="B114" s="979" t="s">
        <v>284</v>
      </c>
      <c r="C114" s="60">
        <v>92.0</v>
      </c>
      <c r="D114" s="496"/>
      <c r="E114" s="496"/>
      <c r="F114" s="496"/>
      <c r="G114" s="496"/>
      <c r="H114" s="1805"/>
      <c r="I114" s="1806"/>
      <c r="J114" s="496"/>
      <c r="K114" s="496"/>
      <c r="L114" s="495"/>
      <c r="M114" s="981"/>
      <c r="N114" s="982"/>
      <c r="O114" s="983"/>
      <c r="P114" s="1807"/>
      <c r="Q114" s="494"/>
      <c r="R114" s="981"/>
      <c r="S114" s="984"/>
      <c r="T114" s="985"/>
      <c r="U114" s="981"/>
      <c r="V114" s="984"/>
      <c r="W114" s="985"/>
      <c r="X114" s="981"/>
      <c r="Y114" s="984"/>
      <c r="Z114" s="985"/>
      <c r="AA114" s="986"/>
      <c r="AB114" s="984"/>
      <c r="AC114" s="987"/>
      <c r="AD114" s="986"/>
      <c r="AE114" s="984"/>
      <c r="AF114" s="988"/>
      <c r="AG114" s="986"/>
      <c r="AH114" s="984"/>
      <c r="AI114" s="988"/>
      <c r="AJ114" s="986"/>
      <c r="AK114" s="984"/>
      <c r="AL114" s="988"/>
      <c r="AM114" s="986"/>
      <c r="AN114" s="1141"/>
      <c r="AO114" s="1142"/>
      <c r="AP114" s="981"/>
      <c r="AQ114" s="1141"/>
      <c r="AR114" s="1142"/>
      <c r="AS114" s="981"/>
      <c r="AT114" s="1141"/>
      <c r="AU114" s="1808"/>
      <c r="AV114" s="1218"/>
      <c r="AW114" s="1141"/>
      <c r="AX114" s="1142"/>
      <c r="AY114" s="1218"/>
      <c r="AZ114" s="1141"/>
      <c r="BA114" s="1219"/>
      <c r="BB114" s="1218"/>
      <c r="BC114" s="1141"/>
      <c r="BD114" s="1219"/>
      <c r="BE114" s="1218"/>
      <c r="BF114" s="1141"/>
      <c r="BG114" s="1219"/>
      <c r="BH114" s="1218"/>
      <c r="BI114" s="1141"/>
      <c r="BJ114" s="1219"/>
      <c r="BK114" s="1218"/>
      <c r="BL114" s="1141"/>
      <c r="BM114" s="1219"/>
      <c r="BN114" s="1218"/>
      <c r="BO114" s="1141"/>
      <c r="BP114" s="1219"/>
      <c r="BQ114" s="1210"/>
      <c r="BR114" s="1809"/>
      <c r="BS114" s="1141"/>
      <c r="BT114" s="1142"/>
      <c r="BU114" s="1218"/>
      <c r="BV114" s="1141"/>
      <c r="BW114" s="1142"/>
      <c r="BX114" s="1810"/>
      <c r="BY114" s="1141"/>
      <c r="BZ114" s="1808"/>
      <c r="CA114" s="1218"/>
      <c r="CB114" s="1141"/>
      <c r="CC114" s="1811"/>
      <c r="CD114" s="1218"/>
      <c r="CE114" s="1141"/>
      <c r="CF114" s="1811"/>
      <c r="CG114" s="186"/>
      <c r="CH114" s="186"/>
      <c r="CI114" s="186"/>
    </row>
    <row r="115" outlineLevel="1">
      <c r="A115" s="60">
        <v>33.0</v>
      </c>
      <c r="B115" s="960" t="s">
        <v>166</v>
      </c>
      <c r="C115" s="60">
        <v>33.0</v>
      </c>
      <c r="D115" s="964"/>
      <c r="E115" s="162"/>
      <c r="F115" s="162"/>
      <c r="G115" s="162"/>
      <c r="H115" s="1812"/>
      <c r="I115" s="1813"/>
      <c r="J115" s="964"/>
      <c r="K115" s="162"/>
      <c r="L115" s="161"/>
      <c r="M115" s="962"/>
      <c r="N115" s="963"/>
      <c r="O115" s="990"/>
      <c r="P115" s="1814"/>
      <c r="Q115" s="160"/>
      <c r="R115" s="962"/>
      <c r="S115" s="966"/>
      <c r="T115" s="967"/>
      <c r="U115" s="962"/>
      <c r="V115" s="966"/>
      <c r="W115" s="967"/>
      <c r="X115" s="968"/>
      <c r="Y115" s="966"/>
      <c r="Z115" s="967"/>
      <c r="AA115" s="968"/>
      <c r="AB115" s="966"/>
      <c r="AC115" s="1815"/>
      <c r="AD115" s="968"/>
      <c r="AE115" s="966"/>
      <c r="AF115" s="969"/>
      <c r="AG115" s="968"/>
      <c r="AH115" s="966"/>
      <c r="AI115" s="969"/>
      <c r="AJ115" s="968"/>
      <c r="AK115" s="966"/>
      <c r="AL115" s="969"/>
      <c r="AM115" s="1816"/>
      <c r="AN115" s="966"/>
      <c r="AO115" s="967"/>
      <c r="AP115" s="962"/>
      <c r="AQ115" s="966"/>
      <c r="AR115" s="967"/>
      <c r="AS115" s="968"/>
      <c r="AT115" s="966"/>
      <c r="AU115" s="969"/>
      <c r="AV115" s="968"/>
      <c r="AW115" s="966"/>
      <c r="AX115" s="967"/>
      <c r="AY115" s="968"/>
      <c r="AZ115" s="966"/>
      <c r="BA115" s="1172"/>
      <c r="BB115" s="968"/>
      <c r="BC115" s="966"/>
      <c r="BD115" s="1172"/>
      <c r="BE115" s="968"/>
      <c r="BF115" s="966"/>
      <c r="BG115" s="1172"/>
      <c r="BH115" s="968"/>
      <c r="BI115" s="966"/>
      <c r="BJ115" s="1172"/>
      <c r="BK115" s="968"/>
      <c r="BL115" s="966"/>
      <c r="BM115" s="1172"/>
      <c r="BN115" s="968"/>
      <c r="BO115" s="966"/>
      <c r="BP115" s="1172"/>
      <c r="BQ115" s="1210"/>
      <c r="BR115" s="1816"/>
      <c r="BS115" s="966"/>
      <c r="BT115" s="967"/>
      <c r="BU115" s="968"/>
      <c r="BV115" s="966"/>
      <c r="BW115" s="967"/>
      <c r="BX115" s="1817"/>
      <c r="BY115" s="966"/>
      <c r="BZ115" s="969"/>
      <c r="CA115" s="968"/>
      <c r="CB115" s="966"/>
      <c r="CC115" s="1818"/>
      <c r="CD115" s="968"/>
      <c r="CE115" s="966"/>
      <c r="CF115" s="1818"/>
      <c r="CG115" s="186"/>
      <c r="CH115" s="186"/>
      <c r="CI115" s="186"/>
    </row>
    <row r="116" outlineLevel="1">
      <c r="A116" s="60">
        <v>44.0</v>
      </c>
      <c r="B116" s="1819" t="s">
        <v>189</v>
      </c>
      <c r="C116" s="60">
        <v>44.0</v>
      </c>
      <c r="D116" s="1820"/>
      <c r="E116" s="1820"/>
      <c r="F116" s="1820"/>
      <c r="G116" s="1820"/>
      <c r="H116" s="1821"/>
      <c r="I116" s="1822"/>
      <c r="J116" s="1822"/>
      <c r="K116" s="1820"/>
      <c r="L116" s="1823"/>
      <c r="M116" s="1824"/>
      <c r="N116" s="1825"/>
      <c r="O116" s="1826"/>
      <c r="P116" s="1827"/>
      <c r="Q116" s="1828"/>
      <c r="R116" s="1824"/>
      <c r="S116" s="1829"/>
      <c r="T116" s="1830"/>
      <c r="U116" s="1824"/>
      <c r="V116" s="1829"/>
      <c r="W116" s="1830"/>
      <c r="X116" s="1824"/>
      <c r="Y116" s="1829"/>
      <c r="Z116" s="1830"/>
      <c r="AA116" s="1831"/>
      <c r="AB116" s="1829"/>
      <c r="AC116" s="1832"/>
      <c r="AD116" s="1831"/>
      <c r="AE116" s="1829"/>
      <c r="AF116" s="1833"/>
      <c r="AG116" s="1831"/>
      <c r="AH116" s="1829"/>
      <c r="AI116" s="1833"/>
      <c r="AJ116" s="1831"/>
      <c r="AK116" s="1829"/>
      <c r="AL116" s="1833"/>
      <c r="AM116" s="1824"/>
      <c r="AN116" s="1829"/>
      <c r="AO116" s="1830"/>
      <c r="AP116" s="1824"/>
      <c r="AQ116" s="1829"/>
      <c r="AR116" s="1830"/>
      <c r="AS116" s="1824"/>
      <c r="AT116" s="1829"/>
      <c r="AU116" s="1833"/>
      <c r="AV116" s="1831"/>
      <c r="AW116" s="1829"/>
      <c r="AX116" s="1830"/>
      <c r="AY116" s="1831"/>
      <c r="AZ116" s="1829"/>
      <c r="BA116" s="1834"/>
      <c r="BB116" s="1831"/>
      <c r="BC116" s="1829"/>
      <c r="BD116" s="1834"/>
      <c r="BE116" s="1831"/>
      <c r="BF116" s="1829"/>
      <c r="BG116" s="1834"/>
      <c r="BH116" s="1831"/>
      <c r="BI116" s="1829"/>
      <c r="BJ116" s="1834"/>
      <c r="BK116" s="1831"/>
      <c r="BL116" s="1829"/>
      <c r="BM116" s="1834"/>
      <c r="BN116" s="1831"/>
      <c r="BO116" s="1829"/>
      <c r="BP116" s="1834"/>
      <c r="BQ116" s="1835"/>
      <c r="BR116" s="1836"/>
      <c r="BS116" s="1829"/>
      <c r="BT116" s="1830"/>
      <c r="BU116" s="1831"/>
      <c r="BV116" s="1829"/>
      <c r="BW116" s="1830"/>
      <c r="BX116" s="1837"/>
      <c r="BY116" s="1829"/>
      <c r="BZ116" s="1833"/>
      <c r="CA116" s="1831"/>
      <c r="CB116" s="1829"/>
      <c r="CC116" s="1838"/>
      <c r="CD116" s="1831"/>
      <c r="CE116" s="1829"/>
      <c r="CF116" s="1838"/>
      <c r="CG116" s="186"/>
      <c r="CH116" s="186"/>
      <c r="CI116" s="186"/>
    </row>
    <row r="117" ht="498.0" customHeight="1" outlineLevel="1">
      <c r="A117" s="569"/>
      <c r="B117" s="570"/>
      <c r="C117" s="68"/>
      <c r="D117" s="68"/>
      <c r="E117" s="68"/>
      <c r="F117" s="570"/>
      <c r="G117" s="68"/>
      <c r="H117" s="570"/>
      <c r="I117" s="571"/>
      <c r="J117" s="571"/>
      <c r="K117" s="571"/>
      <c r="L117" s="571"/>
      <c r="M117" s="68"/>
      <c r="N117" s="572"/>
      <c r="O117" s="68"/>
      <c r="P117" s="573"/>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135"/>
      <c r="BU117" s="68"/>
      <c r="BV117" s="68"/>
      <c r="BW117" s="68"/>
      <c r="BX117" s="68"/>
      <c r="BY117" s="68"/>
      <c r="BZ117" s="68"/>
      <c r="CA117" s="68"/>
      <c r="CB117" s="68"/>
      <c r="CC117" s="68"/>
      <c r="CD117" s="68"/>
      <c r="CE117" s="68"/>
      <c r="CF117" s="68"/>
      <c r="CG117" s="68"/>
      <c r="CH117" s="68"/>
      <c r="CI117" s="68"/>
    </row>
    <row r="118" ht="52.5" customHeight="1" outlineLevel="1">
      <c r="A118" s="59"/>
      <c r="B118" s="59"/>
      <c r="C118" s="59"/>
      <c r="D118" s="59"/>
      <c r="E118" s="59"/>
      <c r="F118" s="574"/>
      <c r="G118" s="59"/>
      <c r="H118" s="59"/>
      <c r="I118" s="575"/>
      <c r="J118" s="575"/>
      <c r="K118" s="575"/>
      <c r="L118" s="575"/>
      <c r="M118" s="59"/>
      <c r="N118" s="59"/>
      <c r="O118" s="59"/>
      <c r="P118" s="59"/>
      <c r="Q118" s="59"/>
      <c r="S118" s="993"/>
      <c r="T118" s="576"/>
      <c r="U118" s="59"/>
      <c r="V118" s="993"/>
      <c r="W118" s="576"/>
      <c r="X118" s="576"/>
      <c r="Y118" s="576"/>
      <c r="Z118" s="576"/>
      <c r="AA118" s="576"/>
      <c r="AB118" s="576"/>
      <c r="AC118" s="576"/>
      <c r="AD118" s="576"/>
      <c r="AE118" s="576"/>
      <c r="AF118" s="576"/>
      <c r="AG118" s="576"/>
      <c r="AH118" s="576"/>
      <c r="AI118" s="576"/>
      <c r="AJ118" s="576"/>
      <c r="AK118" s="576"/>
      <c r="AL118" s="576"/>
      <c r="AM118" s="59"/>
      <c r="AN118" s="59"/>
      <c r="AO118" s="576"/>
      <c r="AP118" s="59"/>
      <c r="AQ118" s="59"/>
      <c r="AR118" s="576"/>
      <c r="AS118" s="576"/>
      <c r="AT118" s="576"/>
      <c r="AU118" s="576"/>
      <c r="AV118" s="576"/>
      <c r="AW118" s="576"/>
      <c r="AX118" s="576"/>
      <c r="AY118" s="576"/>
      <c r="AZ118" s="576"/>
      <c r="BA118" s="576"/>
      <c r="BB118" s="576"/>
      <c r="BC118" s="576"/>
      <c r="BD118" s="576"/>
      <c r="BE118" s="576"/>
      <c r="BF118" s="576"/>
      <c r="BG118" s="576"/>
      <c r="BH118" s="576"/>
      <c r="BI118" s="576"/>
      <c r="BJ118" s="576"/>
      <c r="BK118" s="576"/>
      <c r="BL118" s="576"/>
      <c r="BM118" s="576"/>
      <c r="BN118" s="576"/>
      <c r="BO118" s="576"/>
      <c r="BP118" s="576"/>
      <c r="BQ118" s="576"/>
      <c r="BR118" s="577"/>
      <c r="BS118" s="577"/>
      <c r="BT118" s="577"/>
      <c r="BU118" s="577"/>
      <c r="BV118" s="577"/>
      <c r="BW118" s="577"/>
      <c r="BX118" s="577"/>
      <c r="BY118" s="577"/>
      <c r="BZ118" s="577"/>
      <c r="CA118" s="577"/>
      <c r="CB118" s="577"/>
      <c r="CC118" s="577"/>
      <c r="CD118" s="577"/>
      <c r="CE118" s="577"/>
      <c r="CF118" s="577"/>
      <c r="CG118" s="577"/>
      <c r="CH118" s="577"/>
      <c r="CI118" s="577"/>
    </row>
  </sheetData>
  <autoFilter ref="$A$3:$CI$116">
    <sortState ref="A3:CI116">
      <sortCondition ref="B3:B116"/>
      <sortCondition ref="A3:A116"/>
      <sortCondition ref="K3:K116"/>
    </sortState>
  </autoFilter>
  <mergeCells count="7">
    <mergeCell ref="B1:D1"/>
    <mergeCell ref="E1:CD1"/>
    <mergeCell ref="CE1:CF1"/>
    <mergeCell ref="R2:AL2"/>
    <mergeCell ref="AM2:BG2"/>
    <mergeCell ref="BH2:BP2"/>
    <mergeCell ref="BR2:CF2"/>
  </mergeCells>
  <conditionalFormatting sqref="T3:T65 W3:W65 Z3:AA65 AB3:AB4 AC3:AC65 AD3:AD116 AE3:AE34 AF3:AG116 AH3:AH39 AI3:AJ116 AK3:AK9 AL3:AL116 AO3:AO65 AR3:AR65 AU3:AV65 AW3:AW4 AX3:AX65 AY3:AY118 AZ3:AZ68 BA3:BE118 BF3:BF9 BG3:BG118 BH3:BH13 BI3:BI15 BJ3:BK118 BL3:BL25 BM3:BN118 BO3:BO4 BP3:BP118 BQ3 BT3:BT66 BW3:BX95 BY3:BY79 BZ3:CA118 CB3:CB73 CC3:CD118 CE3:CE7 CF3:CI118 BQ5:BQ118 AB6:AB24 AW6:AW15 BO8 CE9:CE26 AK11:AK116 BF11:BF118 BO11:BO25 BH15:BH39 AW17:AW24 BI18:BI24 BI27:BI28 BL27:BL28 BO27:BO28 AB28 AW28 CE28:CE118 AB30:AB34 AW30:AW31 BI30:BI36 BL30:BL39 BO30:BO41 AW33:AW34 AB36:AB39 AE36:AE68 AW36:AW39 BI38:BI39 AB41 AH41:AH116 AW41 BH41:BH118 BI41 BL41:BL45 AB43:AB45 AW43:AW45 BI43:BI45 BO43:BO60 X46:Y46 AB47 AW47 BI47:BI48 BL47:BL68 Y49 AB50:AB60 AW50 BI50 AW52:AW60 BI52:BI54 BI56 BI58:BI60 BI62:BI63 BO62:BO84 AB63:AB65 AW63:AW65 BI65:BI68 AC67:AC108 AU67:AU118 AV67:AV70 AX67:AX90 T68:T95 W68:W95 Z68:Z118 AA68:AA70 AB68 AO68:AO95 AR68:AR95 AW68 BT68:BT95 AB70 AE70:AE95 AW70 AZ70:AZ95 BI70:BI71 BL70:BL118 AA72:AB73 AV72:AV87 AW72:AW78 BI73:BI74 AA75 CB75:CB79 BI76:BI78 AA77:AB77 AA79 AB80 AW80:AW81 BI80:BI81 BY81:BY95 CB82:CB89 AW83:AW84 BI83:BI84 AA84:AA85 AB84 BI86:BI88 BO86:BO118 AA87:AA96 AB87 AW87 AB89:AB95 AV89:AW89 BI90:BI95 CB91 AX92 CB93:CB96 AV95:AV98 AW95 AX95:AX99 T97 W97:W118 AB97 AE97:AE116 AO97 AR97 AW97 AZ97:AZ118 BI97 BT97:BT100 BW97:BY97 AA98:AA108 CB98:CB118 BI99:BI118 BW99:BW100 BX99:BY118 T100:T118 AB100:AB107 AO100:AO118 AR100:AR118 BT102:BT118 BW102:BW118 AV108:AV118 AW108 AX108:AX118 AW110:AW114 AC115 AW116:AW118 AA118:AL118">
    <cfRule type="cellIs" dxfId="0" priority="1" operator="greaterThanOrEqual">
      <formula>"70%"</formula>
    </cfRule>
  </conditionalFormatting>
  <conditionalFormatting sqref="E1 Z1:AL1 AO1 AR1 AU1:BQ1 BT1 Z3:AA65 AB3:AB4 AC3:AC65 AD3:AD116 AE3:AE34 AF3:AG116 AH3:AH39 AI3:AJ116 AK3:AK9 AL3:AL116 AO3:AO65 AR3:AR65 AU3:AV65 AW3:AW4 AX3:AX65 AY3:AY118 AZ3:AZ68 BA3:BE118 BF3:BF9 BG3:BG118 BH3:BH13 BI3:BI15 BJ3:BK118 BL3:BL25 BM3:BN118 BO3:BO4 BP3:BP118 BQ3 BT3:BT66 T5:T65 W5:W65 BQ5:BQ118 AB6:AB24 AW6:AW15 BX6:CI6 BO8 AK11:AK116 BF11:BF118 BO11:BO25 BW12:CI13 BH15:BH39 BX15:CI15 AW17:AW24 BI18:BI24 BX18:CI18 BX24:CI24 BI27:BI28 BL27:BL28 BO27:BO28 BX27:CD27 CF27:CI27 AB28 AW28 AB30:AB34 AW30:AW31 BI30:BI36 BL30:BL39 BO30:BO41 AW33:AW34 AB36:AB39 AE36:AE68 AW36:AW39 BI38:BI39 BX38:CI38 AB41 AH41:AH116 AW41 BH41:BH118 BI41 BL41:BL45 AB43:AB45 AW43:AW45 BI43:BI45 BO43:BO60 BX43:CI43 BW45:CI45 X46:Y46 AB47 AW47 BI47:BI48 BL47:BL68 BX48:CI49 Y49 BW49 AB50:AB60 AW50 BI50 AW52:AW60 BI52:BI54 BX52:CI52 BX54:CI54 BI56 BI58:BI60 BX58:CI58 BX60:CI60 BI62:BI63 BO62:BO84 AB63:AB65 AW63:AW65 BX63:CI63 BI65:BI68 BW66:CI66 AC67:AC108 AU67:AU118 AV67:AV70 AX67:AX90 T68:T95 W68:W95 Z68:Z118 AA68:AA70 AB68 AO68:AO95 AR68:AR95 AW68 BT68:BT95 AB70 AE70:AE95 AW70 AZ70:AZ95 BI70:BI71 BL70:BL118 BX71:CI71 AA72:AB73 AV72:AV87 AW72:AW78 BI73:BI74 BX74:CA74 CC74:CI74 AA75 BI76:BI78 BX76:CI76 AA77:AB77 BX78:CI78 AA79 AB80 AW80:AW81 BI80:BI81 BX80:BX81 BZ80:CA81 CC80:CI81 BY81 AW83:AW84 BI83:BI84 BX83:CI83 AA84:AA85 AB84 BI86:BI88 BO86:BO118 BW86:CI86 AA87:AA96 AB87 AW87 AB89:AB95 AV89:AW89 BI90:BI95 CD90:CF92 BX91:CC91 CG91:CI91 AX92 BX94:CI94 AV95:AV98 AW95 AX95:AX99 T97 W97:W113 AB97 AE97:AE116 AO97 AR97 AW97 AZ97:AZ118 BI97 BT97:BT100 BX97:CA97 CC97:CI97 AA98:AA108 BI99:BI118 BX99:CI99 T100:T113 AB100:AB107 AO100:AO118 AR100:AR118 BT102:BT118 AV108:AV118 AW108 AX108:AX118 AW110:AW114 BX114:CI116 AC115 AW116:AW118 AA118:AL118">
    <cfRule type="cellIs" dxfId="1" priority="2" operator="between">
      <formula>"49%"</formula>
      <formula>"69%"</formula>
    </cfRule>
  </conditionalFormatting>
  <conditionalFormatting sqref="E1 W1 Z1:AL1 AO1 AR1 AU1:BQ1 BT1 W3:W65 Z3:AA65 AB3:AB4 AC3:AC65 AD3:AD116 AE3:AE34 AF3:AG116 AH3:AH39 AI3:AJ116 AK3:AK9 AL3:AL116 AO3:AO65 AR3:AR65 AU3:AV65 AW3:AW4 AX3:AX65 AY3:AY118 AZ3:AZ68 BA3:BE118 BF3:BF9 BG3:BG118 BH3:BH13 BI3:BI15 BJ3:BK118 BL3:BL25 BM3:BN118 BO3:BO4 BP3:BP118 BQ3 BT3:BT66 BQ5:BQ118 AB6:AB24 AW6:AW15 BX6:CI6 BO8 AK11:AK116 BF11:BF118 BO11:BO25 BW12:CI13 BH15:BH39 BX15:CI15 AW17:AW24 BI18:BI24 BX18:CI18 BX24:CI24 BI27:BI28 BL27:BL28 BO27:BO28 BX27:CD27 CF27:CI27 AB28 AW28 AB30:AB34 AW30:AW31 BI30:BI36 BL30:BL39 BO30:BO41 AW33:AW34 AB36:AB39 AE36:AE68 AW36:AW39 BI38:BI39 BX38:CI38 AB41 AH41:AH116 AW41 BH41:BH118 BI41 BL41:BL45 AB43:AB45 AW43:AW45 BI43:BI45 BO43:BO60 BX43:CI43 BW45:CI45 X46:Y46 AB47 AW47 BI47:BI48 BL47:BL68 BX48:CI49 Y49 BW49 AB50:AB60 AW50 BI50 AW52:AW60 BI52:BI54 BX52:CI52 BX54:CI54 BI56 BI58:BI60 BX58:CI58 BX60:CI60 BI62:BI63 BO62:BO84 AB63:AB65 AW63:AW65 BX63:CI63 BI65:BI68 BW66:CI66 AC67:AC108 AU67:AU118 AV67:AV70 AX67:AX90 W68:W95 Z68:Z118 AA68:AA70 AB68 AO68:AO95 AR68:AR95 AW68 BT68:BT95 AB70 AE70:AE95 AW70 AZ70:AZ95 BI70:BI71 BL70:BL118 BX71:CI71 AA72:AB73 AV72:AV87 AW72:AW78 BI73:BI74 BX74:CA74 CC74:CI74 AA75 BI76:BI78 BX76:CI76 AA77:AB77 BX78:CI78 AA79 AB80 AW80:AW81 BI80:BI81 BX80:BX81 BZ80:CA81 CC80:CI81 BY81 AW83:AW84 BI83:BI84 BX83:CI83 AA84:AA85 AB84 BI86:BI88 BO86:BO118 BW86:CI86 AA87:AA96 AB87 AW87 AB89:AB95 AV89:AW89 BI90:BI95 CD90:CF92 BX91:CC91 CG91:CI91 AX92 BX94:CI94 AV95:AV98 AW95 AX95:AX99 W97:W118 AB97 AE97:AE116 AO97 AR97 AW97 AZ97:AZ118 BI97 BT97:BT100 BX97:CA97 CC97:CI97 AA98:AA108 BI99:BI118 BX99:CI99 AB100:AB107 AO100:AO118 AR100:AR118 BT102:BT118 T106 AV108:AV118 AW108 AX108:AX118 AW110:AW114 BX114:CI116 AC115 AW116:AW118 AA118:AL118">
    <cfRule type="cellIs" dxfId="2" priority="3" operator="between">
      <formula>"1%"</formula>
      <formula>"50%"</formula>
    </cfRule>
  </conditionalFormatting>
  <conditionalFormatting sqref="T3:T65 W3:W65 Z3:AA65 AB3:AB4 AC3:AD65 AE3:AE34 AF3:AG65 AH3:AH39 AI3:AJ65 AK3:AK9 AL3:AL65 AO3:AO65 AR3:AR65 AU3:AV65 AW3:AW4 AX3:AX65 AY3:AY118 AZ3:AZ68 BA3:BE118 BF3:BF9 BG3:BG118 BH3:BH13 BI3:BI15 BJ3:BK118 BL3:BL25 BM3:BN118 BO3:BO4 BP3:BP118 BQ3 BT3:BT66 BW3:BX95 BY3:BY79 BZ3:CA118 CB3:CB73 CC3:CD118 CE3:CE7 CF3:CI118 BQ5:BQ118 AB6:AB24 AW6:AW15 BO8 CE9:CE26 AK11:AK65 BF11:BF118 BO11:BO25 BH15:BH39 AW17:AW24 BI18:BI24 BI27:BI28 BL27:BL28 BO27:BO28 AB28 AW28 CE28:CE118 AB30:AB34 AW30:AW31 BI30:BI36 BL30:BL39 BO30:BO41 AW33:AW34 AB36:AB39 AE36:AE65 AW36:AW39 BI38:BI39 AB41 AH41:AH65 AW41 BH41:BH118 BI41 BL41:BL45 AB43:AB45 AW43:AW45 BI43:BI45 BO43:BO60 X46:Y46 AB47 AW47 BI47:BI48 BL47:BL68 Y49 AB50:AB60 AW50 BI50 AW52:AW60 BI52:BI54 BI56 BI58:BI60 BI62:BI63 BO62:BO84 AB63:AB65 AW63:AW65 BI65:BI68 AC67:AD108 AE67:AE68 AF67:AL108 AU67:AU118 AV67:AV70 AX67:AX90 T68:T95 W68:W95 Z68:Z118 AA68:AA70 AB68 AO68:AO95 AR68:AR95 AW68 BT68:BT95 AB70 AE70:AE95 AW70 AZ70:AZ95 BI70:BI71 BL70:BL118 AA72:AB73 AV72:AV87 AW72:AW78 BI73:BI74 AA75 CB75:CB79 BI76:BI78 AA77:AB77 AA79 AB80 AW80:AW81 BI80:BI81 BY81:BY95 CB82:CB89 AW83:AW84 BI83:BI84 AA84:AA85 AB84 BI86:BI88 BO86:BO118 AA87:AA96 AB87 AW87 AB89:AB95 AV89:AW89 BI90:BI95 CB91 AX92 CB93:CB96 AV95:AV98 AW95 AX95:AX99 T97 W97:W118 AB97 AE97:AE108 AO97 AR97 AW97 AZ97:AZ118 BI97 BT97:BT100 BW97:BY97 AA98:AA108 CB98:CB118 BI99:BI118 BW99:BW100 BX99:BY118 T100:T118 AB100:AB107 AO100:AO118 AR100:AR118 BT102:BT118 BW102:BW118 AV108:AV118 AW108 AX108:AX118 AW110:AW114 AC115:AL115 AW116:AW118 AA118:AL118">
    <cfRule type="cellIs" dxfId="2" priority="4" operator="between">
      <formula>"1%"</formula>
      <formula>"50%"</formula>
    </cfRule>
  </conditionalFormatting>
  <conditionalFormatting sqref="T3:T65 W3:W65 Z3:AA65 AB3:AB4 AC3:AD65 AE3:AE34 AF3:AG65 AH3:AH39 AI3:AJ65 AK3:AK9 AL3:AL65 AO3:AO65 AR3:AR65 AU3:AV65 AW3:AW4 AX3:AX65 AY3:AY118 AZ3:AZ68 BA3:BE118 BF3:BF9 BG3:BG118 BH3:BH13 BI3:BI15 BJ3:BK118 BL3:BL25 BM3:BN118 BO3:BO4 BP3:BP118 BQ3 BT3:BT66 BW3:BX95 BY3:BY79 BZ3:CA118 CB3:CB73 CC3:CD118 CE3:CE7 CF3:CI118 BQ5:BQ118 AB6:AB24 AW6:AW15 BO8 CE9:CE26 AK11:AK65 BF11:BF118 BO11:BO25 BH15:BH39 AW17:AW24 BI18:BI24 BI27:BI28 BL27:BL28 BO27:BO28 AB28 AW28 CE28:CE118 AB30:AB34 AW30:AW31 BI30:BI36 BL30:BL39 BO30:BO41 AW33:AW34 AB36:AB39 AE36:AE65 AW36:AW39 BI38:BI39 AB41 AH41:AH65 AW41 BH41:BH118 BI41 BL41:BL45 AB43:AB45 AW43:AW45 BI43:BI45 BO43:BO60 X46:Y46 AB47 AW47 BI47:BI48 BL47:BL68 Y49 AB50:AB60 AW50 BI50 AW52:AW60 BI52:BI54 BI56 BI58:BI60 BI62:BI63 BO62:BO84 AB63:AB65 AW63:AW65 BI65:BI68 AC67:AD108 AE67:AE68 AF67:AL108 AU67:AU118 AV67:AV70 AX67:AX90 T68:T95 W68:W95 Z68:Z118 AA68:AA70 AB68 AO68:AO95 AR68:AR95 AW68 BT68:BT95 AB70 AE70:AE95 AW70 AZ70:AZ95 BI70:BI71 BL70:BL118 AA72:AB73 AV72:AV87 AW72:AW78 BI73:BI74 AA75 CB75:CB79 BI76:BI78 AA77:AB77 AA79 AB80 AW80:AW81 BI80:BI81 BY81:BY95 CB82:CB89 AW83:AW84 BI83:BI84 AA84:AA85 AB84 BI86:BI88 BO86:BO118 AA87:AA96 AB87 AW87 AB89:AB95 AV89:AW89 BI90:BI95 CB91 AX92 CB93:CB96 AV95:AV98 AW95 AX95:AX99 T97 W97:W118 AB97 AE97:AE108 AO97 AR97 AW97 AZ97:AZ118 BI97 BT97:BT100 BW97:BY97 AA98:AA108 CB98:CB118 BI99:BI118 BW99:BW100 BX99:BY118 T100:T118 AB100:AB107 AO100:AO118 AR100:AR118 BT102:BT118 BW102:BW118 AV108:AV118 AW108 AX108:AX118 AW110:AW114 AC115:AL115 AW116:AW118 AA118:AL118">
    <cfRule type="cellIs" dxfId="1" priority="5" operator="between">
      <formula>"49%"</formula>
      <formula>"69%"</formula>
    </cfRule>
  </conditionalFormatting>
  <conditionalFormatting sqref="M3:O3">
    <cfRule type="cellIs" dxfId="3" priority="6" operator="equal">
      <formula>"VERSION"</formula>
    </cfRule>
  </conditionalFormatting>
  <conditionalFormatting sqref="O4:O117 P66">
    <cfRule type="expression" dxfId="1" priority="7">
      <formula>IFERROR(ARRAYFORMULA(VALUE(MID(M4,2,10))) &gt; VALUE(MID(O4,2,10)), FALSE)</formula>
    </cfRule>
  </conditionalFormatting>
  <conditionalFormatting sqref="M3:M118 N3 O3:O69 N5:N118 P66 O71:O117">
    <cfRule type="beginsWith" dxfId="4" priority="8" operator="beginsWith" text="V">
      <formula>LEFT((M3),LEN("V"))=("V")</formula>
    </cfRule>
  </conditionalFormatting>
  <conditionalFormatting sqref="Y3:Y5 AB3 AE3 AH3 AK3 AT3:AT5 AW3 AZ3 BC3 BF3 BS5 Y7:Y15 AB7:AB16 AE7:AE13 AH7:AH13 AK7:AK9 AT7:AT15 AW7:AW14 AZ7:AZ13 BC7:BC13 BF7:BF9 BI7:BI13 BL7:BL13 BO8 AK11:AK13 BF11:BF13 BO11:BO13 AE15 AH15 AK15 AB18:AB25 AE18:AE25 AH18:AH25 AK18:AK25 AW18:AW23 AZ18:AZ23 BC18:BC23 BF18:BF23 BI18:BI23 BL18:BL23 BO18:BO23 Y19:Y25 AT19:AT25 BS20 AA24 AD24 AG24 AJ24 BS24:BS28 AW25:AW26 AZ25:AZ26 BC25:BC26 BF25:BF26 Y27:Y40 AA27:AA28 AD27:AE28 AG27:AH28 AJ27:AK28 AT27:AT41 AB28:AB35 AW29:AW31 BF29:BF34 AE30:AE34 AH30:AH34 AK30:AK34 AZ30:AZ34 BC30:BC34 BI30:BI34 BL30:BL34 BO30:BO34 AW33:AW34 AD35 AG35 AJ35 BS36 AA38:AB38 AD38:AE38 AG38:AH38 AJ38:AK38 BS38 AB40 AG40 AJ40 AW40 BK40 BN40 BS40 Y42:Y43 BS42 AA43:AB43 AD43:AE43 AG43:AH43 AJ43:AK43 AT43:AT45 Y45 AA45:AB45 AD45:AE45 AG45:AH45 AJ45:AK45 BK46 BN46 Y47:Y60 AT47:AT60 AA48 AD48:AE48 AG48:AH48 AJ48:AK48 AW49 AW51 AZ51 BC51 BF51 AA52:AB52 AD52:AE52 AG52:AH52 AJ52:AK52 AA54:AB54 AD54:AE54 AG54:AH54 AJ54:AK54 AB57:AB58 AE57:AE58 AH57:AH58 AK57:AK58 AA58 AD58 AG58 AJ58 AA60:AB60 AD60:AE60 AG60:AH60 AJ60:AK60 Y62:Y65 AT62:AT65 AA63:AB63 AD63:AE63 AG63:AH63 AJ63:AK63 AE66:AE67 AH66:AH67 AK66:AK67 AZ66 BC66 BF66 BI66 BL66 BO66 BS66 BV66 AD67 AG67 AJ67 AT67:AT74 Y68:Y74 BK69 BN69 AB71:AB72 AE71 AH71 AK71 AW71:AW72 AZ71 BC71 BF71 BI71 BL71 BO71 AD74:AE74 AG74:AH74 AJ74:AK74 CB74 CE74 Y76:Y95 AD76:AE76 AG76:AH76 AJ76:AK76 AT76:AT95 AD78:AE78 AG78:AH78 AJ78:AK78 AB80 AD80:AE83 AG80:AH83 AJ80:AK83 BS80 BV80 BY80 CA80:CB81 CD80:CE81 BS82 AD86:AE86 AG86:AH86 AJ86:AK86 AE88 AH88 AK88 AZ88 BC88 BF88 BI88 BL88 BO88 AB90:AB94 AE90:AE94 AH90:AH94 AK90:AK94 AZ90:AZ94 BC90:BC94 BF90:BF94 BI90:BI94 BL90:BL94 BO90:BO94 CB90 CE90 CB92 CE92 Y97 AB97 AD97:AE97 AG97:AH97 AJ97:AK97 AT97 CA97:CB97 CD97:CE97 Y99:Y107 AE99:AE107 AH99:AH107 AK99:AK107 AT99:AT107 AZ99:AZ107 BC99:BC107 BF99:BF107 BI99:BI107 BL99:BL107 BO99:BO107 AB100:AB107 AS106 AD109:AE116 AG109:AH116 AJ109:AK116 Y110:Y118 AT110:AT118">
    <cfRule type="timePeriod" dxfId="12" priority="9" timePeriod="today"/>
  </conditionalFormatting>
  <conditionalFormatting sqref="Q3:Q118 BQ14 BQ69">
    <cfRule type="cellIs" dxfId="5" priority="10" operator="equal">
      <formula>"YASMIN"</formula>
    </cfRule>
  </conditionalFormatting>
  <conditionalFormatting sqref="Q3:Q118 BQ14 BQ69">
    <cfRule type="cellIs" dxfId="6" priority="11" operator="equal">
      <formula>"LETÍCIA"</formula>
    </cfRule>
  </conditionalFormatting>
  <conditionalFormatting sqref="Q2:Q118 BQ14 BQ69">
    <cfRule type="cellIs" dxfId="7" priority="12" operator="equal">
      <formula>"CICI"</formula>
    </cfRule>
  </conditionalFormatting>
  <conditionalFormatting sqref="Q2:Q118 BQ14 BQ69">
    <cfRule type="cellIs" dxfId="1" priority="13" operator="equal">
      <formula>"AIRTON"</formula>
    </cfRule>
  </conditionalFormatting>
  <conditionalFormatting sqref="Q2:Q118 BQ14 BQ69">
    <cfRule type="cellIs" dxfId="8" priority="14" operator="equal">
      <formula>"GUILHERME"</formula>
    </cfRule>
  </conditionalFormatting>
  <conditionalFormatting sqref="Q79 Q82">
    <cfRule type="cellIs" dxfId="9" priority="15" operator="equal">
      <formula>"JOÃO"</formula>
    </cfRule>
  </conditionalFormatting>
  <conditionalFormatting sqref="O4">
    <cfRule type="notContainsBlanks" dxfId="10" priority="16">
      <formula>LEN(TRIM(O4))&gt;0</formula>
    </cfRule>
  </conditionalFormatting>
  <dataValidations>
    <dataValidation type="list" allowBlank="1" showDropDown="1" showErrorMessage="1" sqref="R7:R11 U7:U11 X7:X11 AA7:AA11 AM7:AM11 AP7:AP11 AS7:AS11 AV7:AV11 AY7:AY11 BB7:BB11 BE7:BE11 BH7:BH11 BK7:BK11 BN7:BN11 BR7:BR11 BU7:BU11 BX7:BX11 CA7:CA11 CD7:CD11 AY13 BB13 BE13 BH13 BK13 BN13 BR13 BU13 BX13 CA13 CD13 AA13:AA15 AM13:AM15 AP13:AP15 AS13:AS15 BB15:BB17 BE15:BE17 BK15:BK17 BN15:BN17 BR15:BR17 BU15:BU17 BX17 AD18 BB19:BB23 BE19:BE23 BK19:BK23 BN19:BN23 BX19:BX23 CA19:CA23 CD19:CD23 AD24:AD25 AY15:AY27 BB26:BB27 BE26:BE27 BH15:BH27 BK26:BK27 BN26:BN27 BR19:BR27 BU19:BU27 BX26:BX27 CA27 CD27 AA17:AA28 AM17:AM28 AP17:AP28 AS17:AS28 AA30:AA34 AM30:AM34 AP30:AP34 AS30:AS34 BX30:BX34 CA30:CA34 CD30:CD34 BB29:BB35 BE29:BE35 BK29:BK35 BN29:BN35 BR30:BR35 BU30:BU35 AD36 BB37 BE37 BK37 BN37 BH29:BH38 R13:R39 U13:U39 X13:X39 AA36:AA39 AD38:AD39 AM36:AM39 AP36:AP39 AS36:AS39 BB40 BE40 BH40 BK40 BN40 BR40 BU40 BX40 R41 U41 X41 AA41 AD41 AM41 AP41 AS41 CA43 AY29:AY46 BB42:BB46 BE42:BE46 BH42:BH46 BK42:BK46 BN42:BN46 BR42:BR46 BU42:BU46 BX43:BX46 CA46 BH48 R43:R49 U43:U49 X43:X49 AA43:AA49 AD49 AM43:AM49 AP43:AP49 AS43:AS49 BR50 BU50 BX50 R51 U51 X51 AA51 AM51 AP51 AS51 BB50:BB52 BE50:BE52 BH50:BH52 BK50:BK52 BN50:BN52 BR52 BU52 BX52 CA52 CD52 R53 U53 X53 AA53 AD53 AM53 AP53 AS53 AY48:AY54 BB54 BE54 BH54 BK54 BN54 BR54 BU54 BX54 AY56 BB56 BE56 BH56 BK56 BN56 BR56 BU56 R55:R57 U55:U57 X55:X57 AA55:AA57 AM55:AM57 AP55:AP57 AS55:AS57 BB58:BB59 BE58:BE59 BH58:BH59 BK58:BK59 BN58:BN59 BR58:BR59 BU58:BU59 BX59 R59:R60 U59:U60 X59:X60 AA60 AD60 AM60 AP60 AS59:AS60 BX61 BB61:BB63 BE61:BE63 BH61:BH63 BK61:BK63 BN61:BN63 BR61:BR63 BU61:BU63 BX63 R64 U64 X64 AM64 AP64 AS64 BB65 BE65 BH65 BK65 BN65 BR65 BU65 CA65 R66 U66 X66 AA66 AD66 AM66 AP66 AS66 BB67 BE67 BH67 BK67 BN67 BR67 BU67 BX67 R68 U68 X68 AA68 AD68 AM68 AP68 AS68 BB69 BE69 BH69 BK69 BN69 BR69 BU69 BX69 R70 U70 X70 AA70 AD70 AM70 AP70 AS70 BB71 BE71 BH71 BK71 BN71 BR71 BU71 BX71 R72 U72 X72 AA72 AD72 AM72 AP72 AS72 AY58:AY73 BB73 BE73 BH73 BK73 BN73 BR73 BU73 BX73 R74 U74 X74 AA74 AM74 AP74 AS74 AY75 BB75 BE75 BH75 BK75 BN75 BR75 BU75 BR77 BU77 AA76:AA78 AD78 BB77:BB78 BE77:BE78 R76:R79 U76:U79 X76:X79 AM76:AM79 AP76:AP79 AS76:AS79 BH77:BH79 BK77:BK79 BN77:BN79 BB80:BB86 BE80:BE86 BH81:BH86 BK81:BK86 BN81:BN86 BR84:BR86 BU84:BU86 AD87 AA87:AA88 AM87:AM88 AP87:AP88 AS87:AS88 CA88 CD88 BB88:BB89 BE88:BE89 BH88:BH89 BK88:BK89 BN88:BN89 BR88:BR89 BU88:BU89 BX88:BX89 R87:R90 U87:U90 X87:X90 AA90 AD90 AM90 AP90 AS90 AV13:AV91 AY77:AY91 BB91 BE91 BH91 BK91 BN91 BR91 BU91 BX91 R93 U93 X93 AA93 AM93 AP93 AS93 AV93 AY93 BB93 BE93 BH93 BK93 BN93 BR93 BU93 BX93 CA93 CD93 R100:R107 U100:U107 X100:X107 AA100:AA107 AM100:AM107 AP100:AP107 AS100:AS107 AV100:AV107 AY100:AY107 BB100:BB107 BE100:BE107 BH100:BH107 BK100:BK107 BN100:BN107 BR100:BR107 BU100:BU107 BX100:BX107 CA100:CA107 CD100:CD107 AV117 BR117 BU117">
      <formula1>"APPROVED,REPROVED,N/A,IN ANALYSIS,NOT FOUND,NOT PUBLISHED,TO BE AUDITED"</formula1>
    </dataValidation>
    <dataValidation type="list" allowBlank="1" showDropDown="1" showErrorMessage="1" sqref="F7:F11 F13:F91 F93 F100:F107 F117">
      <formula1>"DATA,SITE,GUAR,C345,C12A,PUMP,UTLS,ADMN,COL1,COL2,COL3,COL4,COL5,STIR"</formula1>
    </dataValidation>
    <dataValidation type="list" allowBlank="1" showDropDown="1" showErrorMessage="1" sqref="BR14 BU14 BX14 CA14 CD14 AM16 AP16 AS16 BR18 BU18 BX18 CA18 CD18 BX24:BX25 CA24:CA25 CD24:CD25 AM29 AP29 AS29 BR28:BR29 BU28:BU29 BX28:BX29 CA28:CA29 CD28:CD29 AM35 AP35 AS35 BR36 BR38:BR39 BU36:BU39 BX36:BX39 CA36:CA39 CD36:CD39 R40 U40 X40 AM40 AP40 AS40 BR41 BU41 BX41 CA41 CD41 R42 U42 X42 AM42 AP42 AS42 BR47:BR49 BU47:BU49 BX47:BX49 CA47:CA49 CD47:CD49 R50 U50 X50 AM50 AP50 AS50 BR51:BX51 CA51 CD51 R52 U52 X52:AC52 AM52 AP52 AS52:AU52 BR53 BU53 BX53 CA53 CD53 R54 U54 X54 AM54 AP54 AS54 BR55 BU55 BX55 CA55 CD55 BR57 BU57 BX57 CA57 CD57 R58 U58 X58 AS58 AA58:AC59 AM58:AM59 AP58:AP59 BR60 BU60 BX60 CA60 CD60 R61:R63 U61:U63 X61:X63 AM61:AM63 AP61:AP63 AS61:AS63 BR64 BU64 BX64 CA64 CD64 R65 U65 X65 AA61:AC65 AM65 AP65 AS65 BR66 BU66 BX66 CA66 CD66 R67 U67 X67 AA67:AC67 AM67 AP67 AS67 BR68 BU68 BX68 CA68 CD68 R69 U69 X69 AM69 AP69 AS69 BR70 BU70 BX70 CA70 CD70 R71 U71 X71 AM71 AP71 AS71 BR72 BU72 BX72 CA72 CD72 R73 U73 X73 AM73 AP73 AS73 BR74 BX74 CA74 CD74 AA75:AC75 BR76 BX76 CA76 CD76 BR78:BR83 BU78:BU83 BX78:BX83 CA78:CA83 CD78:CD83 R80:R86 U80:U86 X80:X86 AA79:AC86 AM80:AM86 AP80:AP86 AS80:AS86 BR87 BU87 BX87 CA87 CD87 AM89 AP89 AS89 BR90 BU90 BX90 CA90 CD90 R91 U91 X91 AM91 AP91 AS91 R117 U117 X117 AA117:AM117 AP117 AS117">
      <formula1>"APPROVED,REPROVED,N/A"</formula1>
    </dataValidation>
    <dataValidation type="list" allowBlank="1" showDropDown="1" showErrorMessage="1" sqref="CA17 CD17 AG18 AJ18 BB18 BE18 AG24:AG25 AJ24:AJ25 BB24:BB25 BE24:BE25 BK25 BN25 CA26 CD26 AG36 AJ36 BB36 BE36 AG38:AG39 AJ38:AJ39 BB38:BB39 BE38:BE39 CA40 CD40 AG41 AJ41 BB41 BE41 CA44:CA45 CD44:CD45 AG47 AJ47 AG49 AJ49 BB47:BB49 BE47:BE49 CA50 CD50 AG53 AJ53 BB53 BE53 CA54 CD54 CA59 CD59 AG60 AJ60 BB60 BE60 CA61 CA63 CD61:CD63 BB64 BE64 CD65 AG66 AJ66 BB66 BE66 CA67 CD67 AG68 AJ68 BB68 BE68 CA69 CD69 AG70 AJ70 BB70 BE70 CA71 CD71 AG72 AJ72 BB72 BE72 CA73 CD73 AG78 AJ78 BB79 BE79 BK80 BN80 CA84:CA86 CD84:CD86 AG87 AJ87 BB87 BE87 CA89 CD89 AG90 AJ90 BB90 BE90 CA91 CD91">
      <formula1>"APPROVED,REPROVED,N/A,IN ANALYSIS,NOT FOUND,NOT PUBLISHED,TO BE AUDITED,PREVIOUSLY APPROVED"</formula1>
    </dataValidation>
    <dataValidation type="list" allowBlank="1" showDropDown="1" showErrorMessage="1" sqref="G7:G11 G13:G91 G93 G100:G107 G117">
      <formula1>"R22,2X3"</formula1>
    </dataValidation>
    <dataValidation type="list" allowBlank="1" showDropDown="1" showErrorMessage="1" sqref="H7:H11 H13:H91 H93 H100:H107 H117">
      <formula1>".rvt,.ifc"</formula1>
    </dataValidation>
    <dataValidation type="list" allowBlank="1" showDropDown="1" showErrorMessage="1" sqref="AD7:AD11 AG7:AG11 AJ7:AJ11 AD13:AD14 AG13:AG14 AJ13:AJ14 AY14 BB14 BE14 BH14 BK14 BN14 BX15:BX16 CA15:CA16 CD15:CD16 AD17 AG17 AJ17 BK18 BN18 AD19:AD23 AG19:AG23 AJ19:AJ23 BK24 BN24 AD26:AD28 AG26:AG28 AJ26:AJ28 AY28 BB28 BE28 BH28 BK28 BN28 AD30:AD34 AG30:AG34 AJ30:AJ34 BX35 CA35 CD35 BK36 BN36 AD37 AG37 AJ37 BH39 BK38:BK39 BN38:BN39 BH41 BK41 BN41 BX42 CA42 CD42:CD43 AG43:AG46 AJ43:AJ46 CD46 AY47 BH47 AD43:AD48 AG48 AJ48 BH49 BK47:BK49 BN47:BN49 AD51 AG51 AJ51 BH53 BK53 BN53 AY55 BB55 BE55 BH55 BK55 BN55 BX56 CA56 CD56 AD55:AD57 AG55:AG57 AJ55:AJ57 AY57 BB57 BE57 BH57 BK57 BN57 BX58 CA58 CD58 BH60 BK60 BN60 BX62 CA62 BH64 BK64 BN64 BX65 BH66 BK66 BN66 BH68 BK68 BN68 BH70 BK70 BN70 BH72 BK72 BN72 AD74 AG74 AJ74 AY74 BB74 BE74 BH74 BK74 BN74 BX75 CA75 CD75 AY76 BB76 BE76 BH76 BK76 BN76 AD76:AD77 AG76:AG77 AJ76:AJ77 BX77 CA77 CD77 BH80 BX84:BX86 BH87 BK87 BN87 AD88 AG88 AJ88 BH90 BK90 BN90 AD93 AG93 AJ93 AD100:AD107 AG100:AG107 AJ100:AJ107">
      <formula1>"APPROVED,REPROVED,N/A,IN ANALYSIS,NOT FOUND,NOT PUBLISHED,TO BE AUDITED,OUTDATED MODEL"</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