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515" windowHeight="130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S122" i="1"/>
  <c r="R122"/>
  <c r="N122"/>
  <c r="M122"/>
  <c r="S125"/>
  <c r="R125"/>
  <c r="N125"/>
  <c r="M109"/>
  <c r="S119"/>
  <c r="R119"/>
  <c r="S116"/>
  <c r="R116"/>
  <c r="N119"/>
  <c r="M119"/>
  <c r="S118"/>
  <c r="S115"/>
  <c r="R115"/>
  <c r="R118"/>
  <c r="R106"/>
  <c r="R103"/>
  <c r="S112"/>
  <c r="S109"/>
  <c r="R112"/>
  <c r="R109"/>
  <c r="S95"/>
  <c r="S99" s="1"/>
  <c r="R95"/>
  <c r="R99" s="1"/>
  <c r="S87"/>
  <c r="R87"/>
  <c r="N118"/>
  <c r="M118"/>
  <c r="M115"/>
  <c r="M125" s="1"/>
  <c r="N112"/>
  <c r="M112"/>
  <c r="N109"/>
  <c r="M106"/>
  <c r="M103"/>
  <c r="N95"/>
  <c r="N99" s="1"/>
  <c r="M95"/>
  <c r="N87"/>
  <c r="M87"/>
  <c r="H113"/>
  <c r="I113"/>
  <c r="I106"/>
  <c r="D106"/>
  <c r="D107" s="1"/>
  <c r="C107"/>
  <c r="C106"/>
  <c r="M72"/>
  <c r="H106"/>
  <c r="C113"/>
  <c r="I110"/>
  <c r="H110"/>
  <c r="H103"/>
  <c r="I103"/>
  <c r="I92"/>
  <c r="I99" s="1"/>
  <c r="H92"/>
  <c r="I84"/>
  <c r="H84"/>
  <c r="C110"/>
  <c r="D110"/>
  <c r="D99"/>
  <c r="C99"/>
  <c r="D103"/>
  <c r="C103"/>
  <c r="D92"/>
  <c r="C92"/>
  <c r="D84"/>
  <c r="C84"/>
  <c r="N58"/>
  <c r="M58"/>
  <c r="N50"/>
  <c r="M50"/>
  <c r="H66"/>
  <c r="I66"/>
  <c r="I58"/>
  <c r="H58"/>
  <c r="I50"/>
  <c r="H50"/>
  <c r="D66"/>
  <c r="C66"/>
  <c r="D58"/>
  <c r="C58"/>
  <c r="D50"/>
  <c r="C50"/>
  <c r="Q33"/>
  <c r="P33"/>
  <c r="Q22"/>
  <c r="P22"/>
  <c r="Q14"/>
  <c r="P14"/>
  <c r="L33"/>
  <c r="K33"/>
  <c r="L22"/>
  <c r="K22"/>
  <c r="L14"/>
  <c r="K14"/>
  <c r="D22"/>
  <c r="C22"/>
  <c r="D14"/>
  <c r="C14"/>
  <c r="H8"/>
  <c r="G8"/>
  <c r="E2"/>
  <c r="D2"/>
  <c r="N115" l="1"/>
  <c r="N116" s="1"/>
  <c r="M116"/>
  <c r="M99"/>
  <c r="H99"/>
  <c r="C26"/>
  <c r="C36" s="1"/>
  <c r="K26"/>
  <c r="K36" s="1"/>
  <c r="K38" s="1"/>
  <c r="D62"/>
  <c r="I62"/>
  <c r="N62"/>
  <c r="D26"/>
  <c r="M62"/>
  <c r="M75" s="1"/>
  <c r="H62"/>
  <c r="H69" s="1"/>
  <c r="C62"/>
  <c r="C69" s="1"/>
  <c r="D36"/>
  <c r="D39" s="1"/>
  <c r="C39"/>
  <c r="L26"/>
  <c r="Q26"/>
  <c r="P26"/>
  <c r="P36" s="1"/>
  <c r="N72" l="1"/>
  <c r="N75" s="1"/>
  <c r="N77" s="1"/>
  <c r="M39"/>
  <c r="L36"/>
  <c r="L38" s="1"/>
  <c r="C72"/>
  <c r="D69"/>
  <c r="D72" s="1"/>
  <c r="M77"/>
  <c r="H72"/>
  <c r="I69"/>
  <c r="I72" s="1"/>
  <c r="P38"/>
  <c r="Q36"/>
  <c r="Q38" s="1"/>
  <c r="N39" l="1"/>
</calcChain>
</file>

<file path=xl/sharedStrings.xml><?xml version="1.0" encoding="utf-8"?>
<sst xmlns="http://schemas.openxmlformats.org/spreadsheetml/2006/main" count="267" uniqueCount="68">
  <si>
    <t>Rendija (Abertura)</t>
  </si>
  <si>
    <t>Posicion pantalla</t>
  </si>
  <si>
    <t>Posición rendija</t>
  </si>
  <si>
    <t>Long. Onda [m]</t>
  </si>
  <si>
    <t>Error Long. Onda [m]</t>
  </si>
  <si>
    <t>Posición base Láser [m]</t>
  </si>
  <si>
    <t>Error Posición base Láser [m]</t>
  </si>
  <si>
    <t>Posición láser [m]</t>
  </si>
  <si>
    <t>Offset Láser [m]</t>
  </si>
  <si>
    <t>error Offset Láser [m]</t>
  </si>
  <si>
    <t>Error Posición láser [m]</t>
  </si>
  <si>
    <t>Distancia [m]</t>
  </si>
  <si>
    <t>Error minima [m]</t>
  </si>
  <si>
    <t>Minima  [m]</t>
  </si>
  <si>
    <t>Maxima  [m]</t>
  </si>
  <si>
    <t>Error maxima  [m]</t>
  </si>
  <si>
    <t>Final [m]</t>
  </si>
  <si>
    <t>Error final [m]</t>
  </si>
  <si>
    <t>Error Distancia [m]</t>
  </si>
  <si>
    <t>a [m]</t>
  </si>
  <si>
    <t>Error a [m]</t>
  </si>
  <si>
    <t>Ancho max. lineal [m]</t>
  </si>
  <si>
    <t>Error Ancho max. lineal [m]</t>
  </si>
  <si>
    <t>2a [m]</t>
  </si>
  <si>
    <t>Error 2a [m]</t>
  </si>
  <si>
    <t>Orificio B (Abertura)</t>
  </si>
  <si>
    <t>rho [m]</t>
  </si>
  <si>
    <t>Error rho [m]</t>
  </si>
  <si>
    <t>Radio [m]</t>
  </si>
  <si>
    <t>Error Radio [m]</t>
  </si>
  <si>
    <t>Error Ratio</t>
  </si>
  <si>
    <t>Ratio A/B</t>
  </si>
  <si>
    <t>Red G3</t>
  </si>
  <si>
    <t>Distancia Máximo [m]</t>
  </si>
  <si>
    <t>Error Distancia Máximo [m]</t>
  </si>
  <si>
    <t>Constante de red [líneas/m]</t>
  </si>
  <si>
    <t>Error Constante de red [líneas/m]</t>
  </si>
  <si>
    <t>Constante de red [líneas/mm]</t>
  </si>
  <si>
    <t>Error Constante de red [líneas/mm]</t>
  </si>
  <si>
    <t>Red G2</t>
  </si>
  <si>
    <t>lineal (obstáculo)</t>
  </si>
  <si>
    <t>Red G3 (cercano)</t>
  </si>
  <si>
    <t>Posición fuente [m]</t>
  </si>
  <si>
    <t>Error Posición fuente [m]</t>
  </si>
  <si>
    <t>Diámetro cercano [m]</t>
  </si>
  <si>
    <t>Error Diámetro cercano [m]</t>
  </si>
  <si>
    <t>Fresnel (cercano)</t>
  </si>
  <si>
    <t>Diámetro lejano [m]</t>
  </si>
  <si>
    <t>Error Diámetro lejano [m]</t>
  </si>
  <si>
    <t>Orificio B (cercano)</t>
  </si>
  <si>
    <t>Error Fresnel (cercano)</t>
  </si>
  <si>
    <t>Doble Rendija 1</t>
  </si>
  <si>
    <t>Ancho Central [m]</t>
  </si>
  <si>
    <t>Ancho secund. [m]</t>
  </si>
  <si>
    <t>Error Ancho secund. [m]</t>
  </si>
  <si>
    <t>x'_1 central [m]</t>
  </si>
  <si>
    <t>Error x'_1 central [m]</t>
  </si>
  <si>
    <t>x'_1 secund. [m]</t>
  </si>
  <si>
    <t>Error x'_1 secund. [m]</t>
  </si>
  <si>
    <t>2d [m]</t>
  </si>
  <si>
    <t>Error 2d [m]</t>
  </si>
  <si>
    <t>Doble Rendija 2</t>
  </si>
  <si>
    <t>2a nominal [m]</t>
  </si>
  <si>
    <t>2d nominal [m]</t>
  </si>
  <si>
    <t>Error relativo [%]</t>
  </si>
  <si>
    <t>Fresnel (lejano)</t>
  </si>
  <si>
    <t>Error Fresnel lejano)</t>
  </si>
  <si>
    <t>Orificio A (Abertura)</t>
  </si>
</sst>
</file>

<file path=xl/styles.xml><?xml version="1.0" encoding="utf-8"?>
<styleSheet xmlns="http://schemas.openxmlformats.org/spreadsheetml/2006/main">
  <numFmts count="7">
    <numFmt numFmtId="164" formatCode="0.0000000000"/>
    <numFmt numFmtId="165" formatCode="0.000"/>
    <numFmt numFmtId="166" formatCode="0.0000"/>
    <numFmt numFmtId="167" formatCode="0.0"/>
    <numFmt numFmtId="168" formatCode="0.000000"/>
    <numFmt numFmtId="169" formatCode="0.0000000"/>
    <numFmt numFmtId="171" formatCode="0.0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9" fontId="0" fillId="0" borderId="1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5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168" fontId="0" fillId="0" borderId="5" xfId="0" applyNumberFormat="1" applyBorder="1" applyAlignment="1">
      <alignment horizontal="center"/>
    </xf>
    <xf numFmtId="165" fontId="0" fillId="0" borderId="12" xfId="0" applyNumberFormat="1" applyBorder="1"/>
    <xf numFmtId="165" fontId="0" fillId="0" borderId="10" xfId="0" applyNumberFormat="1" applyBorder="1"/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5" xfId="0" applyNumberFormat="1" applyBorder="1"/>
    <xf numFmtId="165" fontId="0" fillId="0" borderId="0" xfId="0" applyNumberFormat="1" applyBorder="1"/>
    <xf numFmtId="171" fontId="0" fillId="0" borderId="5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6" fontId="0" fillId="0" borderId="5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U125"/>
  <sheetViews>
    <sheetView tabSelected="1" topLeftCell="H77" zoomScale="85" zoomScaleNormal="85" workbookViewId="0">
      <selection activeCell="P106" sqref="P106"/>
    </sheetView>
  </sheetViews>
  <sheetFormatPr baseColWidth="10" defaultRowHeight="15"/>
  <cols>
    <col min="3" max="3" width="29" bestFit="1" customWidth="1"/>
    <col min="4" max="4" width="33.85546875" bestFit="1" customWidth="1"/>
    <col min="5" max="5" width="19.5703125" customWidth="1"/>
    <col min="6" max="6" width="17.28515625" bestFit="1" customWidth="1"/>
    <col min="7" max="7" width="23.140625" bestFit="1" customWidth="1"/>
    <col min="8" max="8" width="28" bestFit="1" customWidth="1"/>
    <col min="9" max="9" width="33.85546875" bestFit="1" customWidth="1"/>
    <col min="10" max="10" width="12.42578125" bestFit="1" customWidth="1"/>
    <col min="11" max="11" width="21.140625" bestFit="1" customWidth="1"/>
    <col min="12" max="12" width="26" bestFit="1" customWidth="1"/>
    <col min="13" max="13" width="21.140625" bestFit="1" customWidth="1"/>
    <col min="14" max="14" width="26" bestFit="1" customWidth="1"/>
    <col min="15" max="15" width="12.42578125" bestFit="1" customWidth="1"/>
    <col min="16" max="16" width="21.140625" bestFit="1" customWidth="1"/>
    <col min="17" max="17" width="26.140625" bestFit="1" customWidth="1"/>
    <col min="18" max="18" width="18" bestFit="1" customWidth="1"/>
    <col min="19" max="19" width="26" bestFit="1" customWidth="1"/>
    <col min="20" max="20" width="12.42578125" bestFit="1" customWidth="1"/>
    <col min="21" max="21" width="17.28515625" bestFit="1" customWidth="1"/>
  </cols>
  <sheetData>
    <row r="1" spans="3:19">
      <c r="C1" s="2"/>
      <c r="D1" s="2" t="s">
        <v>3</v>
      </c>
      <c r="E1" s="2" t="s">
        <v>4</v>
      </c>
      <c r="F1" s="2"/>
      <c r="G1" s="2" t="s">
        <v>5</v>
      </c>
      <c r="H1" s="2" t="s">
        <v>6</v>
      </c>
    </row>
    <row r="2" spans="3:19">
      <c r="C2" s="2"/>
      <c r="D2" s="3">
        <f>0.0000006328</f>
        <v>6.328E-7</v>
      </c>
      <c r="E2" s="3">
        <f>0.0000000001</f>
        <v>1E-10</v>
      </c>
      <c r="F2" s="2"/>
      <c r="G2" s="2">
        <v>12.4725</v>
      </c>
      <c r="H2" s="2">
        <v>1E-4</v>
      </c>
    </row>
    <row r="3" spans="3:19">
      <c r="C3" s="2"/>
      <c r="D3" s="2"/>
      <c r="E3" s="2"/>
      <c r="F3" s="2"/>
      <c r="G3" s="2"/>
      <c r="H3" s="2"/>
    </row>
    <row r="4" spans="3:19">
      <c r="C4" s="2"/>
      <c r="D4" s="2"/>
      <c r="E4" s="2"/>
      <c r="F4" s="2"/>
      <c r="G4" s="2" t="s">
        <v>8</v>
      </c>
      <c r="H4" s="2" t="s">
        <v>9</v>
      </c>
    </row>
    <row r="5" spans="3:19">
      <c r="C5" s="2"/>
      <c r="D5" s="2"/>
      <c r="E5" s="2"/>
      <c r="F5" s="2"/>
      <c r="G5" s="2">
        <v>-6.5000000000000002E-2</v>
      </c>
      <c r="H5" s="2">
        <v>1E-3</v>
      </c>
    </row>
    <row r="6" spans="3:19" ht="15.75" thickBot="1">
      <c r="C6" s="2"/>
      <c r="D6" s="2"/>
      <c r="E6" s="2"/>
      <c r="F6" s="2"/>
      <c r="G6" s="2"/>
      <c r="H6" s="2"/>
    </row>
    <row r="7" spans="3:19">
      <c r="C7" s="17" t="s">
        <v>0</v>
      </c>
      <c r="D7" s="18"/>
      <c r="E7" s="18"/>
      <c r="F7" s="19"/>
      <c r="G7" s="2" t="s">
        <v>7</v>
      </c>
      <c r="H7" s="2" t="s">
        <v>10</v>
      </c>
      <c r="K7" s="29" t="s">
        <v>25</v>
      </c>
      <c r="L7" s="30"/>
      <c r="M7" s="30"/>
      <c r="N7" s="30"/>
      <c r="O7" s="30"/>
      <c r="P7" s="30" t="s">
        <v>67</v>
      </c>
      <c r="Q7" s="30"/>
      <c r="R7" s="30"/>
      <c r="S7" s="31"/>
    </row>
    <row r="8" spans="3:19">
      <c r="C8" s="20"/>
      <c r="D8" s="13"/>
      <c r="E8" s="13"/>
      <c r="F8" s="21"/>
      <c r="G8" s="4">
        <f>G2+G5</f>
        <v>12.407500000000001</v>
      </c>
      <c r="H8" s="4">
        <f>SQRT((1)^2*(H2)^2+(1)^2*(H5)^2)</f>
        <v>1.004987562112089E-3</v>
      </c>
      <c r="K8" s="32"/>
      <c r="L8" s="12"/>
      <c r="M8" s="12"/>
      <c r="N8" s="12"/>
      <c r="O8" s="12"/>
      <c r="P8" s="12"/>
      <c r="Q8" s="12"/>
      <c r="R8" s="12"/>
      <c r="S8" s="33"/>
    </row>
    <row r="9" spans="3:19">
      <c r="C9" s="20" t="s">
        <v>1</v>
      </c>
      <c r="D9" s="13"/>
      <c r="E9" s="13"/>
      <c r="F9" s="21"/>
      <c r="G9" s="2"/>
      <c r="H9" s="2"/>
      <c r="K9" s="20" t="s">
        <v>1</v>
      </c>
      <c r="L9" s="13"/>
      <c r="M9" s="13"/>
      <c r="N9" s="13"/>
      <c r="O9" s="12"/>
      <c r="P9" s="13" t="s">
        <v>1</v>
      </c>
      <c r="Q9" s="13"/>
      <c r="R9" s="13"/>
      <c r="S9" s="21"/>
    </row>
    <row r="10" spans="3:19">
      <c r="C10" s="20" t="s">
        <v>13</v>
      </c>
      <c r="D10" s="13" t="s">
        <v>12</v>
      </c>
      <c r="E10" s="13" t="s">
        <v>14</v>
      </c>
      <c r="F10" s="21" t="s">
        <v>15</v>
      </c>
      <c r="G10" s="2"/>
      <c r="H10" s="2"/>
      <c r="K10" s="20" t="s">
        <v>13</v>
      </c>
      <c r="L10" s="13" t="s">
        <v>12</v>
      </c>
      <c r="M10" s="13" t="s">
        <v>14</v>
      </c>
      <c r="N10" s="13" t="s">
        <v>15</v>
      </c>
      <c r="O10" s="12"/>
      <c r="P10" s="13" t="s">
        <v>13</v>
      </c>
      <c r="Q10" s="13" t="s">
        <v>12</v>
      </c>
      <c r="R10" s="13" t="s">
        <v>14</v>
      </c>
      <c r="S10" s="21" t="s">
        <v>15</v>
      </c>
    </row>
    <row r="11" spans="3:19">
      <c r="C11" s="20">
        <v>11.532</v>
      </c>
      <c r="D11" s="13">
        <v>1E-3</v>
      </c>
      <c r="E11" s="13">
        <v>11.590999999999999</v>
      </c>
      <c r="F11" s="21">
        <v>1E-3</v>
      </c>
      <c r="G11" s="2"/>
      <c r="H11" s="2"/>
      <c r="K11" s="20">
        <v>11.036</v>
      </c>
      <c r="L11" s="13">
        <v>1E-3</v>
      </c>
      <c r="M11" s="13">
        <v>11.096</v>
      </c>
      <c r="N11" s="13">
        <v>1E-3</v>
      </c>
      <c r="O11" s="12"/>
      <c r="P11" s="13">
        <v>11.38</v>
      </c>
      <c r="Q11" s="13">
        <v>1E-3</v>
      </c>
      <c r="R11" s="13">
        <v>11.44</v>
      </c>
      <c r="S11" s="21">
        <v>1E-3</v>
      </c>
    </row>
    <row r="12" spans="3:19">
      <c r="C12" s="20"/>
      <c r="D12" s="13"/>
      <c r="E12" s="13"/>
      <c r="F12" s="21"/>
      <c r="G12" s="2"/>
      <c r="H12" s="2"/>
      <c r="K12" s="20"/>
      <c r="L12" s="13"/>
      <c r="M12" s="13"/>
      <c r="N12" s="13"/>
      <c r="O12" s="12"/>
      <c r="P12" s="13"/>
      <c r="Q12" s="13"/>
      <c r="R12" s="13"/>
      <c r="S12" s="21"/>
    </row>
    <row r="13" spans="3:19">
      <c r="C13" s="20" t="s">
        <v>16</v>
      </c>
      <c r="D13" s="13" t="s">
        <v>17</v>
      </c>
      <c r="E13" s="13"/>
      <c r="F13" s="21"/>
      <c r="G13" s="4"/>
      <c r="H13" s="2"/>
      <c r="K13" s="20" t="s">
        <v>16</v>
      </c>
      <c r="L13" s="13" t="s">
        <v>17</v>
      </c>
      <c r="M13" s="13"/>
      <c r="N13" s="13"/>
      <c r="O13" s="12"/>
      <c r="P13" s="13" t="s">
        <v>16</v>
      </c>
      <c r="Q13" s="13" t="s">
        <v>17</v>
      </c>
      <c r="R13" s="13"/>
      <c r="S13" s="21"/>
    </row>
    <row r="14" spans="3:19">
      <c r="C14" s="22">
        <f>(C11+E11)/2</f>
        <v>11.561499999999999</v>
      </c>
      <c r="D14" s="15">
        <f>SQRT((1/2)^2*(D11)^2+(1/2)^2*(F11)^2)</f>
        <v>7.0710678118654751E-4</v>
      </c>
      <c r="E14" s="13"/>
      <c r="F14" s="21"/>
      <c r="G14" s="2"/>
      <c r="H14" s="2"/>
      <c r="K14" s="22">
        <f>(K11+M11)/2</f>
        <v>11.065999999999999</v>
      </c>
      <c r="L14" s="15">
        <f>SQRT((1/2)^2*(L11)^2+(1/2)^2*(N11)^2)</f>
        <v>7.0710678118654751E-4</v>
      </c>
      <c r="M14" s="13"/>
      <c r="N14" s="13"/>
      <c r="O14" s="12"/>
      <c r="P14" s="15">
        <f>(P11+R11)/2</f>
        <v>11.41</v>
      </c>
      <c r="Q14" s="15">
        <f>SQRT((1/2)^2*(Q11)^2+(1/2)^2*(S11)^2)</f>
        <v>7.0710678118654751E-4</v>
      </c>
      <c r="R14" s="13"/>
      <c r="S14" s="21"/>
    </row>
    <row r="15" spans="3:19">
      <c r="C15" s="20"/>
      <c r="D15" s="13"/>
      <c r="E15" s="13"/>
      <c r="F15" s="21"/>
      <c r="G15" s="2"/>
      <c r="H15" s="2"/>
      <c r="K15" s="20"/>
      <c r="L15" s="13"/>
      <c r="M15" s="13"/>
      <c r="N15" s="13"/>
      <c r="O15" s="12"/>
      <c r="P15" s="13"/>
      <c r="Q15" s="13"/>
      <c r="R15" s="13"/>
      <c r="S15" s="21"/>
    </row>
    <row r="16" spans="3:19">
      <c r="C16" s="20"/>
      <c r="D16" s="13"/>
      <c r="E16" s="13"/>
      <c r="F16" s="21"/>
      <c r="G16" s="2"/>
      <c r="H16" s="2"/>
      <c r="K16" s="20"/>
      <c r="L16" s="13"/>
      <c r="M16" s="13"/>
      <c r="N16" s="13"/>
      <c r="O16" s="12"/>
      <c r="P16" s="13"/>
      <c r="Q16" s="13"/>
      <c r="R16" s="13"/>
      <c r="S16" s="21"/>
    </row>
    <row r="17" spans="3:19">
      <c r="C17" s="20" t="s">
        <v>2</v>
      </c>
      <c r="D17" s="13"/>
      <c r="E17" s="13"/>
      <c r="F17" s="21"/>
      <c r="G17" s="2"/>
      <c r="H17" s="2"/>
      <c r="K17" s="20" t="s">
        <v>2</v>
      </c>
      <c r="L17" s="13"/>
      <c r="M17" s="13"/>
      <c r="N17" s="13"/>
      <c r="O17" s="12"/>
      <c r="P17" s="13" t="s">
        <v>2</v>
      </c>
      <c r="Q17" s="13"/>
      <c r="R17" s="13"/>
      <c r="S17" s="21"/>
    </row>
    <row r="18" spans="3:19">
      <c r="C18" s="20" t="s">
        <v>13</v>
      </c>
      <c r="D18" s="13" t="s">
        <v>12</v>
      </c>
      <c r="E18" s="13" t="s">
        <v>14</v>
      </c>
      <c r="F18" s="21" t="s">
        <v>15</v>
      </c>
      <c r="G18" s="2"/>
      <c r="H18" s="2"/>
      <c r="K18" s="20" t="s">
        <v>13</v>
      </c>
      <c r="L18" s="13" t="s">
        <v>12</v>
      </c>
      <c r="M18" s="13" t="s">
        <v>14</v>
      </c>
      <c r="N18" s="13" t="s">
        <v>15</v>
      </c>
      <c r="O18" s="12"/>
      <c r="P18" s="13" t="s">
        <v>13</v>
      </c>
      <c r="Q18" s="13" t="s">
        <v>12</v>
      </c>
      <c r="R18" s="13" t="s">
        <v>14</v>
      </c>
      <c r="S18" s="21" t="s">
        <v>15</v>
      </c>
    </row>
    <row r="19" spans="3:19">
      <c r="C19" s="20">
        <v>12.148</v>
      </c>
      <c r="D19" s="13">
        <v>1E-3</v>
      </c>
      <c r="E19" s="13">
        <v>12.208</v>
      </c>
      <c r="F19" s="21">
        <v>1E-3</v>
      </c>
      <c r="G19" s="2"/>
      <c r="H19" s="2"/>
      <c r="K19" s="20">
        <v>12.164999999999999</v>
      </c>
      <c r="L19" s="13">
        <v>1E-3</v>
      </c>
      <c r="M19" s="13">
        <v>12.253</v>
      </c>
      <c r="N19" s="13">
        <v>1E-3</v>
      </c>
      <c r="O19" s="12"/>
      <c r="P19" s="13">
        <v>12.18</v>
      </c>
      <c r="Q19" s="13">
        <v>1E-3</v>
      </c>
      <c r="R19" s="13">
        <v>12.266999999999999</v>
      </c>
      <c r="S19" s="21">
        <v>1E-3</v>
      </c>
    </row>
    <row r="20" spans="3:19">
      <c r="C20" s="20"/>
      <c r="D20" s="13"/>
      <c r="E20" s="13"/>
      <c r="F20" s="21"/>
      <c r="G20" s="2"/>
      <c r="H20" s="2"/>
      <c r="K20" s="20"/>
      <c r="L20" s="13"/>
      <c r="M20" s="13"/>
      <c r="N20" s="13"/>
      <c r="O20" s="12"/>
      <c r="P20" s="13"/>
      <c r="Q20" s="13"/>
      <c r="R20" s="13"/>
      <c r="S20" s="21"/>
    </row>
    <row r="21" spans="3:19">
      <c r="C21" s="20" t="s">
        <v>16</v>
      </c>
      <c r="D21" s="13" t="s">
        <v>17</v>
      </c>
      <c r="E21" s="13"/>
      <c r="F21" s="21"/>
      <c r="G21" s="2"/>
      <c r="H21" s="2"/>
      <c r="K21" s="20" t="s">
        <v>16</v>
      </c>
      <c r="L21" s="13" t="s">
        <v>17</v>
      </c>
      <c r="M21" s="13"/>
      <c r="N21" s="13"/>
      <c r="O21" s="12"/>
      <c r="P21" s="13" t="s">
        <v>16</v>
      </c>
      <c r="Q21" s="13" t="s">
        <v>17</v>
      </c>
      <c r="R21" s="13"/>
      <c r="S21" s="21"/>
    </row>
    <row r="22" spans="3:19">
      <c r="C22" s="22">
        <f>(C19+E19)/2</f>
        <v>12.178000000000001</v>
      </c>
      <c r="D22" s="15">
        <f>SQRT((1/2)^2*(D19)^2+(1/2)^2*(F19)^2)</f>
        <v>7.0710678118654751E-4</v>
      </c>
      <c r="E22" s="13"/>
      <c r="F22" s="21"/>
      <c r="G22" s="2"/>
      <c r="H22" s="2"/>
      <c r="K22" s="22">
        <f>(K19+M19)/2</f>
        <v>12.209</v>
      </c>
      <c r="L22" s="15">
        <f>SQRT((1/2)^2*(L19)^2+(1/2)^2*(N19)^2)</f>
        <v>7.0710678118654751E-4</v>
      </c>
      <c r="M22" s="13"/>
      <c r="N22" s="13"/>
      <c r="O22" s="12"/>
      <c r="P22" s="15">
        <f>(P19+R19)/2</f>
        <v>12.2235</v>
      </c>
      <c r="Q22" s="15">
        <f>SQRT((1/2)^2*(Q19)^2+(1/2)^2*(S19)^2)</f>
        <v>7.0710678118654751E-4</v>
      </c>
      <c r="R22" s="13"/>
      <c r="S22" s="21"/>
    </row>
    <row r="23" spans="3:19">
      <c r="C23" s="20"/>
      <c r="D23" s="13"/>
      <c r="E23" s="13"/>
      <c r="F23" s="21"/>
      <c r="G23" s="2"/>
      <c r="H23" s="2"/>
      <c r="K23" s="20"/>
      <c r="L23" s="13"/>
      <c r="M23" s="13"/>
      <c r="N23" s="13"/>
      <c r="O23" s="12"/>
      <c r="P23" s="13"/>
      <c r="Q23" s="13"/>
      <c r="R23" s="13"/>
      <c r="S23" s="21"/>
    </row>
    <row r="24" spans="3:19">
      <c r="C24" s="20"/>
      <c r="D24" s="13"/>
      <c r="E24" s="13"/>
      <c r="F24" s="21"/>
      <c r="G24" s="2"/>
      <c r="H24" s="2"/>
      <c r="K24" s="20"/>
      <c r="L24" s="13"/>
      <c r="M24" s="13"/>
      <c r="N24" s="13"/>
      <c r="O24" s="12"/>
      <c r="P24" s="13"/>
      <c r="Q24" s="13"/>
      <c r="R24" s="13"/>
      <c r="S24" s="21"/>
    </row>
    <row r="25" spans="3:19">
      <c r="C25" s="20" t="s">
        <v>11</v>
      </c>
      <c r="D25" s="13" t="s">
        <v>18</v>
      </c>
      <c r="E25" s="13"/>
      <c r="F25" s="21"/>
      <c r="G25" s="2"/>
      <c r="H25" s="2"/>
      <c r="K25" s="20" t="s">
        <v>11</v>
      </c>
      <c r="L25" s="13" t="s">
        <v>18</v>
      </c>
      <c r="M25" s="13"/>
      <c r="N25" s="13"/>
      <c r="O25" s="12"/>
      <c r="P25" s="13" t="s">
        <v>11</v>
      </c>
      <c r="Q25" s="13" t="s">
        <v>18</v>
      </c>
      <c r="R25" s="13"/>
      <c r="S25" s="21"/>
    </row>
    <row r="26" spans="3:19">
      <c r="C26" s="22">
        <f>C22-C14</f>
        <v>0.61650000000000205</v>
      </c>
      <c r="D26" s="15">
        <f>SQRT((1)^2*(D22)^2+(-1)^2*(D14)^2)</f>
        <v>1E-3</v>
      </c>
      <c r="E26" s="13"/>
      <c r="F26" s="21"/>
      <c r="G26" s="2"/>
      <c r="H26" s="2"/>
      <c r="K26" s="22">
        <f>K22-K14</f>
        <v>1.1430000000000007</v>
      </c>
      <c r="L26" s="15">
        <f>SQRT((1)^2*(L22)^2+(-1)^2*(L14)^2)</f>
        <v>1E-3</v>
      </c>
      <c r="M26" s="13"/>
      <c r="N26" s="13"/>
      <c r="O26" s="12"/>
      <c r="P26" s="15">
        <f>P22-P14</f>
        <v>0.81349999999999945</v>
      </c>
      <c r="Q26" s="15">
        <f>SQRT((1)^2*(Q22)^2+(-1)^2*(Q14)^2)</f>
        <v>1E-3</v>
      </c>
      <c r="R26" s="13"/>
      <c r="S26" s="21"/>
    </row>
    <row r="27" spans="3:19">
      <c r="C27" s="20"/>
      <c r="D27" s="13"/>
      <c r="E27" s="13"/>
      <c r="F27" s="21"/>
      <c r="G27" s="2"/>
      <c r="H27" s="2"/>
      <c r="K27" s="20"/>
      <c r="L27" s="13"/>
      <c r="M27" s="13"/>
      <c r="N27" s="13"/>
      <c r="O27" s="12"/>
      <c r="P27" s="13"/>
      <c r="Q27" s="13"/>
      <c r="R27" s="13"/>
      <c r="S27" s="21"/>
    </row>
    <row r="28" spans="3:19">
      <c r="C28" s="20"/>
      <c r="D28" s="13"/>
      <c r="E28" s="13"/>
      <c r="F28" s="21"/>
      <c r="G28" s="7"/>
      <c r="H28" s="2"/>
      <c r="K28" s="20"/>
      <c r="L28" s="13"/>
      <c r="M28" s="13"/>
      <c r="N28" s="13"/>
      <c r="O28" s="12"/>
      <c r="P28" s="13"/>
      <c r="Q28" s="13"/>
      <c r="R28" s="13"/>
      <c r="S28" s="21"/>
    </row>
    <row r="29" spans="3:19">
      <c r="C29" s="20" t="s">
        <v>21</v>
      </c>
      <c r="D29" s="13" t="s">
        <v>22</v>
      </c>
      <c r="E29" s="13"/>
      <c r="F29" s="21"/>
      <c r="G29" s="2"/>
      <c r="H29" s="2"/>
      <c r="K29" s="20" t="s">
        <v>21</v>
      </c>
      <c r="L29" s="13" t="s">
        <v>22</v>
      </c>
      <c r="M29" s="13"/>
      <c r="N29" s="13"/>
      <c r="O29" s="12"/>
      <c r="P29" s="13" t="s">
        <v>21</v>
      </c>
      <c r="Q29" s="13" t="s">
        <v>22</v>
      </c>
      <c r="R29" s="13"/>
      <c r="S29" s="21"/>
    </row>
    <row r="30" spans="3:19">
      <c r="C30" s="22">
        <v>0.04</v>
      </c>
      <c r="D30" s="15">
        <v>2E-3</v>
      </c>
      <c r="E30" s="13"/>
      <c r="F30" s="21"/>
      <c r="G30" s="2"/>
      <c r="H30" s="2"/>
      <c r="K30" s="22">
        <v>0.01</v>
      </c>
      <c r="L30" s="15">
        <v>2E-3</v>
      </c>
      <c r="M30" s="13"/>
      <c r="N30" s="13"/>
      <c r="O30" s="12"/>
      <c r="P30" s="15">
        <v>8.0000000000000002E-3</v>
      </c>
      <c r="Q30" s="15">
        <v>2E-3</v>
      </c>
      <c r="R30" s="13"/>
      <c r="S30" s="21"/>
    </row>
    <row r="31" spans="3:19">
      <c r="C31" s="20"/>
      <c r="D31" s="13"/>
      <c r="E31" s="13"/>
      <c r="F31" s="21"/>
      <c r="G31" s="2"/>
      <c r="H31" s="2"/>
      <c r="K31" s="20"/>
      <c r="L31" s="13"/>
      <c r="M31" s="13"/>
      <c r="N31" s="13"/>
      <c r="O31" s="12"/>
      <c r="P31" s="13"/>
      <c r="Q31" s="13"/>
      <c r="R31" s="13"/>
      <c r="S31" s="21"/>
    </row>
    <row r="32" spans="3:19">
      <c r="C32" s="20"/>
      <c r="D32" s="13"/>
      <c r="E32" s="13"/>
      <c r="F32" s="21"/>
      <c r="G32" s="2"/>
      <c r="H32" s="2"/>
      <c r="K32" s="20" t="s">
        <v>26</v>
      </c>
      <c r="L32" s="13" t="s">
        <v>27</v>
      </c>
      <c r="M32" s="13"/>
      <c r="N32" s="13"/>
      <c r="O32" s="12"/>
      <c r="P32" s="13" t="s">
        <v>26</v>
      </c>
      <c r="Q32" s="13" t="s">
        <v>27</v>
      </c>
      <c r="R32" s="13"/>
      <c r="S32" s="21"/>
    </row>
    <row r="33" spans="3:19">
      <c r="C33" s="20"/>
      <c r="D33" s="13"/>
      <c r="E33" s="13"/>
      <c r="F33" s="21"/>
      <c r="G33" s="2"/>
      <c r="H33" s="2"/>
      <c r="K33" s="22">
        <f>K30/2</f>
        <v>5.0000000000000001E-3</v>
      </c>
      <c r="L33" s="15">
        <f>ABS(L30)/2</f>
        <v>1E-3</v>
      </c>
      <c r="M33" s="13"/>
      <c r="N33" s="13"/>
      <c r="O33" s="12"/>
      <c r="P33" s="15">
        <f>P30/2</f>
        <v>4.0000000000000001E-3</v>
      </c>
      <c r="Q33" s="15">
        <f>ABS(Q30)/2</f>
        <v>1E-3</v>
      </c>
      <c r="R33" s="13"/>
      <c r="S33" s="21"/>
    </row>
    <row r="34" spans="3:19">
      <c r="C34" s="20"/>
      <c r="D34" s="13"/>
      <c r="E34" s="13"/>
      <c r="F34" s="21"/>
      <c r="G34" s="2"/>
      <c r="H34" s="2"/>
      <c r="K34" s="34"/>
      <c r="L34" s="13"/>
      <c r="M34" s="13"/>
      <c r="N34" s="13"/>
      <c r="O34" s="12"/>
      <c r="P34" s="10"/>
      <c r="Q34" s="13"/>
      <c r="R34" s="13"/>
      <c r="S34" s="21"/>
    </row>
    <row r="35" spans="3:19">
      <c r="C35" s="20" t="s">
        <v>19</v>
      </c>
      <c r="D35" s="13" t="s">
        <v>20</v>
      </c>
      <c r="E35" s="13"/>
      <c r="F35" s="21"/>
      <c r="G35" s="2"/>
      <c r="H35" s="2"/>
      <c r="K35" s="24" t="s">
        <v>28</v>
      </c>
      <c r="L35" s="5" t="s">
        <v>29</v>
      </c>
      <c r="M35" s="13"/>
      <c r="N35" s="12"/>
      <c r="O35" s="12"/>
      <c r="P35" s="5" t="s">
        <v>28</v>
      </c>
      <c r="Q35" s="5" t="s">
        <v>29</v>
      </c>
      <c r="R35" s="13"/>
      <c r="S35" s="21"/>
    </row>
    <row r="36" spans="3:19">
      <c r="C36" s="23">
        <f>C26*$D$2/C30</f>
        <v>9.7530300000000322E-6</v>
      </c>
      <c r="D36" s="14">
        <f>SQRT((C36/C26)^2*(D26)^2+(C36/$D$2)^2*($E$2)^2+(-C36/C30)^2*(D30)^2)</f>
        <v>4.8791047673094095E-7</v>
      </c>
      <c r="E36" s="13"/>
      <c r="F36" s="21"/>
      <c r="G36" s="2"/>
      <c r="H36" s="2"/>
      <c r="K36" s="35">
        <f>(1.22/2)*($D$2*K26)/K33</f>
        <v>8.8241428800000049E-5</v>
      </c>
      <c r="L36" s="6">
        <f>SQRT((K36/K26)^2*(L26)^2+(K36/$D$2)^2*($E$2)^2+(-K36/K30)^2*(L30)^2)</f>
        <v>1.7648460125618065E-5</v>
      </c>
      <c r="M36" s="13"/>
      <c r="N36" s="13"/>
      <c r="O36" s="12"/>
      <c r="P36" s="6">
        <f>(1.22/2)*($D$2*P26)/P33</f>
        <v>7.850437699999995E-5</v>
      </c>
      <c r="Q36" s="6">
        <f>SQRT((P36/P26)^2*(Q26)^2+(P36/$D$2)^2*($E$2)^2+(-P36/P30)^2*(Q30)^2)</f>
        <v>1.9626335420847698E-5</v>
      </c>
      <c r="R36" s="13"/>
      <c r="S36" s="21"/>
    </row>
    <row r="37" spans="3:19">
      <c r="C37" s="20"/>
      <c r="D37" s="13"/>
      <c r="E37" s="13"/>
      <c r="F37" s="21"/>
      <c r="G37" s="2"/>
      <c r="H37" s="2"/>
      <c r="K37" s="20"/>
      <c r="L37" s="13"/>
      <c r="M37" s="13"/>
      <c r="N37" s="13"/>
      <c r="O37" s="12"/>
      <c r="P37" s="13"/>
      <c r="Q37" s="13"/>
      <c r="R37" s="13"/>
      <c r="S37" s="21"/>
    </row>
    <row r="38" spans="3:19">
      <c r="C38" s="24" t="s">
        <v>23</v>
      </c>
      <c r="D38" s="5" t="s">
        <v>24</v>
      </c>
      <c r="E38" s="13"/>
      <c r="F38" s="21"/>
      <c r="G38" s="2"/>
      <c r="H38" s="2"/>
      <c r="K38" s="34">
        <f>K36*1000</f>
        <v>8.8241428800000049E-2</v>
      </c>
      <c r="L38" s="10">
        <f>L36*1000</f>
        <v>1.7648460125618066E-2</v>
      </c>
      <c r="M38" s="5" t="s">
        <v>31</v>
      </c>
      <c r="N38" s="5" t="s">
        <v>30</v>
      </c>
      <c r="O38" s="12"/>
      <c r="P38" s="10">
        <f>P36*1000</f>
        <v>7.8504376999999945E-2</v>
      </c>
      <c r="Q38" s="10">
        <f>Q36*1000</f>
        <v>1.9626335420847699E-2</v>
      </c>
      <c r="R38" s="13"/>
      <c r="S38" s="21"/>
    </row>
    <row r="39" spans="3:19" ht="15.75" thickBot="1">
      <c r="C39" s="25">
        <f>2*C36</f>
        <v>1.9506060000000064E-5</v>
      </c>
      <c r="D39" s="26">
        <f>2*ABS(D36)</f>
        <v>9.7582095346188191E-7</v>
      </c>
      <c r="E39" s="27"/>
      <c r="F39" s="28"/>
      <c r="G39" s="2"/>
      <c r="H39" s="2"/>
      <c r="K39" s="36"/>
      <c r="L39" s="37"/>
      <c r="M39" s="38">
        <f>P36/K36</f>
        <v>0.88965441819772417</v>
      </c>
      <c r="N39" s="38">
        <f>SQRT((M39/P36)^2*(Q36)^2+(-M39/K36)^2*(L36)^2)</f>
        <v>0.28483162077245955</v>
      </c>
      <c r="O39" s="39"/>
      <c r="P39" s="39"/>
      <c r="Q39" s="39"/>
      <c r="R39" s="39"/>
      <c r="S39" s="40"/>
    </row>
    <row r="41" spans="3:19">
      <c r="C41" s="1"/>
      <c r="D41" s="1"/>
    </row>
    <row r="42" spans="3:19" ht="15.75" thickBot="1"/>
    <row r="43" spans="3:19">
      <c r="C43" t="s">
        <v>32</v>
      </c>
      <c r="H43" s="29" t="s">
        <v>39</v>
      </c>
      <c r="I43" s="30"/>
      <c r="J43" s="30"/>
      <c r="K43" s="31"/>
      <c r="M43" s="17" t="s">
        <v>40</v>
      </c>
      <c r="N43" s="18"/>
      <c r="O43" s="18"/>
      <c r="P43" s="19"/>
    </row>
    <row r="44" spans="3:19">
      <c r="H44" s="32"/>
      <c r="I44" s="12"/>
      <c r="J44" s="12"/>
      <c r="K44" s="33"/>
      <c r="M44" s="20"/>
      <c r="N44" s="13"/>
      <c r="O44" s="13"/>
      <c r="P44" s="21"/>
    </row>
    <row r="45" spans="3:19">
      <c r="C45" s="2" t="s">
        <v>1</v>
      </c>
      <c r="D45" s="2"/>
      <c r="E45" s="2"/>
      <c r="F45" s="2"/>
      <c r="H45" s="20" t="s">
        <v>1</v>
      </c>
      <c r="I45" s="13"/>
      <c r="J45" s="13"/>
      <c r="K45" s="21"/>
      <c r="M45" s="20" t="s">
        <v>1</v>
      </c>
      <c r="N45" s="13"/>
      <c r="O45" s="13"/>
      <c r="P45" s="21"/>
    </row>
    <row r="46" spans="3:19">
      <c r="C46" s="2" t="s">
        <v>13</v>
      </c>
      <c r="D46" s="2" t="s">
        <v>12</v>
      </c>
      <c r="E46" s="2" t="s">
        <v>14</v>
      </c>
      <c r="F46" s="2" t="s">
        <v>15</v>
      </c>
      <c r="H46" s="20" t="s">
        <v>13</v>
      </c>
      <c r="I46" s="13" t="s">
        <v>12</v>
      </c>
      <c r="J46" s="13" t="s">
        <v>14</v>
      </c>
      <c r="K46" s="21" t="s">
        <v>15</v>
      </c>
      <c r="M46" s="20" t="s">
        <v>13</v>
      </c>
      <c r="N46" s="13" t="s">
        <v>12</v>
      </c>
      <c r="O46" s="13" t="s">
        <v>14</v>
      </c>
      <c r="P46" s="21" t="s">
        <v>15</v>
      </c>
    </row>
    <row r="47" spans="3:19">
      <c r="C47" s="2">
        <v>11.07</v>
      </c>
      <c r="D47" s="2">
        <v>1E-3</v>
      </c>
      <c r="E47" s="2">
        <v>11.13</v>
      </c>
      <c r="F47" s="2">
        <v>1E-3</v>
      </c>
      <c r="H47" s="20">
        <v>11.304</v>
      </c>
      <c r="I47" s="13">
        <v>1E-3</v>
      </c>
      <c r="J47" s="13">
        <v>11.363</v>
      </c>
      <c r="K47" s="21">
        <v>1E-3</v>
      </c>
      <c r="M47" s="20">
        <v>11.474</v>
      </c>
      <c r="N47" s="13">
        <v>1E-3</v>
      </c>
      <c r="O47" s="13">
        <v>11.532999999999999</v>
      </c>
      <c r="P47" s="21">
        <v>1E-3</v>
      </c>
    </row>
    <row r="48" spans="3:19">
      <c r="C48" s="2"/>
      <c r="D48" s="2"/>
      <c r="E48" s="2"/>
      <c r="F48" s="2"/>
      <c r="H48" s="20"/>
      <c r="I48" s="13"/>
      <c r="J48" s="13"/>
      <c r="K48" s="21"/>
      <c r="M48" s="20"/>
      <c r="N48" s="13"/>
      <c r="O48" s="13"/>
      <c r="P48" s="21"/>
    </row>
    <row r="49" spans="3:16">
      <c r="C49" s="2" t="s">
        <v>16</v>
      </c>
      <c r="D49" s="2" t="s">
        <v>17</v>
      </c>
      <c r="E49" s="2"/>
      <c r="F49" s="2"/>
      <c r="H49" s="20" t="s">
        <v>16</v>
      </c>
      <c r="I49" s="13" t="s">
        <v>17</v>
      </c>
      <c r="J49" s="13"/>
      <c r="K49" s="21"/>
      <c r="M49" s="20" t="s">
        <v>16</v>
      </c>
      <c r="N49" s="13" t="s">
        <v>17</v>
      </c>
      <c r="O49" s="13"/>
      <c r="P49" s="21"/>
    </row>
    <row r="50" spans="3:16">
      <c r="C50" s="4">
        <f>(C47+E47)/2</f>
        <v>11.100000000000001</v>
      </c>
      <c r="D50" s="4">
        <f>SQRT((1/2)^2*(D47)^2+(1/2)^2*(F47)^2)</f>
        <v>7.0710678118654751E-4</v>
      </c>
      <c r="E50" s="2"/>
      <c r="F50" s="2"/>
      <c r="H50" s="22">
        <f>(H47+J47)/2</f>
        <v>11.333500000000001</v>
      </c>
      <c r="I50" s="15">
        <f>SQRT((1/2)^2*(I47)^2+(1/2)^2*(K47)^2)</f>
        <v>7.0710678118654751E-4</v>
      </c>
      <c r="J50" s="13"/>
      <c r="K50" s="21"/>
      <c r="M50" s="22">
        <f>(M47+O47)/2</f>
        <v>11.503499999999999</v>
      </c>
      <c r="N50" s="15">
        <f>SQRT((1/2)^2*(N47)^2+(1/2)^2*(P47)^2)</f>
        <v>7.0710678118654751E-4</v>
      </c>
      <c r="O50" s="13"/>
      <c r="P50" s="21"/>
    </row>
    <row r="51" spans="3:16">
      <c r="C51" s="2"/>
      <c r="D51" s="2"/>
      <c r="E51" s="2"/>
      <c r="F51" s="2"/>
      <c r="H51" s="20"/>
      <c r="I51" s="13"/>
      <c r="J51" s="13"/>
      <c r="K51" s="21"/>
      <c r="M51" s="20"/>
      <c r="N51" s="13"/>
      <c r="O51" s="13"/>
      <c r="P51" s="21"/>
    </row>
    <row r="52" spans="3:16">
      <c r="C52" s="2"/>
      <c r="D52" s="2"/>
      <c r="E52" s="2"/>
      <c r="F52" s="2"/>
      <c r="H52" s="20"/>
      <c r="I52" s="13"/>
      <c r="J52" s="13"/>
      <c r="K52" s="21"/>
      <c r="M52" s="20"/>
      <c r="N52" s="13"/>
      <c r="O52" s="13"/>
      <c r="P52" s="21"/>
    </row>
    <row r="53" spans="3:16">
      <c r="C53" s="2" t="s">
        <v>2</v>
      </c>
      <c r="D53" s="2"/>
      <c r="E53" s="2"/>
      <c r="F53" s="2"/>
      <c r="H53" s="20" t="s">
        <v>2</v>
      </c>
      <c r="I53" s="13"/>
      <c r="J53" s="13"/>
      <c r="K53" s="21"/>
      <c r="M53" s="20" t="s">
        <v>2</v>
      </c>
      <c r="N53" s="13"/>
      <c r="O53" s="13"/>
      <c r="P53" s="21"/>
    </row>
    <row r="54" spans="3:16">
      <c r="C54" s="2" t="s">
        <v>13</v>
      </c>
      <c r="D54" s="2" t="s">
        <v>12</v>
      </c>
      <c r="E54" s="2" t="s">
        <v>14</v>
      </c>
      <c r="F54" s="2" t="s">
        <v>15</v>
      </c>
      <c r="H54" s="20" t="s">
        <v>13</v>
      </c>
      <c r="I54" s="13" t="s">
        <v>12</v>
      </c>
      <c r="J54" s="13" t="s">
        <v>14</v>
      </c>
      <c r="K54" s="21" t="s">
        <v>15</v>
      </c>
      <c r="M54" s="20" t="s">
        <v>13</v>
      </c>
      <c r="N54" s="13" t="s">
        <v>12</v>
      </c>
      <c r="O54" s="13" t="s">
        <v>14</v>
      </c>
      <c r="P54" s="21" t="s">
        <v>15</v>
      </c>
    </row>
    <row r="55" spans="3:16">
      <c r="C55" s="2">
        <v>12.193</v>
      </c>
      <c r="D55" s="2">
        <v>1E-3</v>
      </c>
      <c r="E55" s="2">
        <v>12.28</v>
      </c>
      <c r="F55" s="2">
        <v>1E-3</v>
      </c>
      <c r="H55" s="20">
        <v>12.093999999999999</v>
      </c>
      <c r="I55" s="13">
        <v>1E-3</v>
      </c>
      <c r="J55" s="13">
        <v>12.180999999999999</v>
      </c>
      <c r="K55" s="21">
        <v>1E-3</v>
      </c>
      <c r="M55" s="20">
        <v>12.016</v>
      </c>
      <c r="N55" s="13">
        <v>1E-3</v>
      </c>
      <c r="O55" s="13">
        <v>12.103</v>
      </c>
      <c r="P55" s="21">
        <v>1E-3</v>
      </c>
    </row>
    <row r="56" spans="3:16">
      <c r="C56" s="2"/>
      <c r="D56" s="2"/>
      <c r="E56" s="2"/>
      <c r="F56" s="2"/>
      <c r="H56" s="20"/>
      <c r="I56" s="13"/>
      <c r="J56" s="13"/>
      <c r="K56" s="21"/>
      <c r="M56" s="20"/>
      <c r="N56" s="13"/>
      <c r="O56" s="13"/>
      <c r="P56" s="21"/>
    </row>
    <row r="57" spans="3:16">
      <c r="C57" s="2" t="s">
        <v>16</v>
      </c>
      <c r="D57" s="2" t="s">
        <v>17</v>
      </c>
      <c r="E57" s="2"/>
      <c r="F57" s="2"/>
      <c r="H57" s="20" t="s">
        <v>16</v>
      </c>
      <c r="I57" s="13" t="s">
        <v>17</v>
      </c>
      <c r="J57" s="13"/>
      <c r="K57" s="21"/>
      <c r="M57" s="20" t="s">
        <v>16</v>
      </c>
      <c r="N57" s="13" t="s">
        <v>17</v>
      </c>
      <c r="O57" s="13"/>
      <c r="P57" s="21"/>
    </row>
    <row r="58" spans="3:16">
      <c r="C58" s="4">
        <f>(C55+E55)/2</f>
        <v>12.236499999999999</v>
      </c>
      <c r="D58" s="4">
        <f>SQRT((1/2)^2*(D55)^2+(1/2)^2*(F55)^2)</f>
        <v>7.0710678118654751E-4</v>
      </c>
      <c r="E58" s="2"/>
      <c r="F58" s="2"/>
      <c r="H58" s="22">
        <f>(H55+J55)/2</f>
        <v>12.137499999999999</v>
      </c>
      <c r="I58" s="15">
        <f>SQRT((1/2)^2*(I55)^2+(1/2)^2*(K55)^2)</f>
        <v>7.0710678118654751E-4</v>
      </c>
      <c r="J58" s="13"/>
      <c r="K58" s="21"/>
      <c r="M58" s="22">
        <f>(M55+O55)/2</f>
        <v>12.0595</v>
      </c>
      <c r="N58" s="15">
        <f>SQRT((1/2)^2*(N55)^2+(1/2)^2*(P55)^2)</f>
        <v>7.0710678118654751E-4</v>
      </c>
      <c r="O58" s="13"/>
      <c r="P58" s="21"/>
    </row>
    <row r="59" spans="3:16">
      <c r="C59" s="2"/>
      <c r="D59" s="2"/>
      <c r="E59" s="2"/>
      <c r="F59" s="2"/>
      <c r="H59" s="20"/>
      <c r="I59" s="13"/>
      <c r="J59" s="13"/>
      <c r="K59" s="21"/>
      <c r="M59" s="20"/>
      <c r="N59" s="13"/>
      <c r="O59" s="13"/>
      <c r="P59" s="21"/>
    </row>
    <row r="60" spans="3:16">
      <c r="C60" s="2"/>
      <c r="D60" s="2"/>
      <c r="E60" s="2"/>
      <c r="F60" s="2"/>
      <c r="H60" s="20"/>
      <c r="I60" s="13"/>
      <c r="J60" s="13"/>
      <c r="K60" s="21"/>
      <c r="M60" s="20"/>
      <c r="N60" s="13"/>
      <c r="O60" s="13"/>
      <c r="P60" s="21"/>
    </row>
    <row r="61" spans="3:16">
      <c r="C61" s="2" t="s">
        <v>11</v>
      </c>
      <c r="D61" s="2" t="s">
        <v>18</v>
      </c>
      <c r="E61" s="2"/>
      <c r="F61" s="2"/>
      <c r="H61" s="20" t="s">
        <v>11</v>
      </c>
      <c r="I61" s="13" t="s">
        <v>18</v>
      </c>
      <c r="J61" s="13"/>
      <c r="K61" s="21"/>
      <c r="M61" s="20" t="s">
        <v>11</v>
      </c>
      <c r="N61" s="13" t="s">
        <v>18</v>
      </c>
      <c r="O61" s="13"/>
      <c r="P61" s="21"/>
    </row>
    <row r="62" spans="3:16">
      <c r="C62" s="4">
        <f>C58-C50</f>
        <v>1.1364999999999981</v>
      </c>
      <c r="D62" s="4">
        <f>SQRT((1)^2*(D58)^2+(-1)^2*(D50)^2)</f>
        <v>1E-3</v>
      </c>
      <c r="E62" s="2"/>
      <c r="F62" s="2"/>
      <c r="H62" s="22">
        <f>H58-H50</f>
        <v>0.80399999999999849</v>
      </c>
      <c r="I62" s="15">
        <f>SQRT((1)^2*(I58)^2+(-1)^2*(I50)^2)</f>
        <v>1E-3</v>
      </c>
      <c r="J62" s="13"/>
      <c r="K62" s="21"/>
      <c r="M62" s="22">
        <f>M58-M50</f>
        <v>0.55600000000000094</v>
      </c>
      <c r="N62" s="15">
        <f>SQRT((1)^2*(N58)^2+(-1)^2*(N50)^2)</f>
        <v>1E-3</v>
      </c>
      <c r="O62" s="13"/>
      <c r="P62" s="21"/>
    </row>
    <row r="63" spans="3:16">
      <c r="H63" s="32"/>
      <c r="I63" s="12"/>
      <c r="J63" s="12"/>
      <c r="K63" s="33"/>
      <c r="M63" s="20"/>
      <c r="N63" s="13"/>
      <c r="O63" s="13"/>
      <c r="P63" s="21"/>
    </row>
    <row r="64" spans="3:16">
      <c r="H64" s="32"/>
      <c r="I64" s="12"/>
      <c r="J64" s="12"/>
      <c r="K64" s="33"/>
      <c r="M64" s="20"/>
      <c r="N64" s="13"/>
      <c r="O64" s="13"/>
      <c r="P64" s="21"/>
    </row>
    <row r="65" spans="3:21">
      <c r="C65" s="2" t="s">
        <v>33</v>
      </c>
      <c r="D65" s="2" t="s">
        <v>34</v>
      </c>
      <c r="H65" s="20" t="s">
        <v>33</v>
      </c>
      <c r="I65" s="13" t="s">
        <v>34</v>
      </c>
      <c r="J65" s="12"/>
      <c r="K65" s="33"/>
      <c r="M65" s="20" t="s">
        <v>21</v>
      </c>
      <c r="N65" s="13" t="s">
        <v>22</v>
      </c>
      <c r="O65" s="13"/>
      <c r="P65" s="21"/>
    </row>
    <row r="66" spans="3:21">
      <c r="C66" s="4">
        <f>0.088</f>
        <v>8.7999999999999995E-2</v>
      </c>
      <c r="D66" s="4">
        <f>0.002</f>
        <v>2E-3</v>
      </c>
      <c r="H66" s="22">
        <f>0.02</f>
        <v>0.02</v>
      </c>
      <c r="I66" s="15">
        <f>0.002</f>
        <v>2E-3</v>
      </c>
      <c r="J66" s="12"/>
      <c r="K66" s="33"/>
      <c r="M66" s="22">
        <v>1.4E-2</v>
      </c>
      <c r="N66" s="15">
        <v>2E-3</v>
      </c>
      <c r="O66" s="13"/>
      <c r="P66" s="21"/>
    </row>
    <row r="67" spans="3:21">
      <c r="H67" s="32"/>
      <c r="I67" s="12"/>
      <c r="J67" s="12"/>
      <c r="K67" s="33"/>
      <c r="M67" s="20"/>
      <c r="N67" s="13"/>
      <c r="O67" s="13"/>
      <c r="P67" s="21"/>
    </row>
    <row r="68" spans="3:21">
      <c r="C68" s="2" t="s">
        <v>35</v>
      </c>
      <c r="D68" s="2" t="s">
        <v>36</v>
      </c>
      <c r="H68" s="20" t="s">
        <v>35</v>
      </c>
      <c r="I68" s="13" t="s">
        <v>36</v>
      </c>
      <c r="J68" s="12"/>
      <c r="K68" s="33"/>
      <c r="M68" s="20"/>
      <c r="N68" s="13"/>
      <c r="O68" s="13"/>
      <c r="P68" s="21"/>
    </row>
    <row r="69" spans="3:21">
      <c r="C69" s="2">
        <f>C66/($D$2*C62)</f>
        <v>122362.05485935893</v>
      </c>
      <c r="D69" s="2">
        <f>SQRT((C69/C66)^2*(D66)^2+(-C69/$D$2)^2*($E$2)^2+(-C69/C62)^2*(D62)^2)</f>
        <v>2783.1063442414425</v>
      </c>
      <c r="H69" s="20">
        <f>H66/($D$2*H62)</f>
        <v>39310.401217679057</v>
      </c>
      <c r="I69" s="13">
        <f>SQRT((H69/H66)^2*(I66)^2+(-H69/$D$2)^2*($E$2)^2+(-H69/H62)^2*(I62)^2)</f>
        <v>3931.3490823436655</v>
      </c>
      <c r="J69" s="12"/>
      <c r="K69" s="33"/>
      <c r="M69" s="20"/>
      <c r="N69" s="13"/>
      <c r="O69" s="13"/>
      <c r="P69" s="21"/>
    </row>
    <row r="70" spans="3:21">
      <c r="H70" s="32"/>
      <c r="I70" s="12"/>
      <c r="J70" s="12"/>
      <c r="K70" s="33"/>
      <c r="M70" s="20"/>
      <c r="N70" s="13"/>
      <c r="O70" s="13"/>
      <c r="P70" s="21"/>
    </row>
    <row r="71" spans="3:21">
      <c r="C71" s="5" t="s">
        <v>37</v>
      </c>
      <c r="D71" s="5" t="s">
        <v>38</v>
      </c>
      <c r="H71" s="24" t="s">
        <v>37</v>
      </c>
      <c r="I71" s="5" t="s">
        <v>38</v>
      </c>
      <c r="J71" s="12"/>
      <c r="K71" s="33"/>
      <c r="M71" s="20" t="s">
        <v>19</v>
      </c>
      <c r="N71" s="13" t="s">
        <v>20</v>
      </c>
      <c r="O71" s="13"/>
      <c r="P71" s="21"/>
    </row>
    <row r="72" spans="3:21" ht="15.75" thickBot="1">
      <c r="C72" s="11">
        <f>C69*0.001</f>
        <v>122.36205485935893</v>
      </c>
      <c r="D72" s="11">
        <f>0.001*ABS(D69)</f>
        <v>2.7831063442414425</v>
      </c>
      <c r="H72" s="44">
        <f>H69*0.001</f>
        <v>39.310401217679058</v>
      </c>
      <c r="I72" s="45">
        <f>0.001*ABS(I69)</f>
        <v>3.9313490823436656</v>
      </c>
      <c r="J72" s="39"/>
      <c r="K72" s="40"/>
      <c r="M72" s="41">
        <f>M62*$D$2/M66</f>
        <v>2.5131200000000042E-5</v>
      </c>
      <c r="N72" s="9">
        <f>SQRT((M72/M62)^2*(N62)^2+(M72/$D$2)^2*($E$2)^2+(-M72/M66)^2*(N66)^2)</f>
        <v>3.5904581460832479E-6</v>
      </c>
      <c r="O72" s="13"/>
      <c r="P72" s="21"/>
    </row>
    <row r="73" spans="3:21">
      <c r="M73" s="20"/>
      <c r="N73" s="13"/>
      <c r="O73" s="13"/>
      <c r="P73" s="21"/>
    </row>
    <row r="74" spans="3:21">
      <c r="M74" s="24" t="s">
        <v>23</v>
      </c>
      <c r="N74" s="5" t="s">
        <v>24</v>
      </c>
      <c r="O74" s="13"/>
      <c r="P74" s="21"/>
    </row>
    <row r="75" spans="3:21">
      <c r="M75" s="35">
        <f>2*M72</f>
        <v>5.0262400000000083E-5</v>
      </c>
      <c r="N75" s="6">
        <f>2*ABS(N72)</f>
        <v>7.1809162921664957E-6</v>
      </c>
      <c r="O75" s="13"/>
      <c r="P75" s="21"/>
    </row>
    <row r="76" spans="3:21" ht="15.75" thickBot="1">
      <c r="M76" s="32"/>
      <c r="N76" s="12"/>
      <c r="O76" s="12"/>
      <c r="P76" s="33"/>
    </row>
    <row r="77" spans="3:21" ht="15.75" thickBot="1">
      <c r="C77" s="29" t="s">
        <v>41</v>
      </c>
      <c r="D77" s="30"/>
      <c r="E77" s="30"/>
      <c r="F77" s="31"/>
      <c r="H77" s="29" t="s">
        <v>49</v>
      </c>
      <c r="I77" s="30"/>
      <c r="J77" s="30"/>
      <c r="K77" s="31"/>
      <c r="M77" s="42">
        <f>M75*1000</f>
        <v>5.0262400000000082E-2</v>
      </c>
      <c r="N77" s="43">
        <f>N75*1000</f>
        <v>7.1809162921664957E-3</v>
      </c>
      <c r="O77" s="39"/>
      <c r="P77" s="40"/>
    </row>
    <row r="78" spans="3:21">
      <c r="C78" s="32"/>
      <c r="D78" s="12"/>
      <c r="E78" s="12"/>
      <c r="F78" s="33"/>
      <c r="H78" s="32"/>
      <c r="I78" s="12"/>
      <c r="J78" s="12"/>
      <c r="K78" s="33"/>
    </row>
    <row r="79" spans="3:21" ht="15.75" thickBot="1">
      <c r="C79" s="20" t="s">
        <v>1</v>
      </c>
      <c r="D79" s="13"/>
      <c r="E79" s="13"/>
      <c r="F79" s="21"/>
      <c r="H79" s="20" t="s">
        <v>1</v>
      </c>
      <c r="I79" s="13"/>
      <c r="J79" s="13"/>
      <c r="K79" s="21"/>
    </row>
    <row r="80" spans="3:21">
      <c r="C80" s="20" t="s">
        <v>13</v>
      </c>
      <c r="D80" s="13" t="s">
        <v>12</v>
      </c>
      <c r="E80" s="13" t="s">
        <v>14</v>
      </c>
      <c r="F80" s="21" t="s">
        <v>15</v>
      </c>
      <c r="H80" s="20" t="s">
        <v>13</v>
      </c>
      <c r="I80" s="13" t="s">
        <v>12</v>
      </c>
      <c r="J80" s="13" t="s">
        <v>14</v>
      </c>
      <c r="K80" s="21" t="s">
        <v>15</v>
      </c>
      <c r="M80" s="17" t="s">
        <v>51</v>
      </c>
      <c r="N80" s="30"/>
      <c r="O80" s="30"/>
      <c r="P80" s="31"/>
      <c r="R80" s="17" t="s">
        <v>61</v>
      </c>
      <c r="S80" s="30"/>
      <c r="T80" s="30"/>
      <c r="U80" s="31"/>
    </row>
    <row r="81" spans="3:21">
      <c r="C81" s="20">
        <v>12.05</v>
      </c>
      <c r="D81" s="13">
        <v>1E-3</v>
      </c>
      <c r="E81" s="13">
        <v>12.11</v>
      </c>
      <c r="F81" s="21">
        <v>1E-3</v>
      </c>
      <c r="H81" s="20">
        <v>11.651999999999999</v>
      </c>
      <c r="I81" s="13">
        <v>1E-3</v>
      </c>
      <c r="J81" s="13">
        <v>11.71</v>
      </c>
      <c r="K81" s="21">
        <v>1E-3</v>
      </c>
      <c r="M81" s="32"/>
      <c r="N81" s="12"/>
      <c r="O81" s="12"/>
      <c r="P81" s="33"/>
      <c r="R81" s="32"/>
      <c r="S81" s="12"/>
      <c r="T81" s="12"/>
      <c r="U81" s="33"/>
    </row>
    <row r="82" spans="3:21">
      <c r="C82" s="20"/>
      <c r="D82" s="13"/>
      <c r="E82" s="13"/>
      <c r="F82" s="21"/>
      <c r="H82" s="20"/>
      <c r="I82" s="13"/>
      <c r="J82" s="13"/>
      <c r="K82" s="21"/>
      <c r="M82" s="20" t="s">
        <v>1</v>
      </c>
      <c r="N82" s="13"/>
      <c r="O82" s="13"/>
      <c r="P82" s="21"/>
      <c r="R82" s="20" t="s">
        <v>1</v>
      </c>
      <c r="S82" s="13"/>
      <c r="T82" s="13"/>
      <c r="U82" s="21"/>
    </row>
    <row r="83" spans="3:21">
      <c r="C83" s="20" t="s">
        <v>16</v>
      </c>
      <c r="D83" s="13" t="s">
        <v>17</v>
      </c>
      <c r="E83" s="13"/>
      <c r="F83" s="21"/>
      <c r="H83" s="20" t="s">
        <v>16</v>
      </c>
      <c r="I83" s="13" t="s">
        <v>17</v>
      </c>
      <c r="J83" s="13"/>
      <c r="K83" s="21"/>
      <c r="M83" s="20" t="s">
        <v>13</v>
      </c>
      <c r="N83" s="13" t="s">
        <v>12</v>
      </c>
      <c r="O83" s="13" t="s">
        <v>14</v>
      </c>
      <c r="P83" s="21" t="s">
        <v>15</v>
      </c>
      <c r="R83" s="20" t="s">
        <v>13</v>
      </c>
      <c r="S83" s="13" t="s">
        <v>12</v>
      </c>
      <c r="T83" s="13" t="s">
        <v>14</v>
      </c>
      <c r="U83" s="21" t="s">
        <v>15</v>
      </c>
    </row>
    <row r="84" spans="3:21">
      <c r="C84" s="22">
        <f>(C81+E81)/2</f>
        <v>12.08</v>
      </c>
      <c r="D84" s="15">
        <f>SQRT((1/2)^2*(D81)^2+(1/2)^2*(F81)^2)</f>
        <v>7.0710678118654751E-4</v>
      </c>
      <c r="E84" s="13"/>
      <c r="F84" s="21"/>
      <c r="H84" s="22">
        <f>(H81+J81)/2</f>
        <v>11.681000000000001</v>
      </c>
      <c r="I84" s="15">
        <f>SQRT((1/2)^2*(I81)^2+(1/2)^2*(K81)^2)</f>
        <v>7.0710678118654751E-4</v>
      </c>
      <c r="J84" s="13"/>
      <c r="K84" s="21"/>
      <c r="M84" s="20">
        <v>11.597</v>
      </c>
      <c r="N84" s="13">
        <v>1E-3</v>
      </c>
      <c r="O84" s="13">
        <v>11.654999999999999</v>
      </c>
      <c r="P84" s="21">
        <v>1E-3</v>
      </c>
      <c r="R84" s="20">
        <v>11.597</v>
      </c>
      <c r="S84" s="13">
        <v>1E-3</v>
      </c>
      <c r="T84" s="13">
        <v>11.654999999999999</v>
      </c>
      <c r="U84" s="21">
        <v>1E-3</v>
      </c>
    </row>
    <row r="85" spans="3:21">
      <c r="C85" s="20"/>
      <c r="D85" s="13"/>
      <c r="E85" s="13"/>
      <c r="F85" s="21"/>
      <c r="H85" s="20"/>
      <c r="I85" s="13"/>
      <c r="J85" s="13"/>
      <c r="K85" s="21"/>
      <c r="M85" s="20"/>
      <c r="N85" s="13"/>
      <c r="O85" s="13"/>
      <c r="P85" s="21"/>
      <c r="R85" s="20"/>
      <c r="S85" s="13"/>
      <c r="T85" s="13"/>
      <c r="U85" s="21"/>
    </row>
    <row r="86" spans="3:21">
      <c r="C86" s="20"/>
      <c r="D86" s="13"/>
      <c r="E86" s="13"/>
      <c r="F86" s="21"/>
      <c r="H86" s="20"/>
      <c r="I86" s="13"/>
      <c r="J86" s="13"/>
      <c r="K86" s="21"/>
      <c r="M86" s="20" t="s">
        <v>16</v>
      </c>
      <c r="N86" s="13" t="s">
        <v>17</v>
      </c>
      <c r="O86" s="13"/>
      <c r="P86" s="21"/>
      <c r="R86" s="20" t="s">
        <v>16</v>
      </c>
      <c r="S86" s="13" t="s">
        <v>17</v>
      </c>
      <c r="T86" s="13"/>
      <c r="U86" s="21"/>
    </row>
    <row r="87" spans="3:21">
      <c r="C87" s="20" t="s">
        <v>2</v>
      </c>
      <c r="D87" s="13"/>
      <c r="E87" s="13"/>
      <c r="F87" s="21"/>
      <c r="H87" s="20" t="s">
        <v>2</v>
      </c>
      <c r="I87" s="13"/>
      <c r="J87" s="13"/>
      <c r="K87" s="21"/>
      <c r="M87" s="22">
        <f>(M84+O84)/2</f>
        <v>11.625999999999999</v>
      </c>
      <c r="N87" s="15">
        <f>SQRT((1/2)^2*(N84)^2+(1/2)^2*(P84)^2)</f>
        <v>7.0710678118654751E-4</v>
      </c>
      <c r="O87" s="13"/>
      <c r="P87" s="21"/>
      <c r="R87" s="22">
        <f>(R84+T84)/2</f>
        <v>11.625999999999999</v>
      </c>
      <c r="S87" s="15">
        <f>SQRT((1/2)^2*(S84)^2+(1/2)^2*(U84)^2)</f>
        <v>7.0710678118654751E-4</v>
      </c>
      <c r="T87" s="13"/>
      <c r="U87" s="21"/>
    </row>
    <row r="88" spans="3:21">
      <c r="C88" s="20" t="s">
        <v>13</v>
      </c>
      <c r="D88" s="13" t="s">
        <v>12</v>
      </c>
      <c r="E88" s="13" t="s">
        <v>14</v>
      </c>
      <c r="F88" s="21" t="s">
        <v>15</v>
      </c>
      <c r="H88" s="20" t="s">
        <v>13</v>
      </c>
      <c r="I88" s="13" t="s">
        <v>12</v>
      </c>
      <c r="J88" s="13" t="s">
        <v>14</v>
      </c>
      <c r="K88" s="21" t="s">
        <v>15</v>
      </c>
      <c r="M88" s="20"/>
      <c r="N88" s="13"/>
      <c r="O88" s="13"/>
      <c r="P88" s="21"/>
      <c r="R88" s="20"/>
      <c r="S88" s="13"/>
      <c r="T88" s="13"/>
      <c r="U88" s="21"/>
    </row>
    <row r="89" spans="3:21">
      <c r="C89" s="20">
        <v>12.185</v>
      </c>
      <c r="D89" s="13">
        <v>1E-3</v>
      </c>
      <c r="E89" s="13">
        <v>12.244999999999999</v>
      </c>
      <c r="F89" s="21">
        <v>1E-3</v>
      </c>
      <c r="H89" s="20">
        <v>12.185</v>
      </c>
      <c r="I89" s="13">
        <v>1E-3</v>
      </c>
      <c r="J89" s="13">
        <v>12.244999999999999</v>
      </c>
      <c r="K89" s="21">
        <v>1E-3</v>
      </c>
      <c r="M89" s="20"/>
      <c r="N89" s="13"/>
      <c r="O89" s="13"/>
      <c r="P89" s="21"/>
      <c r="R89" s="20"/>
      <c r="S89" s="13"/>
      <c r="T89" s="13"/>
      <c r="U89" s="21"/>
    </row>
    <row r="90" spans="3:21">
      <c r="C90" s="20"/>
      <c r="D90" s="13"/>
      <c r="E90" s="13"/>
      <c r="F90" s="21"/>
      <c r="H90" s="20"/>
      <c r="I90" s="13"/>
      <c r="J90" s="13"/>
      <c r="K90" s="21"/>
      <c r="M90" s="20" t="s">
        <v>2</v>
      </c>
      <c r="N90" s="13"/>
      <c r="O90" s="13"/>
      <c r="P90" s="21"/>
      <c r="R90" s="20" t="s">
        <v>2</v>
      </c>
      <c r="S90" s="13"/>
      <c r="T90" s="13"/>
      <c r="U90" s="21"/>
    </row>
    <row r="91" spans="3:21">
      <c r="C91" s="20" t="s">
        <v>16</v>
      </c>
      <c r="D91" s="13" t="s">
        <v>17</v>
      </c>
      <c r="E91" s="13"/>
      <c r="F91" s="21"/>
      <c r="H91" s="20" t="s">
        <v>16</v>
      </c>
      <c r="I91" s="13" t="s">
        <v>17</v>
      </c>
      <c r="J91" s="13"/>
      <c r="K91" s="21"/>
      <c r="M91" s="20" t="s">
        <v>13</v>
      </c>
      <c r="N91" s="13" t="s">
        <v>12</v>
      </c>
      <c r="O91" s="13" t="s">
        <v>14</v>
      </c>
      <c r="P91" s="21" t="s">
        <v>15</v>
      </c>
      <c r="R91" s="20" t="s">
        <v>13</v>
      </c>
      <c r="S91" s="13" t="s">
        <v>12</v>
      </c>
      <c r="T91" s="13" t="s">
        <v>14</v>
      </c>
      <c r="U91" s="21" t="s">
        <v>15</v>
      </c>
    </row>
    <row r="92" spans="3:21">
      <c r="C92" s="22">
        <f>(C89+E89)/2</f>
        <v>12.215</v>
      </c>
      <c r="D92" s="15">
        <f>SQRT((1/2)^2*(D89)^2+(1/2)^2*(F89)^2)</f>
        <v>7.0710678118654751E-4</v>
      </c>
      <c r="E92" s="13"/>
      <c r="F92" s="21"/>
      <c r="H92" s="22">
        <f>(H89+J89)/2</f>
        <v>12.215</v>
      </c>
      <c r="I92" s="15">
        <f>SQRT((1/2)^2*(I89)^2+(1/2)^2*(K89)^2)</f>
        <v>7.0710678118654751E-4</v>
      </c>
      <c r="J92" s="13"/>
      <c r="K92" s="21"/>
      <c r="M92" s="20">
        <v>12.207000000000001</v>
      </c>
      <c r="N92" s="13">
        <v>1E-3</v>
      </c>
      <c r="O92" s="13">
        <v>12.295</v>
      </c>
      <c r="P92" s="21">
        <v>1E-3</v>
      </c>
      <c r="R92" s="20">
        <v>12.207000000000001</v>
      </c>
      <c r="S92" s="13">
        <v>1E-3</v>
      </c>
      <c r="T92" s="13">
        <v>12.295</v>
      </c>
      <c r="U92" s="21">
        <v>1E-3</v>
      </c>
    </row>
    <row r="93" spans="3:21">
      <c r="C93" s="22"/>
      <c r="D93" s="15"/>
      <c r="E93" s="13"/>
      <c r="F93" s="21"/>
      <c r="H93" s="22"/>
      <c r="I93" s="15"/>
      <c r="J93" s="13"/>
      <c r="K93" s="21"/>
      <c r="M93" s="20"/>
      <c r="N93" s="13"/>
      <c r="O93" s="13"/>
      <c r="P93" s="21"/>
      <c r="R93" s="20"/>
      <c r="S93" s="13"/>
      <c r="T93" s="13"/>
      <c r="U93" s="21"/>
    </row>
    <row r="94" spans="3:21">
      <c r="C94" s="22" t="s">
        <v>42</v>
      </c>
      <c r="D94" s="15" t="s">
        <v>43</v>
      </c>
      <c r="E94" s="13"/>
      <c r="F94" s="21"/>
      <c r="H94" s="22" t="s">
        <v>42</v>
      </c>
      <c r="I94" s="15" t="s">
        <v>43</v>
      </c>
      <c r="J94" s="13"/>
      <c r="K94" s="21"/>
      <c r="M94" s="20" t="s">
        <v>16</v>
      </c>
      <c r="N94" s="13" t="s">
        <v>17</v>
      </c>
      <c r="O94" s="13"/>
      <c r="P94" s="21"/>
      <c r="R94" s="20" t="s">
        <v>16</v>
      </c>
      <c r="S94" s="13" t="s">
        <v>17</v>
      </c>
      <c r="T94" s="13"/>
      <c r="U94" s="21"/>
    </row>
    <row r="95" spans="3:21">
      <c r="C95" s="34">
        <v>12.275</v>
      </c>
      <c r="D95" s="13">
        <v>1E-3</v>
      </c>
      <c r="E95" s="13"/>
      <c r="F95" s="21"/>
      <c r="H95" s="34">
        <v>12.275</v>
      </c>
      <c r="I95" s="13">
        <v>1E-3</v>
      </c>
      <c r="J95" s="13"/>
      <c r="K95" s="21"/>
      <c r="M95" s="22">
        <f>(M92+O92)/2</f>
        <v>12.251000000000001</v>
      </c>
      <c r="N95" s="15">
        <f>SQRT((1/2)^2*(N92)^2+(1/2)^2*(P92)^2)</f>
        <v>7.0710678118654751E-4</v>
      </c>
      <c r="O95" s="13"/>
      <c r="P95" s="21"/>
      <c r="R95" s="22">
        <f>(R92+T92)/2</f>
        <v>12.251000000000001</v>
      </c>
      <c r="S95" s="15">
        <f>SQRT((1/2)^2*(S92)^2+(1/2)^2*(U92)^2)</f>
        <v>7.0710678118654751E-4</v>
      </c>
      <c r="T95" s="13"/>
      <c r="U95" s="21"/>
    </row>
    <row r="96" spans="3:21">
      <c r="C96" s="34"/>
      <c r="D96" s="13"/>
      <c r="E96" s="13"/>
      <c r="F96" s="21"/>
      <c r="H96" s="34"/>
      <c r="I96" s="13"/>
      <c r="J96" s="13"/>
      <c r="K96" s="21"/>
      <c r="M96" s="20"/>
      <c r="N96" s="13"/>
      <c r="O96" s="13"/>
      <c r="P96" s="21"/>
      <c r="R96" s="20"/>
      <c r="S96" s="13"/>
      <c r="T96" s="13"/>
      <c r="U96" s="21"/>
    </row>
    <row r="97" spans="3:21">
      <c r="C97" s="34"/>
      <c r="D97" s="13"/>
      <c r="E97" s="13"/>
      <c r="F97" s="21"/>
      <c r="H97" s="34"/>
      <c r="I97" s="13"/>
      <c r="J97" s="13"/>
      <c r="K97" s="21"/>
      <c r="M97" s="20"/>
      <c r="N97" s="13"/>
      <c r="O97" s="13"/>
      <c r="P97" s="21"/>
      <c r="R97" s="20"/>
      <c r="S97" s="13"/>
      <c r="T97" s="13"/>
      <c r="U97" s="21"/>
    </row>
    <row r="98" spans="3:21">
      <c r="C98" s="20" t="s">
        <v>11</v>
      </c>
      <c r="D98" s="13" t="s">
        <v>18</v>
      </c>
      <c r="E98" s="13"/>
      <c r="F98" s="21"/>
      <c r="H98" s="20" t="s">
        <v>11</v>
      </c>
      <c r="I98" s="13" t="s">
        <v>18</v>
      </c>
      <c r="J98" s="13"/>
      <c r="K98" s="21"/>
      <c r="M98" s="20" t="s">
        <v>11</v>
      </c>
      <c r="N98" s="13" t="s">
        <v>18</v>
      </c>
      <c r="O98" s="13"/>
      <c r="P98" s="21"/>
      <c r="R98" s="20" t="s">
        <v>11</v>
      </c>
      <c r="S98" s="13" t="s">
        <v>18</v>
      </c>
      <c r="T98" s="13"/>
      <c r="U98" s="21"/>
    </row>
    <row r="99" spans="3:21">
      <c r="C99" s="22">
        <f>C92-C84</f>
        <v>0.13499999999999979</v>
      </c>
      <c r="D99" s="15">
        <f>SQRT((1)^2*(D92)^2+(-1)^2*(D84)^2)</f>
        <v>1E-3</v>
      </c>
      <c r="E99" s="13"/>
      <c r="F99" s="21"/>
      <c r="H99" s="22">
        <f>H92-H84</f>
        <v>0.53399999999999892</v>
      </c>
      <c r="I99" s="15">
        <f>SQRT((1)^2*(I92)^2+(-1)^2*(I84)^2)</f>
        <v>1E-3</v>
      </c>
      <c r="J99" s="13"/>
      <c r="K99" s="21"/>
      <c r="M99" s="22">
        <f>M95-M87</f>
        <v>0.62500000000000178</v>
      </c>
      <c r="N99" s="15">
        <f>SQRT((1)^2*(N95)^2+(-1)^2*(N87)^2)</f>
        <v>1E-3</v>
      </c>
      <c r="O99" s="13"/>
      <c r="P99" s="21"/>
      <c r="R99" s="22">
        <f>R95-R87</f>
        <v>0.62500000000000178</v>
      </c>
      <c r="S99" s="15">
        <f>SQRT((1)^2*(S95)^2+(-1)^2*(S87)^2)</f>
        <v>1E-3</v>
      </c>
      <c r="T99" s="13"/>
      <c r="U99" s="21"/>
    </row>
    <row r="100" spans="3:21">
      <c r="C100" s="20"/>
      <c r="D100" s="13"/>
      <c r="E100" s="13"/>
      <c r="F100" s="21"/>
      <c r="H100" s="20"/>
      <c r="I100" s="13"/>
      <c r="J100" s="13"/>
      <c r="K100" s="21"/>
      <c r="M100" s="20"/>
      <c r="N100" s="13"/>
      <c r="O100" s="13"/>
      <c r="P100" s="21"/>
      <c r="R100" s="20"/>
      <c r="S100" s="13"/>
      <c r="T100" s="13"/>
      <c r="U100" s="21"/>
    </row>
    <row r="101" spans="3:21">
      <c r="C101" s="20"/>
      <c r="D101" s="13"/>
      <c r="E101" s="13"/>
      <c r="F101" s="21"/>
      <c r="H101" s="20"/>
      <c r="I101" s="13"/>
      <c r="J101" s="13"/>
      <c r="K101" s="21"/>
      <c r="M101" s="20"/>
      <c r="N101" s="13"/>
      <c r="O101" s="13"/>
      <c r="P101" s="21"/>
      <c r="R101" s="20"/>
      <c r="S101" s="13"/>
      <c r="T101" s="13"/>
      <c r="U101" s="21"/>
    </row>
    <row r="102" spans="3:21">
      <c r="C102" s="20" t="s">
        <v>44</v>
      </c>
      <c r="D102" s="13" t="s">
        <v>45</v>
      </c>
      <c r="E102" s="13"/>
      <c r="F102" s="21"/>
      <c r="H102" s="20" t="s">
        <v>44</v>
      </c>
      <c r="I102" s="13" t="s">
        <v>45</v>
      </c>
      <c r="J102" s="13"/>
      <c r="K102" s="21"/>
      <c r="M102" s="20" t="s">
        <v>52</v>
      </c>
      <c r="N102" s="13" t="s">
        <v>22</v>
      </c>
      <c r="O102" s="13"/>
      <c r="P102" s="21"/>
      <c r="R102" s="20" t="s">
        <v>52</v>
      </c>
      <c r="S102" s="13" t="s">
        <v>22</v>
      </c>
      <c r="T102" s="13"/>
      <c r="U102" s="21"/>
    </row>
    <row r="103" spans="3:21">
      <c r="C103" s="22">
        <f>2*9*0.001</f>
        <v>1.8000000000000002E-2</v>
      </c>
      <c r="D103" s="15">
        <f>0.002</f>
        <v>2E-3</v>
      </c>
      <c r="E103" s="13"/>
      <c r="F103" s="21"/>
      <c r="H103" s="22">
        <f>0.002</f>
        <v>2E-3</v>
      </c>
      <c r="I103" s="15">
        <f>0.002</f>
        <v>2E-3</v>
      </c>
      <c r="J103" s="13"/>
      <c r="K103" s="21"/>
      <c r="M103" s="22">
        <f>0.016</f>
        <v>1.6E-2</v>
      </c>
      <c r="N103" s="15">
        <v>2E-3</v>
      </c>
      <c r="O103" s="13"/>
      <c r="P103" s="21"/>
      <c r="R103" s="22">
        <f>0.032</f>
        <v>3.2000000000000001E-2</v>
      </c>
      <c r="S103" s="15">
        <v>2E-3</v>
      </c>
      <c r="T103" s="13"/>
      <c r="U103" s="21"/>
    </row>
    <row r="104" spans="3:21">
      <c r="C104" s="32"/>
      <c r="D104" s="12"/>
      <c r="E104" s="12"/>
      <c r="F104" s="33"/>
      <c r="H104" s="32"/>
      <c r="I104" s="12"/>
      <c r="J104" s="12"/>
      <c r="K104" s="33"/>
      <c r="M104" s="20"/>
      <c r="N104" s="13"/>
      <c r="O104" s="13"/>
      <c r="P104" s="21"/>
      <c r="R104" s="20"/>
      <c r="S104" s="13"/>
      <c r="T104" s="13"/>
      <c r="U104" s="21"/>
    </row>
    <row r="105" spans="3:21">
      <c r="C105" s="24" t="s">
        <v>46</v>
      </c>
      <c r="D105" s="5" t="s">
        <v>50</v>
      </c>
      <c r="E105" s="12"/>
      <c r="F105" s="33"/>
      <c r="H105" s="24" t="s">
        <v>46</v>
      </c>
      <c r="I105" s="5" t="s">
        <v>50</v>
      </c>
      <c r="J105" s="12"/>
      <c r="K105" s="33"/>
      <c r="M105" s="20" t="s">
        <v>53</v>
      </c>
      <c r="N105" s="13" t="s">
        <v>54</v>
      </c>
      <c r="O105" s="13"/>
      <c r="P105" s="21"/>
      <c r="R105" s="20" t="s">
        <v>53</v>
      </c>
      <c r="S105" s="13" t="s">
        <v>54</v>
      </c>
      <c r="T105" s="13"/>
      <c r="U105" s="21"/>
    </row>
    <row r="106" spans="3:21">
      <c r="C106" s="24">
        <f>C103^2*(C95-C92+C99)/(D2*(C95-C92)*C99)</f>
        <v>12326.169405815363</v>
      </c>
      <c r="D106" s="5">
        <f>SQRT((2*C106/C103)^2*(D103)^2+(-C106/$D$2)^2*($E$2)^2+((C103^2/$D$2)*(-1/C99^2))^2*(D99)^2+((C103^2/$D$2)*(-1/(C95-C92)^2))^2*(0.001)^2)</f>
        <v>2742.9832171303547</v>
      </c>
      <c r="E106" s="12"/>
      <c r="F106" s="33"/>
      <c r="H106" s="46">
        <f>(2*K36)^2*(H95-H92+H99)/(D2*(H95-H92)*H99)</f>
        <v>0.91249926124646252</v>
      </c>
      <c r="I106" s="11">
        <f>SQRT((2*H106/H103)^2*(I103)^2+(-H106/$D$2)^2*($E$2)^2+((H103^2/$D$2)*(-1/H99^2))^2*(I99)^2+((H103^2/$D$2)*(-1/(H95-H92)^2))^2*(0.001)^2)</f>
        <v>2.5326214607494468</v>
      </c>
      <c r="J106" s="12"/>
      <c r="K106" s="33"/>
      <c r="M106" s="20">
        <f>0.006</f>
        <v>6.0000000000000001E-3</v>
      </c>
      <c r="N106" s="15">
        <v>2E-3</v>
      </c>
      <c r="O106" s="13"/>
      <c r="P106" s="21"/>
      <c r="R106" s="20">
        <f>0.008</f>
        <v>8.0000000000000002E-3</v>
      </c>
      <c r="S106" s="15">
        <v>2E-3</v>
      </c>
      <c r="T106" s="13"/>
      <c r="U106" s="21"/>
    </row>
    <row r="107" spans="3:21">
      <c r="C107" s="49">
        <f>C106/1000</f>
        <v>12.326169405815362</v>
      </c>
      <c r="D107" s="50">
        <f>ABS(D106)/1000</f>
        <v>2.7429832171303548</v>
      </c>
      <c r="E107" s="12"/>
      <c r="F107" s="33"/>
      <c r="H107" s="22"/>
      <c r="I107" s="15"/>
      <c r="J107" s="12"/>
      <c r="K107" s="33"/>
      <c r="M107" s="20"/>
      <c r="N107" s="13"/>
      <c r="O107" s="13"/>
      <c r="P107" s="21"/>
      <c r="R107" s="20"/>
      <c r="S107" s="13"/>
      <c r="T107" s="13"/>
      <c r="U107" s="21"/>
    </row>
    <row r="108" spans="3:21">
      <c r="C108" s="32"/>
      <c r="D108" s="12"/>
      <c r="E108" s="12"/>
      <c r="F108" s="33"/>
      <c r="H108" s="32"/>
      <c r="I108" s="12"/>
      <c r="J108" s="12"/>
      <c r="K108" s="33"/>
      <c r="M108" s="20" t="s">
        <v>55</v>
      </c>
      <c r="N108" s="13" t="s">
        <v>56</v>
      </c>
      <c r="O108" s="13"/>
      <c r="P108" s="21"/>
      <c r="R108" s="20" t="s">
        <v>55</v>
      </c>
      <c r="S108" s="13" t="s">
        <v>56</v>
      </c>
      <c r="T108" s="13"/>
      <c r="U108" s="21"/>
    </row>
    <row r="109" spans="3:21">
      <c r="C109" s="20" t="s">
        <v>47</v>
      </c>
      <c r="D109" s="13" t="s">
        <v>48</v>
      </c>
      <c r="E109" s="12"/>
      <c r="F109" s="33"/>
      <c r="H109" s="20" t="s">
        <v>47</v>
      </c>
      <c r="I109" s="13" t="s">
        <v>48</v>
      </c>
      <c r="J109" s="12"/>
      <c r="K109" s="33"/>
      <c r="M109" s="22">
        <f>M103/2</f>
        <v>8.0000000000000002E-3</v>
      </c>
      <c r="N109" s="15">
        <f>ABS(N103)/2</f>
        <v>1E-3</v>
      </c>
      <c r="O109" s="13"/>
      <c r="P109" s="21"/>
      <c r="R109" s="22">
        <f>R103/2</f>
        <v>1.6E-2</v>
      </c>
      <c r="S109" s="15">
        <f>ABS(S103)/2</f>
        <v>1E-3</v>
      </c>
      <c r="T109" s="13"/>
      <c r="U109" s="21"/>
    </row>
    <row r="110" spans="3:21">
      <c r="C110" s="22">
        <f>2*2*0.001</f>
        <v>4.0000000000000001E-3</v>
      </c>
      <c r="D110" s="15">
        <f>0.002</f>
        <v>2E-3</v>
      </c>
      <c r="E110" s="12"/>
      <c r="F110" s="33"/>
      <c r="H110" s="22">
        <f>K30</f>
        <v>0.01</v>
      </c>
      <c r="I110" s="15">
        <f>L30</f>
        <v>2E-3</v>
      </c>
      <c r="J110" s="12"/>
      <c r="K110" s="33"/>
      <c r="M110" s="32"/>
      <c r="N110" s="12"/>
      <c r="O110" s="13"/>
      <c r="P110" s="21"/>
      <c r="R110" s="32"/>
      <c r="S110" s="12"/>
      <c r="T110" s="13"/>
      <c r="U110" s="21"/>
    </row>
    <row r="111" spans="3:21">
      <c r="C111" s="32"/>
      <c r="D111" s="12"/>
      <c r="E111" s="12"/>
      <c r="F111" s="33"/>
      <c r="H111" s="32"/>
      <c r="I111" s="12"/>
      <c r="J111" s="12"/>
      <c r="K111" s="33"/>
      <c r="M111" s="20" t="s">
        <v>57</v>
      </c>
      <c r="N111" s="13" t="s">
        <v>58</v>
      </c>
      <c r="O111" s="13"/>
      <c r="P111" s="21"/>
      <c r="R111" s="20" t="s">
        <v>57</v>
      </c>
      <c r="S111" s="13" t="s">
        <v>58</v>
      </c>
      <c r="T111" s="13"/>
      <c r="U111" s="21"/>
    </row>
    <row r="112" spans="3:21">
      <c r="C112" s="32" t="s">
        <v>46</v>
      </c>
      <c r="D112" s="12"/>
      <c r="E112" s="12"/>
      <c r="F112" s="33"/>
      <c r="H112" s="24" t="s">
        <v>65</v>
      </c>
      <c r="I112" s="5" t="s">
        <v>66</v>
      </c>
      <c r="J112" s="12"/>
      <c r="K112" s="33"/>
      <c r="M112" s="22">
        <f>M106/2</f>
        <v>3.0000000000000001E-3</v>
      </c>
      <c r="N112" s="15">
        <f>ABS(N106)/2</f>
        <v>1E-3</v>
      </c>
      <c r="O112" s="13"/>
      <c r="P112" s="21"/>
      <c r="R112" s="22">
        <f>R106/2</f>
        <v>4.0000000000000001E-3</v>
      </c>
      <c r="S112" s="15">
        <f>ABS(S106)/2</f>
        <v>1E-3</v>
      </c>
      <c r="T112" s="13"/>
      <c r="U112" s="21"/>
    </row>
    <row r="113" spans="3:21" ht="15.75" thickBot="1">
      <c r="C113" s="51">
        <f>C110^2*(G8-C58+C62)/(D2*(G8-C58)*C62)</f>
        <v>170.10992740947435</v>
      </c>
      <c r="D113" s="27"/>
      <c r="E113" s="39"/>
      <c r="F113" s="40"/>
      <c r="H113" s="47">
        <f>(2*K36)^2*(G8-K22+K26)/(D2*(G8-K22)*K26)</f>
        <v>0.29101978764119596</v>
      </c>
      <c r="I113" s="48">
        <f>SQRT((2*H113/(2*K36))^2*(2*L36)^2+(-H113/$D$2)^2*($E$2)^2+(((2*K36)^2/$D$2)*(-1/K26^2))^2*(L26)^2+(((2*K36)^2/$D$2)*(-1/(G8-K22)^2))^2*(0.001)^2)</f>
        <v>0.11641578237189305</v>
      </c>
      <c r="J113" s="39"/>
      <c r="K113" s="40"/>
      <c r="M113" s="32"/>
      <c r="N113" s="12"/>
      <c r="O113" s="12"/>
      <c r="P113" s="33"/>
      <c r="R113" s="32"/>
      <c r="S113" s="12"/>
      <c r="T113" s="12"/>
      <c r="U113" s="33"/>
    </row>
    <row r="114" spans="3:21">
      <c r="C114" s="12"/>
      <c r="D114" s="12"/>
      <c r="M114" s="24" t="s">
        <v>23</v>
      </c>
      <c r="N114" s="5" t="s">
        <v>24</v>
      </c>
      <c r="O114" s="12"/>
      <c r="P114" s="33"/>
      <c r="R114" s="24" t="s">
        <v>23</v>
      </c>
      <c r="S114" s="5" t="s">
        <v>24</v>
      </c>
      <c r="T114" s="12"/>
      <c r="U114" s="33"/>
    </row>
    <row r="115" spans="3:21">
      <c r="C115" s="12"/>
      <c r="D115" s="12"/>
      <c r="M115" s="35">
        <f>$M$99*$D$2/M109</f>
        <v>4.9437500000000138E-5</v>
      </c>
      <c r="N115" s="6">
        <f>SQRT((M115/$M$99)^2*($N$99)^2+(M115/$D$2)^2*($E$2)^2+(-M115/M109)^2*(N109)^2)</f>
        <v>6.1801986572288033E-6</v>
      </c>
      <c r="O115" s="12"/>
      <c r="P115" s="33"/>
      <c r="R115" s="55">
        <f>$R$99*$D$2/R109</f>
        <v>2.4718750000000069E-5</v>
      </c>
      <c r="S115" s="8">
        <f>SQRT((R115/$R$99)^2*($S$99)^2+(R115/$D$2)^2*($E$2)^2+(-R115/R109)^2*(S109)^2)</f>
        <v>1.5454329688286682E-6</v>
      </c>
      <c r="T115" s="12"/>
      <c r="U115" s="33"/>
    </row>
    <row r="116" spans="3:21">
      <c r="M116" s="52">
        <f>M115*1000</f>
        <v>4.9437500000000141E-2</v>
      </c>
      <c r="N116" s="53">
        <f>N115*1000</f>
        <v>6.1801986572288031E-3</v>
      </c>
      <c r="O116" s="12"/>
      <c r="P116" s="33"/>
      <c r="R116" s="56">
        <f>R115*1000</f>
        <v>2.4718750000000071E-2</v>
      </c>
      <c r="S116" s="57">
        <f>S115*1000</f>
        <v>1.5454329688286681E-3</v>
      </c>
      <c r="T116" s="12"/>
      <c r="U116" s="33"/>
    </row>
    <row r="117" spans="3:21">
      <c r="M117" s="24" t="s">
        <v>59</v>
      </c>
      <c r="N117" s="5" t="s">
        <v>60</v>
      </c>
      <c r="O117" s="12"/>
      <c r="P117" s="33"/>
      <c r="R117" s="24" t="s">
        <v>59</v>
      </c>
      <c r="S117" s="5" t="s">
        <v>60</v>
      </c>
      <c r="T117" s="12"/>
      <c r="U117" s="33"/>
    </row>
    <row r="118" spans="3:21">
      <c r="M118" s="35">
        <f>$M$99*$D$2/(2*M112)</f>
        <v>6.5916666666666855E-5</v>
      </c>
      <c r="N118" s="6">
        <f>SQRT((M118/$M$99)^2*($N$99)^2+(M118/$D$2)^2*($E$2)^2+(-M118/M112)^2*(N112)^2)</f>
        <v>2.1972477809920325E-5</v>
      </c>
      <c r="O118" s="12"/>
      <c r="P118" s="33"/>
      <c r="R118" s="35">
        <f>$R$99*$D$2/(2*R112)</f>
        <v>4.9437500000000138E-5</v>
      </c>
      <c r="S118" s="6">
        <f>SQRT((R118/$R$99)^2*($S$99)^2+(R118/$D$2)^2*($E$2)^2+(-R118/R112)^2*(S112)^2)</f>
        <v>1.2359630586541899E-5</v>
      </c>
      <c r="T118" s="12"/>
      <c r="U118" s="33"/>
    </row>
    <row r="119" spans="3:21">
      <c r="M119" s="34">
        <f>M118*1000</f>
        <v>6.5916666666666859E-2</v>
      </c>
      <c r="N119" s="10">
        <f>N118*1000</f>
        <v>2.1972477809920326E-2</v>
      </c>
      <c r="O119" s="12"/>
      <c r="P119" s="33"/>
      <c r="R119" s="34">
        <f>R118*1000</f>
        <v>4.9437500000000141E-2</v>
      </c>
      <c r="S119" s="10">
        <f>S118*1000</f>
        <v>1.23596305865419E-2</v>
      </c>
      <c r="T119" s="12"/>
      <c r="U119" s="33"/>
    </row>
    <row r="120" spans="3:21">
      <c r="M120" s="20"/>
      <c r="N120" s="13"/>
      <c r="O120" s="12"/>
      <c r="P120" s="33"/>
      <c r="R120" s="32"/>
      <c r="S120" s="12"/>
      <c r="T120" s="12"/>
      <c r="U120" s="33"/>
    </row>
    <row r="121" spans="3:21">
      <c r="M121" s="20" t="s">
        <v>62</v>
      </c>
      <c r="N121" s="13" t="s">
        <v>63</v>
      </c>
      <c r="O121" s="12"/>
      <c r="P121" s="33"/>
      <c r="R121" s="20" t="s">
        <v>62</v>
      </c>
      <c r="S121" s="13" t="s">
        <v>63</v>
      </c>
      <c r="T121" s="12"/>
      <c r="U121" s="33"/>
    </row>
    <row r="122" spans="3:21">
      <c r="M122" s="54">
        <f>0.1*0.001</f>
        <v>1E-4</v>
      </c>
      <c r="N122" s="16">
        <f>0.175*0.001</f>
        <v>1.75E-4</v>
      </c>
      <c r="O122" s="12"/>
      <c r="P122" s="33"/>
      <c r="R122" s="54">
        <f>0.1*0.001</f>
        <v>1E-4</v>
      </c>
      <c r="S122" s="16">
        <f>0.15*0.001</f>
        <v>1.4999999999999999E-4</v>
      </c>
      <c r="T122" s="12"/>
      <c r="U122" s="33"/>
    </row>
    <row r="123" spans="3:21">
      <c r="M123" s="32"/>
      <c r="N123" s="12"/>
      <c r="O123" s="12"/>
      <c r="P123" s="33"/>
      <c r="R123" s="32"/>
      <c r="S123" s="12"/>
      <c r="T123" s="12"/>
      <c r="U123" s="33"/>
    </row>
    <row r="124" spans="3:21">
      <c r="M124" s="24" t="s">
        <v>64</v>
      </c>
      <c r="N124" s="5" t="s">
        <v>64</v>
      </c>
      <c r="O124" s="12"/>
      <c r="P124" s="33"/>
      <c r="R124" s="24" t="s">
        <v>64</v>
      </c>
      <c r="S124" s="5" t="s">
        <v>64</v>
      </c>
      <c r="T124" s="12"/>
      <c r="U124" s="33"/>
    </row>
    <row r="125" spans="3:21" ht="15.75" thickBot="1">
      <c r="M125" s="47">
        <f>100*ABS((M115-M122)/M122)</f>
        <v>50.562499999999865</v>
      </c>
      <c r="N125" s="48">
        <f>100*ABS((M118-N122)/N122)</f>
        <v>62.333333333333229</v>
      </c>
      <c r="O125" s="39"/>
      <c r="P125" s="40"/>
      <c r="R125" s="47">
        <f>100*ABS((R115-R122)/R122)</f>
        <v>75.281249999999929</v>
      </c>
      <c r="S125" s="48">
        <f>100*ABS((R118-S122)/S122)</f>
        <v>67.041666666666572</v>
      </c>
      <c r="T125" s="39"/>
      <c r="U125" s="4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2022-03-18T15:59:37Z</dcterms:created>
  <dcterms:modified xsi:type="dcterms:W3CDTF">2022-03-19T11:59:29Z</dcterms:modified>
</cp:coreProperties>
</file>