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645" yWindow="0" windowWidth="22350" windowHeight="13350" activeTab="2"/>
  </bookViews>
  <sheets>
    <sheet name="Julio" sheetId="1" r:id="rId1"/>
    <sheet name="Arturo" sheetId="2" r:id="rId2"/>
    <sheet name="Resultado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C4" i="3"/>
  <c r="D14"/>
  <c r="D13"/>
  <c r="D12"/>
  <c r="D11"/>
  <c r="D10"/>
  <c r="D9"/>
  <c r="B9"/>
  <c r="C10" i="2"/>
  <c r="A29" i="1"/>
  <c r="G10" i="2"/>
  <c r="G11"/>
  <c r="G13"/>
  <c r="E36"/>
  <c r="E35"/>
  <c r="E34"/>
  <c r="E33"/>
  <c r="E33" i="1"/>
  <c r="E36"/>
  <c r="E35"/>
  <c r="E34"/>
  <c r="H29"/>
  <c r="I4" i="4"/>
  <c r="I5"/>
  <c r="I6"/>
  <c r="I9"/>
  <c r="I3"/>
  <c r="H6"/>
  <c r="H9"/>
  <c r="H4"/>
  <c r="H5"/>
  <c r="H3"/>
  <c r="G4"/>
  <c r="G5"/>
  <c r="G6"/>
  <c r="G9"/>
  <c r="G3"/>
  <c r="F4"/>
  <c r="F5"/>
  <c r="F6"/>
  <c r="F7"/>
  <c r="G7" s="1"/>
  <c r="H7" s="1"/>
  <c r="I7" s="1"/>
  <c r="F9"/>
  <c r="F3"/>
  <c r="C13"/>
  <c r="B13"/>
  <c r="D23"/>
  <c r="B8"/>
  <c r="C10" i="3"/>
  <c r="B10"/>
  <c r="C13" i="2"/>
  <c r="C12"/>
  <c r="C11"/>
  <c r="C9"/>
  <c r="C30"/>
  <c r="C29"/>
  <c r="C28"/>
  <c r="C27"/>
  <c r="C26"/>
  <c r="B26"/>
  <c r="A26"/>
  <c r="E30" s="1"/>
  <c r="F30" s="1"/>
  <c r="E21"/>
  <c r="F21" s="1"/>
  <c r="E20"/>
  <c r="F20" s="1"/>
  <c r="E19"/>
  <c r="F19" s="1"/>
  <c r="E18"/>
  <c r="F18" s="1"/>
  <c r="E13"/>
  <c r="F13" s="1"/>
  <c r="E12"/>
  <c r="F12" s="1"/>
  <c r="E11"/>
  <c r="F11" s="1"/>
  <c r="E10"/>
  <c r="F10" s="1"/>
  <c r="C30" i="1"/>
  <c r="C29"/>
  <c r="C28"/>
  <c r="C27"/>
  <c r="C26"/>
  <c r="C13"/>
  <c r="C12"/>
  <c r="C11"/>
  <c r="C10"/>
  <c r="C9"/>
  <c r="H20" i="2" l="1"/>
  <c r="G20"/>
  <c r="I20" s="1"/>
  <c r="H18"/>
  <c r="G18"/>
  <c r="I18" s="1"/>
  <c r="G30"/>
  <c r="I30" s="1"/>
  <c r="H30"/>
  <c r="H10"/>
  <c r="H11"/>
  <c r="H12"/>
  <c r="H13"/>
  <c r="H19"/>
  <c r="H21"/>
  <c r="I10"/>
  <c r="I11"/>
  <c r="G12"/>
  <c r="I12" s="1"/>
  <c r="I13"/>
  <c r="G19"/>
  <c r="I19" s="1"/>
  <c r="G21"/>
  <c r="I21" s="1"/>
  <c r="E27"/>
  <c r="F27" s="1"/>
  <c r="E28"/>
  <c r="F28" s="1"/>
  <c r="E29"/>
  <c r="F29" s="1"/>
  <c r="G29" l="1"/>
  <c r="I29" s="1"/>
  <c r="H29"/>
  <c r="G27"/>
  <c r="I27" s="1"/>
  <c r="H27"/>
  <c r="Q3" a="1"/>
  <c r="G28"/>
  <c r="I28" s="1"/>
  <c r="H28"/>
  <c r="Q21" a="1"/>
  <c r="B26" i="1"/>
  <c r="A26"/>
  <c r="E29" s="1"/>
  <c r="F29" s="1"/>
  <c r="Q7" i="2" l="1"/>
  <c r="Q6"/>
  <c r="Q5"/>
  <c r="Q4"/>
  <c r="V8" s="1"/>
  <c r="C12" i="3" s="1"/>
  <c r="Q3" i="2"/>
  <c r="U8" s="1"/>
  <c r="B12" i="3" s="1"/>
  <c r="R7" i="2"/>
  <c r="R6"/>
  <c r="R5"/>
  <c r="R4"/>
  <c r="R3"/>
  <c r="Q25"/>
  <c r="Q24"/>
  <c r="Q23"/>
  <c r="Q22"/>
  <c r="V26" s="1"/>
  <c r="C13" i="3" s="1"/>
  <c r="Q21" i="2"/>
  <c r="U26" s="1"/>
  <c r="B13" i="3" s="1"/>
  <c r="R24" i="2"/>
  <c r="R23"/>
  <c r="R21"/>
  <c r="R25"/>
  <c r="R22"/>
  <c r="Q37" a="1"/>
  <c r="G29" i="1"/>
  <c r="I29" s="1"/>
  <c r="E12"/>
  <c r="E11"/>
  <c r="F11" s="1"/>
  <c r="E30"/>
  <c r="F30" s="1"/>
  <c r="E19"/>
  <c r="F19" s="1"/>
  <c r="E21"/>
  <c r="F21" s="1"/>
  <c r="E28"/>
  <c r="F28" s="1"/>
  <c r="E13"/>
  <c r="F13" s="1"/>
  <c r="E10"/>
  <c r="F10" s="1"/>
  <c r="E18"/>
  <c r="F18" s="1"/>
  <c r="E20"/>
  <c r="F20" s="1"/>
  <c r="E27"/>
  <c r="F27" s="1"/>
  <c r="F12" l="1"/>
  <c r="Q41" i="2"/>
  <c r="Q40"/>
  <c r="Q39"/>
  <c r="Q38"/>
  <c r="V42" s="1"/>
  <c r="C14" i="3" s="1"/>
  <c r="Q37" i="2"/>
  <c r="U42" s="1"/>
  <c r="B14" i="3" s="1"/>
  <c r="R41" i="2"/>
  <c r="R40"/>
  <c r="R39"/>
  <c r="R38"/>
  <c r="R37"/>
  <c r="G18" i="1"/>
  <c r="I18"/>
  <c r="H18"/>
  <c r="G20"/>
  <c r="I20" s="1"/>
  <c r="H20"/>
  <c r="G10"/>
  <c r="I10" s="1"/>
  <c r="H10"/>
  <c r="G28"/>
  <c r="I28" s="1"/>
  <c r="H28"/>
  <c r="G19"/>
  <c r="I19" s="1"/>
  <c r="H19"/>
  <c r="H11"/>
  <c r="G11"/>
  <c r="I11" s="1"/>
  <c r="G27"/>
  <c r="I27" s="1"/>
  <c r="H27"/>
  <c r="H13"/>
  <c r="G13"/>
  <c r="I13" s="1"/>
  <c r="G21"/>
  <c r="I21" s="1"/>
  <c r="H21"/>
  <c r="G30"/>
  <c r="I30" s="1"/>
  <c r="H30"/>
  <c r="G12"/>
  <c r="I12" s="1"/>
  <c r="H12"/>
  <c r="Q3" l="1" a="1"/>
  <c r="Q21" a="1"/>
  <c r="Q37" a="1"/>
  <c r="Q37" l="1"/>
  <c r="U42" s="1"/>
  <c r="B11" i="3" s="1"/>
  <c r="Q41" i="1"/>
  <c r="R41"/>
  <c r="R39"/>
  <c r="R37"/>
  <c r="Q40"/>
  <c r="Q38"/>
  <c r="V42" s="1"/>
  <c r="C11" i="3" s="1"/>
  <c r="R40" i="1"/>
  <c r="R38"/>
  <c r="Q39"/>
  <c r="Q3"/>
  <c r="U8" s="1"/>
  <c r="C19" i="3" s="1"/>
  <c r="R4" i="1"/>
  <c r="Q5"/>
  <c r="R7"/>
  <c r="R5"/>
  <c r="R3"/>
  <c r="Q6"/>
  <c r="Q4"/>
  <c r="V8" s="1"/>
  <c r="C9" i="3" s="1"/>
  <c r="R6" i="1"/>
  <c r="Q7"/>
  <c r="Q21"/>
  <c r="U26" s="1"/>
  <c r="R21"/>
  <c r="R24"/>
  <c r="R22"/>
  <c r="Q25"/>
  <c r="Q23"/>
  <c r="R25"/>
  <c r="R23"/>
  <c r="Q24"/>
  <c r="Q22"/>
  <c r="V26" s="1"/>
  <c r="B18" i="3" l="1"/>
  <c r="C18"/>
</calcChain>
</file>

<file path=xl/sharedStrings.xml><?xml version="1.0" encoding="utf-8"?>
<sst xmlns="http://schemas.openxmlformats.org/spreadsheetml/2006/main" count="126" uniqueCount="52">
  <si>
    <t>Rojo</t>
  </si>
  <si>
    <t>Violeta Débil</t>
  </si>
  <si>
    <t>Azul violáceo intenso</t>
  </si>
  <si>
    <t>Azul verdoso intenso</t>
  </si>
  <si>
    <t>Color</t>
  </si>
  <si>
    <t>Verde intenso</t>
  </si>
  <si>
    <t>L.Onda +- 0.1 [nm]</t>
  </si>
  <si>
    <t>Izquierda</t>
  </si>
  <si>
    <t>Derecha</t>
  </si>
  <si>
    <t>Posición central</t>
  </si>
  <si>
    <t>Posición Media [º]</t>
  </si>
  <si>
    <t>Error Posición Media [º]</t>
  </si>
  <si>
    <t>Angulo +- 0.1 [º]</t>
  </si>
  <si>
    <t>Angulo Rel. +- 0.14 [º]</t>
  </si>
  <si>
    <t>Angulo Rel. [rad]</t>
  </si>
  <si>
    <t>Error Angulo Rel. [rad]</t>
  </si>
  <si>
    <t>m</t>
  </si>
  <si>
    <t>sin(angulo) [rad]</t>
  </si>
  <si>
    <t>Error sin(angulo) [rad]</t>
  </si>
  <si>
    <t>Ajuste m=1 Izquierda</t>
  </si>
  <si>
    <t>Constante de Red [lineas/mm] / 100</t>
  </si>
  <si>
    <t>Error Constante de Red [lineas/mm] / 100</t>
  </si>
  <si>
    <t>Ajuste m=1 Derecha</t>
  </si>
  <si>
    <t>Ajuste m=2 Derecha</t>
  </si>
  <si>
    <t>Constante de Red media [lineas/mm]</t>
  </si>
  <si>
    <t>Error Constante de Red media [lineas/mm]</t>
  </si>
  <si>
    <t>Error Relativo [%]</t>
  </si>
  <si>
    <t>Espectroscopia</t>
  </si>
  <si>
    <t>Constante [líneas / mm]</t>
  </si>
  <si>
    <t>Constante [líneas / nm]</t>
  </si>
  <si>
    <t>VIOLETA</t>
  </si>
  <si>
    <t>TURQUESA</t>
  </si>
  <si>
    <t>VERDE MULTIPLE MAX</t>
  </si>
  <si>
    <t>VERDE MULTIPLE SUBMAX</t>
  </si>
  <si>
    <t xml:space="preserve">NARANJA MULTIPLE MAX </t>
  </si>
  <si>
    <t>NARANJA MULTIPLE SUBMAX</t>
  </si>
  <si>
    <t xml:space="preserve">ROJO </t>
  </si>
  <si>
    <t>Pos central [º]</t>
  </si>
  <si>
    <t>Error Pos central [º]</t>
  </si>
  <si>
    <t>Angulo [º]</t>
  </si>
  <si>
    <t>Angulo [rad]</t>
  </si>
  <si>
    <t>Seno(Angulo) [rad]</t>
  </si>
  <si>
    <t>Long. Onda [Amstrong]</t>
  </si>
  <si>
    <t>?</t>
  </si>
  <si>
    <t>Xe</t>
  </si>
  <si>
    <t>OK</t>
  </si>
  <si>
    <t>varias posibilidades OK</t>
  </si>
  <si>
    <t>Dispersión</t>
  </si>
  <si>
    <t>Diferencia Angulo +- 0.20 m=1 [º]</t>
  </si>
  <si>
    <t>Angulo +- 0.14 [º]</t>
  </si>
  <si>
    <t>Constante de Red Nominal [lineas/mm]</t>
  </si>
  <si>
    <t>R^2</t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</si>
</sst>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.0"/>
    <numFmt numFmtId="166" formatCode="0.0000"/>
    <numFmt numFmtId="167" formatCode="0.000"/>
    <numFmt numFmtId="168" formatCode="0.00000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7" fontId="0" fillId="0" borderId="0" xfId="0" applyNumberFormat="1"/>
    <xf numFmtId="0" fontId="1" fillId="0" borderId="3" xfId="0" applyFont="1" applyBorder="1" applyAlignment="1"/>
    <xf numFmtId="4" fontId="0" fillId="0" borderId="1" xfId="0" applyNumberFormat="1" applyFont="1" applyBorder="1" applyAlignment="1">
      <alignment horizontal="center"/>
    </xf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63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04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plus>
            <c:min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minus>
          </c:errBars>
          <c:xVal>
            <c:numRef>
              <c:f>Julio!$C$10:$C$13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Julio!$H$10:$H$13</c:f>
              <c:numCache>
                <c:formatCode>0.0000</c:formatCode>
                <c:ptCount val="4"/>
                <c:pt idx="0">
                  <c:v>0.28329798398546457</c:v>
                </c:pt>
                <c:pt idx="1">
                  <c:v>0.28831555713141349</c:v>
                </c:pt>
                <c:pt idx="2">
                  <c:v>0.30664465573125849</c:v>
                </c:pt>
                <c:pt idx="3">
                  <c:v>0.3868258435376748</c:v>
                </c:pt>
              </c:numCache>
            </c:numRef>
          </c:yVal>
        </c:ser>
        <c:axId val="88573056"/>
        <c:axId val="88574976"/>
      </c:scatterChart>
      <c:valAx>
        <c:axId val="88573056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7"/>
              <c:y val="0.90074566036952519"/>
            </c:manualLayout>
          </c:layout>
        </c:title>
        <c:numFmt formatCode="#,##0.0" sourceLinked="0"/>
        <c:minorTickMark val="out"/>
        <c:tickLblPos val="nextTo"/>
        <c:crossAx val="88574976"/>
        <c:crosses val="autoZero"/>
        <c:crossBetween val="midCat"/>
        <c:majorUnit val="50"/>
        <c:minorUnit val="25"/>
      </c:valAx>
      <c:valAx>
        <c:axId val="88574976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68E-2"/>
              <c:y val="0.39111863327061397"/>
            </c:manualLayout>
          </c:layout>
        </c:title>
        <c:numFmt formatCode="#,##0.00" sourceLinked="0"/>
        <c:minorTickMark val="out"/>
        <c:tickLblPos val="nextTo"/>
        <c:crossAx val="88573056"/>
        <c:crosses val="autoZero"/>
        <c:crossBetween val="midCat"/>
        <c:majorUnit val="0.05"/>
        <c:minorUnit val="2.5000000000000008E-2"/>
      </c:valAx>
    </c:plotArea>
    <c:plotVisOnly val="1"/>
  </c:chart>
  <c:printSettings>
    <c:headerFooter/>
    <c:pageMargins b="0.75000000000000988" l="0.70000000000000062" r="0.70000000000000062" t="0.75000000000000988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85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15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plus>
            <c:min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minus>
          </c:errBars>
          <c:xVal>
            <c:numRef>
              <c:f>Julio!$C$10:$C$13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Julio!$H$18:$H$21</c:f>
              <c:numCache>
                <c:formatCode>0.0000</c:formatCode>
                <c:ptCount val="4"/>
                <c:pt idx="0">
                  <c:v>0.28138464891439141</c:v>
                </c:pt>
                <c:pt idx="1">
                  <c:v>0.28974787500513932</c:v>
                </c:pt>
                <c:pt idx="2">
                  <c:v>0.30640749570749815</c:v>
                </c:pt>
                <c:pt idx="3">
                  <c:v>0.38820511249913825</c:v>
                </c:pt>
              </c:numCache>
            </c:numRef>
          </c:yVal>
        </c:ser>
        <c:axId val="89141248"/>
        <c:axId val="89143168"/>
      </c:scatterChart>
      <c:valAx>
        <c:axId val="89141248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64"/>
            </c:manualLayout>
          </c:layout>
        </c:title>
        <c:numFmt formatCode="#,##0.0" sourceLinked="0"/>
        <c:minorTickMark val="out"/>
        <c:tickLblPos val="nextTo"/>
        <c:crossAx val="89143168"/>
        <c:crosses val="autoZero"/>
        <c:crossBetween val="midCat"/>
        <c:majorUnit val="50"/>
        <c:minorUnit val="25"/>
      </c:valAx>
      <c:valAx>
        <c:axId val="89143168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3E-2"/>
              <c:y val="0.39111863327061419"/>
            </c:manualLayout>
          </c:layout>
        </c:title>
        <c:numFmt formatCode="#,##0.00" sourceLinked="0"/>
        <c:minorTickMark val="out"/>
        <c:tickLblPos val="nextTo"/>
        <c:crossAx val="89141248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1" l="0.70000000000000062" r="0.70000000000000062" t="0.750000000000010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18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544554498204532"/>
                  <c:y val="-2.0028938978715488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2"/>
          </c:errBars>
          <c:errBars>
            <c:errDir val="y"/>
            <c:errBarType val="both"/>
            <c:errValType val="cust"/>
            <c:pl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plus>
            <c:min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minus>
          </c:errBars>
          <c:xVal>
            <c:numRef>
              <c:f>Julio!$C$27:$C$30</c:f>
              <c:numCache>
                <c:formatCode>0.0</c:formatCode>
                <c:ptCount val="4"/>
                <c:pt idx="0">
                  <c:v>935.6</c:v>
                </c:pt>
                <c:pt idx="1">
                  <c:v>960</c:v>
                </c:pt>
                <c:pt idx="2">
                  <c:v>1017.2</c:v>
                </c:pt>
                <c:pt idx="3">
                  <c:v>1287.5999999999999</c:v>
                </c:pt>
              </c:numCache>
            </c:numRef>
          </c:xVal>
          <c:yVal>
            <c:numRef>
              <c:f>Julio!$H$27:$H$30</c:f>
              <c:numCache>
                <c:formatCode>0.0000</c:formatCode>
                <c:ptCount val="4"/>
                <c:pt idx="0">
                  <c:v>0.56414388522251246</c:v>
                </c:pt>
                <c:pt idx="1">
                  <c:v>0.57846800517780594</c:v>
                </c:pt>
                <c:pt idx="2">
                  <c:v>0.61211877365926148</c:v>
                </c:pt>
                <c:pt idx="3">
                  <c:v>0.77541708520562547</c:v>
                </c:pt>
              </c:numCache>
            </c:numRef>
          </c:yVal>
        </c:ser>
        <c:axId val="89160320"/>
        <c:axId val="89178880"/>
      </c:scatterChart>
      <c:valAx>
        <c:axId val="89160320"/>
        <c:scaling>
          <c:orientation val="minMax"/>
          <c:max val="1300"/>
          <c:min val="8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86"/>
            </c:manualLayout>
          </c:layout>
        </c:title>
        <c:numFmt formatCode="#,##0.0" sourceLinked="0"/>
        <c:minorTickMark val="out"/>
        <c:tickLblPos val="nextTo"/>
        <c:crossAx val="89178880"/>
        <c:crosses val="autoZero"/>
        <c:crossBetween val="midCat"/>
        <c:majorUnit val="107.5"/>
        <c:minorUnit val="53.75"/>
      </c:valAx>
      <c:valAx>
        <c:axId val="89178880"/>
        <c:scaling>
          <c:orientation val="minMax"/>
          <c:max val="0.8"/>
          <c:min val="0.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0969387204253014E-2"/>
              <c:y val="0.33344826322339755"/>
            </c:manualLayout>
          </c:layout>
        </c:title>
        <c:numFmt formatCode="#,##0.00" sourceLinked="0"/>
        <c:minorTickMark val="out"/>
        <c:tickLblPos val="nextTo"/>
        <c:crossAx val="89160320"/>
        <c:crosses val="autoZero"/>
        <c:crossBetween val="midCat"/>
        <c:majorUnit val="0.1"/>
        <c:minorUnit val="0.05"/>
      </c:valAx>
    </c:plotArea>
    <c:plotVisOnly val="1"/>
  </c:chart>
  <c:printSettings>
    <c:headerFooter/>
    <c:pageMargins b="0.75000000000001033" l="0.70000000000000062" r="0.70000000000000062" t="0.75000000000001033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85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15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plus>
            <c:min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minus>
          </c:errBars>
          <c:xVal>
            <c:numRef>
              <c:f>Arturo!$C$10:$C$13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Arturo!$H$10:$H$13</c:f>
              <c:numCache>
                <c:formatCode>0.0000</c:formatCode>
                <c:ptCount val="4"/>
                <c:pt idx="0">
                  <c:v>0.28329798398546457</c:v>
                </c:pt>
                <c:pt idx="1">
                  <c:v>0.28831555713141349</c:v>
                </c:pt>
                <c:pt idx="2">
                  <c:v>0.30664465573125849</c:v>
                </c:pt>
                <c:pt idx="3">
                  <c:v>0.38843471378918987</c:v>
                </c:pt>
              </c:numCache>
            </c:numRef>
          </c:yVal>
        </c:ser>
        <c:axId val="90064768"/>
        <c:axId val="90071040"/>
      </c:scatterChart>
      <c:valAx>
        <c:axId val="90064768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64"/>
            </c:manualLayout>
          </c:layout>
        </c:title>
        <c:numFmt formatCode="#,##0.0" sourceLinked="0"/>
        <c:minorTickMark val="out"/>
        <c:tickLblPos val="nextTo"/>
        <c:crossAx val="90071040"/>
        <c:crosses val="autoZero"/>
        <c:crossBetween val="midCat"/>
        <c:majorUnit val="50"/>
        <c:minorUnit val="25"/>
      </c:valAx>
      <c:valAx>
        <c:axId val="90071040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3E-2"/>
              <c:y val="0.39111863327061419"/>
            </c:manualLayout>
          </c:layout>
        </c:title>
        <c:numFmt formatCode="#,##0.00" sourceLinked="0"/>
        <c:minorTickMark val="out"/>
        <c:tickLblPos val="nextTo"/>
        <c:crossAx val="90064768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1" l="0.70000000000000062" r="0.70000000000000062" t="0.750000000000010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18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26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plus>
            <c:min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minus>
          </c:errBars>
          <c:xVal>
            <c:numRef>
              <c:f>Arturo!$C$10:$C$13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Arturo!$H$18:$H$21</c:f>
              <c:numCache>
                <c:formatCode>0.0000</c:formatCode>
                <c:ptCount val="4"/>
                <c:pt idx="0">
                  <c:v>0.28138464891439141</c:v>
                </c:pt>
                <c:pt idx="1">
                  <c:v>0.28807697466413362</c:v>
                </c:pt>
                <c:pt idx="2">
                  <c:v>0.304745650183876</c:v>
                </c:pt>
                <c:pt idx="3">
                  <c:v>0.3865960737344466</c:v>
                </c:pt>
              </c:numCache>
            </c:numRef>
          </c:yVal>
        </c:ser>
        <c:axId val="90100480"/>
        <c:axId val="90102400"/>
      </c:scatterChart>
      <c:valAx>
        <c:axId val="90100480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86"/>
            </c:manualLayout>
          </c:layout>
        </c:title>
        <c:numFmt formatCode="#,##0.0" sourceLinked="0"/>
        <c:minorTickMark val="out"/>
        <c:tickLblPos val="nextTo"/>
        <c:crossAx val="90102400"/>
        <c:crosses val="autoZero"/>
        <c:crossBetween val="midCat"/>
        <c:majorUnit val="50"/>
        <c:minorUnit val="25"/>
      </c:valAx>
      <c:valAx>
        <c:axId val="90102400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8E-2"/>
              <c:y val="0.39111863327061447"/>
            </c:manualLayout>
          </c:layout>
        </c:title>
        <c:numFmt formatCode="#,##0.00" sourceLinked="0"/>
        <c:minorTickMark val="out"/>
        <c:tickLblPos val="nextTo"/>
        <c:crossAx val="90100480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33" l="0.70000000000000062" r="0.70000000000000062" t="0.7500000000000103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63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544554498204543"/>
                  <c:y val="-2.0028938978715492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2"/>
          </c:errBars>
          <c:errBars>
            <c:errDir val="y"/>
            <c:errBarType val="both"/>
            <c:errValType val="cust"/>
            <c:pl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plus>
            <c:min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minus>
          </c:errBars>
          <c:xVal>
            <c:numRef>
              <c:f>Arturo!$C$27:$C$30</c:f>
              <c:numCache>
                <c:formatCode>0.0</c:formatCode>
                <c:ptCount val="4"/>
                <c:pt idx="0">
                  <c:v>935.6</c:v>
                </c:pt>
                <c:pt idx="1">
                  <c:v>960</c:v>
                </c:pt>
                <c:pt idx="2">
                  <c:v>1017.2</c:v>
                </c:pt>
                <c:pt idx="3">
                  <c:v>1287.5999999999999</c:v>
                </c:pt>
              </c:numCache>
            </c:numRef>
          </c:xVal>
          <c:yVal>
            <c:numRef>
              <c:f>Arturo!$H$27:$H$30</c:f>
              <c:numCache>
                <c:formatCode>0.0000</c:formatCode>
                <c:ptCount val="4"/>
                <c:pt idx="0">
                  <c:v>0.56414388522251246</c:v>
                </c:pt>
                <c:pt idx="1">
                  <c:v>0.57989079732391569</c:v>
                </c:pt>
                <c:pt idx="2">
                  <c:v>0.61211877365926148</c:v>
                </c:pt>
                <c:pt idx="3">
                  <c:v>0.77541708520562547</c:v>
                </c:pt>
              </c:numCache>
            </c:numRef>
          </c:yVal>
        </c:ser>
        <c:axId val="89996672"/>
        <c:axId val="90019328"/>
      </c:scatterChart>
      <c:valAx>
        <c:axId val="89996672"/>
        <c:scaling>
          <c:orientation val="minMax"/>
          <c:max val="1300"/>
          <c:min val="8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63"/>
            </c:manualLayout>
          </c:layout>
        </c:title>
        <c:numFmt formatCode="#,##0.0" sourceLinked="0"/>
        <c:minorTickMark val="out"/>
        <c:tickLblPos val="nextTo"/>
        <c:crossAx val="90019328"/>
        <c:crosses val="autoZero"/>
        <c:crossBetween val="midCat"/>
        <c:majorUnit val="107.5"/>
        <c:minorUnit val="53.75"/>
      </c:valAx>
      <c:valAx>
        <c:axId val="90019328"/>
        <c:scaling>
          <c:orientation val="minMax"/>
          <c:max val="0.8"/>
          <c:min val="0.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0969387204253021E-2"/>
              <c:y val="0.33344826322339777"/>
            </c:manualLayout>
          </c:layout>
        </c:title>
        <c:numFmt formatCode="#,##0.00" sourceLinked="0"/>
        <c:minorTickMark val="out"/>
        <c:tickLblPos val="nextTo"/>
        <c:crossAx val="89996672"/>
        <c:crosses val="autoZero"/>
        <c:crossBetween val="midCat"/>
        <c:majorUnit val="0.1"/>
        <c:minorUnit val="0.05"/>
      </c:valAx>
    </c:plotArea>
    <c:plotVisOnly val="1"/>
  </c:chart>
  <c:printSettings>
    <c:headerFooter/>
    <c:pageMargins b="0.75000000000001055" l="0.70000000000000062" r="0.70000000000000062" t="0.7500000000000105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365791</xdr:colOff>
      <xdr:row>0</xdr:row>
      <xdr:rowOff>157682</xdr:rowOff>
    </xdr:from>
    <xdr:to>
      <xdr:col>15</xdr:col>
      <xdr:colOff>424861</xdr:colOff>
      <xdr:row>17</xdr:row>
      <xdr:rowOff>2221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358588</xdr:colOff>
      <xdr:row>17</xdr:row>
      <xdr:rowOff>44823</xdr:rowOff>
    </xdr:from>
    <xdr:to>
      <xdr:col>15</xdr:col>
      <xdr:colOff>417658</xdr:colOff>
      <xdr:row>33</xdr:row>
      <xdr:rowOff>79862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347382</xdr:colOff>
      <xdr:row>33</xdr:row>
      <xdr:rowOff>123265</xdr:rowOff>
    </xdr:from>
    <xdr:to>
      <xdr:col>15</xdr:col>
      <xdr:colOff>406452</xdr:colOff>
      <xdr:row>49</xdr:row>
      <xdr:rowOff>158304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365791</xdr:colOff>
      <xdr:row>0</xdr:row>
      <xdr:rowOff>157682</xdr:rowOff>
    </xdr:from>
    <xdr:to>
      <xdr:col>15</xdr:col>
      <xdr:colOff>424861</xdr:colOff>
      <xdr:row>17</xdr:row>
      <xdr:rowOff>2221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358588</xdr:colOff>
      <xdr:row>17</xdr:row>
      <xdr:rowOff>44823</xdr:rowOff>
    </xdr:from>
    <xdr:to>
      <xdr:col>15</xdr:col>
      <xdr:colOff>417658</xdr:colOff>
      <xdr:row>33</xdr:row>
      <xdr:rowOff>79862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347382</xdr:colOff>
      <xdr:row>33</xdr:row>
      <xdr:rowOff>123265</xdr:rowOff>
    </xdr:from>
    <xdr:to>
      <xdr:col>15</xdr:col>
      <xdr:colOff>406452</xdr:colOff>
      <xdr:row>49</xdr:row>
      <xdr:rowOff>158304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46"/>
  <sheetViews>
    <sheetView topLeftCell="G19" zoomScale="70" zoomScaleNormal="70" workbookViewId="0">
      <selection activeCell="Q39" sqref="Q39"/>
    </sheetView>
  </sheetViews>
  <sheetFormatPr baseColWidth="10" defaultRowHeight="15"/>
  <cols>
    <col min="1" max="1" width="17.85546875" bestFit="1" customWidth="1"/>
    <col min="2" max="2" width="22.85546875" bestFit="1" customWidth="1"/>
    <col min="3" max="3" width="18.7109375" bestFit="1" customWidth="1"/>
    <col min="4" max="4" width="22.85546875" bestFit="1" customWidth="1"/>
    <col min="5" max="5" width="21.5703125" bestFit="1" customWidth="1"/>
    <col min="6" max="6" width="23.85546875" customWidth="1"/>
    <col min="7" max="7" width="21.7109375" bestFit="1" customWidth="1"/>
    <col min="8" max="8" width="18.5703125" bestFit="1" customWidth="1"/>
    <col min="9" max="9" width="23.42578125" bestFit="1" customWidth="1"/>
    <col min="17" max="18" width="12.28515625" bestFit="1" customWidth="1"/>
    <col min="21" max="21" width="36.5703125" bestFit="1" customWidth="1"/>
    <col min="22" max="22" width="39.5703125" bestFit="1" customWidth="1"/>
  </cols>
  <sheetData>
    <row r="3" spans="1:22">
      <c r="Q3">
        <f t="array" ref="Q3:R7">LINEST(H10:H13,C10:C13,1,1)</f>
        <v>5.9371423075911295E-4</v>
      </c>
      <c r="R3">
        <v>4.541353236380663E-3</v>
      </c>
    </row>
    <row r="4" spans="1:22">
      <c r="Q4">
        <v>7.9978632491013451E-6</v>
      </c>
      <c r="R4">
        <v>4.2365830637738624E-3</v>
      </c>
    </row>
    <row r="5" spans="1:22">
      <c r="Q5">
        <v>0.99963720153860491</v>
      </c>
      <c r="R5">
        <v>1.1219616820780239E-3</v>
      </c>
    </row>
    <row r="6" spans="1:22">
      <c r="D6" t="s">
        <v>16</v>
      </c>
      <c r="E6">
        <v>1</v>
      </c>
      <c r="Q6">
        <v>5510.7025409898961</v>
      </c>
      <c r="R6">
        <v>2</v>
      </c>
      <c r="U6" t="s">
        <v>19</v>
      </c>
    </row>
    <row r="7" spans="1:22">
      <c r="D7" t="s">
        <v>7</v>
      </c>
      <c r="Q7">
        <v>6.9368614256472075E-3</v>
      </c>
      <c r="R7">
        <v>2.5175960321026975E-6</v>
      </c>
      <c r="U7" s="5" t="s">
        <v>20</v>
      </c>
      <c r="V7" s="5" t="s">
        <v>21</v>
      </c>
    </row>
    <row r="8" spans="1:22">
      <c r="B8" s="5" t="s">
        <v>4</v>
      </c>
      <c r="C8" s="5" t="s">
        <v>6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17</v>
      </c>
      <c r="I8" s="5" t="s">
        <v>18</v>
      </c>
      <c r="U8" s="7">
        <f>Q3*10000</f>
        <v>5.9371423075911292</v>
      </c>
      <c r="V8" s="7">
        <f>Q4*10000</f>
        <v>7.9978632491013446E-2</v>
      </c>
    </row>
    <row r="9" spans="1:22">
      <c r="B9" s="5" t="s">
        <v>1</v>
      </c>
      <c r="C9" s="6">
        <f>441.3*E6</f>
        <v>441.3</v>
      </c>
      <c r="D9" s="9"/>
      <c r="E9" s="5"/>
      <c r="F9" s="5"/>
      <c r="G9" s="5"/>
      <c r="H9" s="5"/>
      <c r="I9" s="5"/>
    </row>
    <row r="10" spans="1:22">
      <c r="B10" s="5" t="s">
        <v>2</v>
      </c>
      <c r="C10" s="6">
        <f>467.8*E6</f>
        <v>467.8</v>
      </c>
      <c r="D10" s="10">
        <v>222.3</v>
      </c>
      <c r="E10" s="7">
        <f>ABS(D10-$A$26)</f>
        <v>16.457137728338495</v>
      </c>
      <c r="F10" s="11">
        <f>E10*PI()/180</f>
        <v>0.28723123881368684</v>
      </c>
      <c r="G10" s="11">
        <f>SQRT((F10/PI())^2*(0.000000000000001)^2+(F10/E10)^2*(0.14)^2)</f>
        <v>2.4434609527920616E-3</v>
      </c>
      <c r="H10" s="11">
        <f>SIN(F10)</f>
        <v>0.28329798398546457</v>
      </c>
      <c r="I10" s="11">
        <f>ABS(COS(F10)*G10)</f>
        <v>2.3433570855511082E-3</v>
      </c>
    </row>
    <row r="11" spans="1:22">
      <c r="B11" s="5" t="s">
        <v>3</v>
      </c>
      <c r="C11" s="6">
        <f>480*E6</f>
        <v>480</v>
      </c>
      <c r="D11" s="10">
        <v>222</v>
      </c>
      <c r="E11" s="7">
        <f>ABS(D11-$A$26)</f>
        <v>16.757137728338506</v>
      </c>
      <c r="F11" s="11">
        <f>E11*PI()/180</f>
        <v>0.29246722656967</v>
      </c>
      <c r="G11" s="11">
        <f>SQRT((F11/PI())^2*(0.000000000000001)^2+(F11/E11)^2*(0.14)^2)</f>
        <v>2.4434609527920611E-3</v>
      </c>
      <c r="H11" s="11">
        <f t="shared" ref="H11:H13" si="0">SIN(F11)</f>
        <v>0.28831555713141349</v>
      </c>
      <c r="I11" s="11">
        <f t="shared" ref="I11:I13" si="1">ABS(COS(F11)*G11)</f>
        <v>2.3397004849149083E-3</v>
      </c>
    </row>
    <row r="12" spans="1:22">
      <c r="B12" s="5" t="s">
        <v>5</v>
      </c>
      <c r="C12" s="6">
        <f>508.6*E6</f>
        <v>508.6</v>
      </c>
      <c r="D12" s="10">
        <v>220.9</v>
      </c>
      <c r="E12" s="7">
        <f t="shared" ref="E12:E13" si="2">ABS(D12-$A$26)</f>
        <v>17.8571377283385</v>
      </c>
      <c r="F12" s="11">
        <f t="shared" ref="F12:F13" si="3">E12*PI()/180</f>
        <v>0.31166584834160754</v>
      </c>
      <c r="G12" s="11">
        <f>SQRT((F12/PI())^2*(0.000000000000001)^2+(F12/E12)^2*(0.14)^2)</f>
        <v>2.4434609527920616E-3</v>
      </c>
      <c r="H12" s="11">
        <f t="shared" si="0"/>
        <v>0.30664465573125849</v>
      </c>
      <c r="I12" s="11">
        <f t="shared" si="1"/>
        <v>2.3257449424008716E-3</v>
      </c>
    </row>
    <row r="13" spans="1:22">
      <c r="B13" s="5" t="s">
        <v>0</v>
      </c>
      <c r="C13" s="6">
        <f>643.8*E6</f>
        <v>643.79999999999995</v>
      </c>
      <c r="D13" s="10">
        <v>216</v>
      </c>
      <c r="E13" s="7">
        <f t="shared" si="2"/>
        <v>22.757137728338506</v>
      </c>
      <c r="F13" s="11">
        <f t="shared" si="3"/>
        <v>0.39718698168932981</v>
      </c>
      <c r="G13" s="11">
        <f>SQRT((F13/PI())^2*(0.000000000000001)^2+(F13/E13)^2*(0.14)^2)</f>
        <v>2.4434609527920616E-3</v>
      </c>
      <c r="H13" s="11">
        <f t="shared" si="0"/>
        <v>0.3868258435376748</v>
      </c>
      <c r="I13" s="11">
        <f t="shared" si="1"/>
        <v>2.2532443331066557E-3</v>
      </c>
    </row>
    <row r="15" spans="1:22">
      <c r="D15" s="5" t="s">
        <v>8</v>
      </c>
      <c r="E15" s="5"/>
      <c r="F15" s="5"/>
      <c r="G15" s="5"/>
      <c r="H15" s="5"/>
      <c r="I15" s="5"/>
    </row>
    <row r="16" spans="1:22">
      <c r="A16" t="s">
        <v>9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17</v>
      </c>
      <c r="I16" s="5" t="s">
        <v>18</v>
      </c>
    </row>
    <row r="17" spans="1:22">
      <c r="A17">
        <v>238.8</v>
      </c>
      <c r="D17" s="9"/>
      <c r="E17" s="5"/>
      <c r="F17" s="5"/>
      <c r="G17" s="5"/>
      <c r="H17" s="5"/>
      <c r="I17" s="5"/>
    </row>
    <row r="18" spans="1:22">
      <c r="A18">
        <v>238.8</v>
      </c>
      <c r="D18" s="10">
        <v>255.1</v>
      </c>
      <c r="E18" s="7">
        <f>ABS(D18-$A$26)</f>
        <v>16.342862271661488</v>
      </c>
      <c r="F18" s="11">
        <f>E18*PI()/180</f>
        <v>0.28523675584045294</v>
      </c>
      <c r="G18" s="11">
        <f>SQRT((F18/PI())^2*(0.000000000000001)^2+(F18/E18)^2*(0.14)^2)</f>
        <v>2.4434609527920616E-3</v>
      </c>
      <c r="H18" s="11">
        <f>SIN(F18)</f>
        <v>0.28138464891439141</v>
      </c>
      <c r="I18" s="11">
        <f>ABS(COS(F18)*G18)</f>
        <v>2.3447330598299529E-3</v>
      </c>
    </row>
    <row r="19" spans="1:22">
      <c r="A19">
        <v>238.7</v>
      </c>
      <c r="D19" s="10">
        <v>255.6</v>
      </c>
      <c r="E19" s="7">
        <f>ABS(D19-$A$26)</f>
        <v>16.842862271661488</v>
      </c>
      <c r="F19" s="11">
        <f>E19*PI()/180</f>
        <v>0.2939634021004246</v>
      </c>
      <c r="G19" s="11">
        <f>SQRT((F19/PI())^2*(0.000000000000001)^2+(F19/E19)^2*(0.14)^2)</f>
        <v>2.4434609527920616E-3</v>
      </c>
      <c r="H19" s="11">
        <f t="shared" ref="H19:H21" si="4">SIN(F19)</f>
        <v>0.28974787500513932</v>
      </c>
      <c r="I19" s="11">
        <f t="shared" ref="I19:I21" si="5">ABS(COS(F19)*G19)</f>
        <v>2.3386438291337084E-3</v>
      </c>
    </row>
    <row r="20" spans="1:22">
      <c r="A20">
        <v>238.7</v>
      </c>
      <c r="D20" s="10">
        <v>256.60000000000002</v>
      </c>
      <c r="E20" s="7">
        <f>ABS(D20-$A$26)</f>
        <v>17.842862271661517</v>
      </c>
      <c r="F20" s="11">
        <f t="shared" ref="F20:F21" si="6">E20*PI()/180</f>
        <v>0.31141669462036836</v>
      </c>
      <c r="G20" s="11">
        <f>SQRT((F20/PI())^2*(0.000000000000001)^2+(F20/E20)^2*(0.14)^2)</f>
        <v>2.4434609527920616E-3</v>
      </c>
      <c r="H20" s="11">
        <f t="shared" si="4"/>
        <v>0.30640749570749815</v>
      </c>
      <c r="I20" s="11">
        <f t="shared" si="5"/>
        <v>2.3259315546764231E-3</v>
      </c>
    </row>
    <row r="21" spans="1:22">
      <c r="A21">
        <v>238.8</v>
      </c>
      <c r="D21" s="10">
        <v>261.60000000000002</v>
      </c>
      <c r="E21" s="7">
        <f>ABS(D21-$A$26)</f>
        <v>22.842862271661517</v>
      </c>
      <c r="F21" s="11">
        <f t="shared" si="6"/>
        <v>0.39868315722008479</v>
      </c>
      <c r="G21" s="11">
        <f>SQRT((F21/PI())^2*(0.000000000000001)^2+(F21/E21)^2*(0.14)^2)</f>
        <v>2.4434609527920611E-3</v>
      </c>
      <c r="H21" s="11">
        <f t="shared" si="4"/>
        <v>0.38820511249913825</v>
      </c>
      <c r="I21" s="11">
        <f t="shared" si="5"/>
        <v>2.2518276357430481E-3</v>
      </c>
      <c r="Q21">
        <f t="array" ref="Q21:R25">LINEST(H18:H21,C10:C13,1,1)</f>
        <v>6.0452268130175278E-4</v>
      </c>
      <c r="R21">
        <v>-9.6835078594348367E-4</v>
      </c>
    </row>
    <row r="22" spans="1:22">
      <c r="A22">
        <v>238.8</v>
      </c>
      <c r="Q22">
        <v>3.567229074452691E-6</v>
      </c>
      <c r="R22">
        <v>1.8896124890765158E-3</v>
      </c>
    </row>
    <row r="23" spans="1:22">
      <c r="A23">
        <v>238.7</v>
      </c>
      <c r="D23" t="s">
        <v>16</v>
      </c>
      <c r="E23">
        <v>2</v>
      </c>
      <c r="Q23">
        <v>0.99993036356170795</v>
      </c>
      <c r="R23">
        <v>5.0042045082232165E-4</v>
      </c>
    </row>
    <row r="24" spans="1:22">
      <c r="C24" s="5"/>
      <c r="D24" s="5" t="s">
        <v>8</v>
      </c>
      <c r="E24" s="5"/>
      <c r="F24" s="5"/>
      <c r="G24" s="5"/>
      <c r="H24" s="5"/>
      <c r="I24" s="5"/>
      <c r="Q24">
        <v>28718.595841088172</v>
      </c>
      <c r="R24">
        <v>2</v>
      </c>
      <c r="U24" t="s">
        <v>22</v>
      </c>
    </row>
    <row r="25" spans="1:22">
      <c r="A25" s="5" t="s">
        <v>10</v>
      </c>
      <c r="B25" s="12" t="s">
        <v>11</v>
      </c>
      <c r="C25" s="5" t="s">
        <v>6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17</v>
      </c>
      <c r="I25" s="5" t="s">
        <v>18</v>
      </c>
      <c r="Q25">
        <v>7.1917287943509623E-3</v>
      </c>
      <c r="R25">
        <v>5.0084125520243132E-7</v>
      </c>
      <c r="U25" s="5" t="s">
        <v>20</v>
      </c>
      <c r="V25" s="5" t="s">
        <v>21</v>
      </c>
    </row>
    <row r="26" spans="1:22">
      <c r="A26" s="6">
        <f>GEOMEAN(A17:A23)</f>
        <v>238.75713772833851</v>
      </c>
      <c r="B26" s="13">
        <f>0.1</f>
        <v>0.1</v>
      </c>
      <c r="C26" s="6">
        <f>441.3*E23</f>
        <v>882.6</v>
      </c>
      <c r="D26" s="9"/>
      <c r="E26" s="5"/>
      <c r="F26" s="5"/>
      <c r="G26" s="5"/>
      <c r="H26" s="5"/>
      <c r="I26" s="5"/>
      <c r="U26" s="7">
        <f>Q21*10000</f>
        <v>6.0452268130175275</v>
      </c>
      <c r="V26" s="7">
        <f>Q22*10000</f>
        <v>3.5672290744526908E-2</v>
      </c>
    </row>
    <row r="27" spans="1:22">
      <c r="C27" s="6">
        <f>467.8*E23</f>
        <v>935.6</v>
      </c>
      <c r="D27" s="10">
        <v>273.10000000000002</v>
      </c>
      <c r="E27" s="7">
        <f>ABS(D27-$A$26)</f>
        <v>34.342862271661517</v>
      </c>
      <c r="F27" s="11">
        <f>E27*PI()/180</f>
        <v>0.59939602119943269</v>
      </c>
      <c r="G27" s="11">
        <f>SQRT((F27/PI())^2*(0.000000000000001)^2+(F27/E27)^2*(0.14)^2)</f>
        <v>2.4434609527920611E-3</v>
      </c>
      <c r="H27" s="11">
        <f>SIN(F27)</f>
        <v>0.56414388522251246</v>
      </c>
      <c r="I27" s="11">
        <f>ABS(COS(F27)*G27)</f>
        <v>2.0175082786783663E-3</v>
      </c>
    </row>
    <row r="28" spans="1:22">
      <c r="C28" s="6">
        <f>480*E23</f>
        <v>960</v>
      </c>
      <c r="D28" s="10">
        <v>274.10000000000002</v>
      </c>
      <c r="E28" s="7">
        <f>ABS(D28-$A$26)</f>
        <v>35.342862271661517</v>
      </c>
      <c r="F28" s="11">
        <f>E28*PI()/180</f>
        <v>0.61684931371937601</v>
      </c>
      <c r="G28" s="11">
        <f>SQRT((F28/PI())^2*(0.000000000000001)^2+(F28/E28)^2*(0.14)^2)</f>
        <v>2.4434609527920616E-3</v>
      </c>
      <c r="H28" s="11">
        <f t="shared" ref="H28:H30" si="7">SIN(F28)</f>
        <v>0.57846800517780594</v>
      </c>
      <c r="I28" s="11">
        <f t="shared" ref="I28:I30" si="8">ABS(COS(F28)*G28)</f>
        <v>1.9931434961694664E-3</v>
      </c>
    </row>
    <row r="29" spans="1:22">
      <c r="A29">
        <f>100*ABS(MAX(A17:A23)-MIN(A17:A23))/MAX(A17:A23)</f>
        <v>4.1876046901182046E-2</v>
      </c>
      <c r="C29" s="6">
        <f>508.6*E23</f>
        <v>1017.2</v>
      </c>
      <c r="D29" s="10">
        <v>276.5</v>
      </c>
      <c r="E29" s="7">
        <f>ABS(D29-$A$26)</f>
        <v>37.742862271661494</v>
      </c>
      <c r="F29" s="11">
        <f t="shared" ref="F29:F30" si="9">E29*PI()/180</f>
        <v>0.65873721576723954</v>
      </c>
      <c r="G29" s="11">
        <f>SQRT((F29/PI())^2*(0.000000000000001)^2+(F29/E29)^2*(0.14)^2)</f>
        <v>2.4434609527920616E-3</v>
      </c>
      <c r="H29" s="11">
        <f t="shared" si="7"/>
        <v>0.61211877365926148</v>
      </c>
      <c r="I29" s="11">
        <f t="shared" si="8"/>
        <v>1.9322054423713366E-3</v>
      </c>
    </row>
    <row r="30" spans="1:22">
      <c r="C30" s="6">
        <f>643.8*E23</f>
        <v>1287.5999999999999</v>
      </c>
      <c r="D30" s="10">
        <v>289.60000000000002</v>
      </c>
      <c r="E30" s="7">
        <f t="shared" ref="E30" si="10">ABS(D30-$A$26)</f>
        <v>50.842862271661517</v>
      </c>
      <c r="F30" s="11">
        <f t="shared" si="9"/>
        <v>0.88737534777849714</v>
      </c>
      <c r="G30" s="11">
        <f>SQRT((F30/PI())^2*(0.000000000000001)^2+(F30/E30)^2*(0.14)^2)</f>
        <v>2.4434609527920616E-3</v>
      </c>
      <c r="H30" s="11">
        <f t="shared" si="7"/>
        <v>0.77541708520562547</v>
      </c>
      <c r="I30" s="11">
        <f t="shared" si="8"/>
        <v>1.5429219510371291E-3</v>
      </c>
    </row>
    <row r="32" spans="1:22">
      <c r="E32" t="s">
        <v>48</v>
      </c>
    </row>
    <row r="33" spans="4:22">
      <c r="E33" s="1">
        <f>ABS(E10-E18)</f>
        <v>0.11427545667700656</v>
      </c>
    </row>
    <row r="34" spans="4:22">
      <c r="E34" s="1">
        <f>ABS(E11-E19)</f>
        <v>8.5724543322982072E-2</v>
      </c>
    </row>
    <row r="35" spans="4:22">
      <c r="E35" s="1">
        <f>ABS(E12-E20)</f>
        <v>1.4275456676983822E-2</v>
      </c>
    </row>
    <row r="36" spans="4:22">
      <c r="E36" s="1">
        <f>ABS(E13-E21)</f>
        <v>8.5724543323010494E-2</v>
      </c>
    </row>
    <row r="37" spans="4:22">
      <c r="E37" s="1"/>
      <c r="Q37">
        <f t="array" ref="Q37:R41">LINEST(H27:H30,C27:C30,1,1)</f>
        <v>6.0099414406011267E-4</v>
      </c>
      <c r="R37">
        <v>1.4329866387771117E-3</v>
      </c>
    </row>
    <row r="38" spans="4:22">
      <c r="Q38">
        <v>1.9859480992301232E-6</v>
      </c>
      <c r="R38">
        <v>2.1039704782843359E-3</v>
      </c>
    </row>
    <row r="39" spans="4:22">
      <c r="Q39">
        <v>0.99997816185126487</v>
      </c>
      <c r="R39">
        <v>5.5718823904178237E-4</v>
      </c>
    </row>
    <row r="40" spans="4:22">
      <c r="Q40">
        <v>91580.854584310902</v>
      </c>
      <c r="R40">
        <v>2</v>
      </c>
      <c r="U40" t="s">
        <v>23</v>
      </c>
    </row>
    <row r="41" spans="4:22">
      <c r="Q41">
        <v>2.8432076147834284E-2</v>
      </c>
      <c r="R41">
        <v>6.2091746745296485E-7</v>
      </c>
      <c r="U41" s="5" t="s">
        <v>20</v>
      </c>
      <c r="V41" s="5" t="s">
        <v>21</v>
      </c>
    </row>
    <row r="42" spans="4:22">
      <c r="D42" s="5" t="s">
        <v>49</v>
      </c>
      <c r="E42" s="5" t="s">
        <v>12</v>
      </c>
      <c r="F42" s="5" t="s">
        <v>48</v>
      </c>
      <c r="U42" s="8">
        <f>Q37*10000</f>
        <v>6.0099414406011267</v>
      </c>
      <c r="V42" s="8">
        <f>Q38*10000</f>
        <v>1.9859480992301233E-2</v>
      </c>
    </row>
    <row r="43" spans="4:22">
      <c r="D43" s="16">
        <v>16.457137728338495</v>
      </c>
      <c r="E43" s="16">
        <v>16.342862271661488</v>
      </c>
      <c r="F43" s="7">
        <v>0.11427545667700656</v>
      </c>
    </row>
    <row r="44" spans="4:22">
      <c r="D44" s="16">
        <v>16.757137728338506</v>
      </c>
      <c r="E44" s="16">
        <v>16.842862271661488</v>
      </c>
      <c r="F44" s="7">
        <v>8.5724543322982072E-2</v>
      </c>
    </row>
    <row r="45" spans="4:22">
      <c r="D45" s="16">
        <v>17.8571377283385</v>
      </c>
      <c r="E45" s="16">
        <v>17.842862271661517</v>
      </c>
      <c r="F45" s="7">
        <v>1.4275456676983822E-2</v>
      </c>
    </row>
    <row r="46" spans="4:22">
      <c r="D46" s="16">
        <v>22.757137728338506</v>
      </c>
      <c r="E46" s="16">
        <v>22.842862271661517</v>
      </c>
      <c r="F46" s="7">
        <v>8.5724543323010494E-2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V43"/>
  <sheetViews>
    <sheetView topLeftCell="H28" zoomScale="190" zoomScaleNormal="190" workbookViewId="0">
      <selection activeCell="I41" sqref="I41"/>
    </sheetView>
  </sheetViews>
  <sheetFormatPr baseColWidth="10" defaultRowHeight="15"/>
  <cols>
    <col min="1" max="1" width="19.140625" bestFit="1" customWidth="1"/>
    <col min="2" max="2" width="24.85546875" bestFit="1" customWidth="1"/>
    <col min="3" max="3" width="18.28515625" bestFit="1" customWidth="1"/>
    <col min="4" max="4" width="16.7109375" bestFit="1" customWidth="1"/>
    <col min="5" max="5" width="22.42578125" bestFit="1" customWidth="1"/>
    <col min="6" max="6" width="17.85546875" bestFit="1" customWidth="1"/>
    <col min="7" max="7" width="23.5703125" bestFit="1" customWidth="1"/>
    <col min="8" max="8" width="17.28515625" bestFit="1" customWidth="1"/>
    <col min="9" max="9" width="23" bestFit="1" customWidth="1"/>
    <col min="17" max="17" width="16" bestFit="1" customWidth="1"/>
    <col min="18" max="18" width="16.7109375" bestFit="1" customWidth="1"/>
    <col min="21" max="21" width="35.7109375" bestFit="1" customWidth="1"/>
    <col min="22" max="22" width="41.140625" bestFit="1" customWidth="1"/>
  </cols>
  <sheetData>
    <row r="3" spans="1:22">
      <c r="Q3">
        <f t="array" ref="Q3:R7">LINEST(H10:H13,C10:C13,1,1)</f>
        <v>6.0342260564814139E-4</v>
      </c>
      <c r="R3">
        <v>-1.5381143622494875E-4</v>
      </c>
    </row>
    <row r="4" spans="1:22">
      <c r="Q4">
        <v>8.3878350505930733E-6</v>
      </c>
      <c r="R4">
        <v>4.4431567295257586E-3</v>
      </c>
    </row>
    <row r="5" spans="1:22">
      <c r="Q5">
        <v>0.99961370524758331</v>
      </c>
      <c r="R5">
        <v>1.1766679710876313E-3</v>
      </c>
    </row>
    <row r="6" spans="1:22">
      <c r="D6" t="s">
        <v>16</v>
      </c>
      <c r="E6">
        <v>1</v>
      </c>
      <c r="Q6">
        <v>5175.3936546841906</v>
      </c>
      <c r="R6">
        <v>2</v>
      </c>
      <c r="U6" t="s">
        <v>19</v>
      </c>
    </row>
    <row r="7" spans="1:22">
      <c r="D7" t="s">
        <v>7</v>
      </c>
      <c r="Q7">
        <v>7.1655784195139658E-3</v>
      </c>
      <c r="R7">
        <v>2.7690950283669652E-6</v>
      </c>
      <c r="U7" s="5" t="s">
        <v>20</v>
      </c>
      <c r="V7" s="5" t="s">
        <v>21</v>
      </c>
    </row>
    <row r="8" spans="1:22">
      <c r="B8" s="5" t="s">
        <v>4</v>
      </c>
      <c r="C8" s="5" t="s">
        <v>6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17</v>
      </c>
      <c r="I8" s="5" t="s">
        <v>18</v>
      </c>
      <c r="U8" s="7">
        <f>Q3*10000</f>
        <v>6.0342260564814136</v>
      </c>
      <c r="V8" s="7">
        <f>Q4*10000</f>
        <v>8.3878350505930732E-2</v>
      </c>
    </row>
    <row r="9" spans="1:22">
      <c r="B9" s="5" t="s">
        <v>1</v>
      </c>
      <c r="C9" s="6">
        <f>441.3*E6</f>
        <v>441.3</v>
      </c>
      <c r="D9" s="9"/>
      <c r="E9" s="5"/>
      <c r="F9" s="5"/>
      <c r="G9" s="5"/>
      <c r="H9" s="5"/>
      <c r="I9" s="5"/>
    </row>
    <row r="10" spans="1:22">
      <c r="B10" s="5" t="s">
        <v>2</v>
      </c>
      <c r="C10" s="6">
        <f>467.8*E6</f>
        <v>467.8</v>
      </c>
      <c r="D10" s="10">
        <v>222.3</v>
      </c>
      <c r="E10" s="7">
        <f>ABS(D10-$A$26)</f>
        <v>16.457137728338495</v>
      </c>
      <c r="F10" s="11">
        <f>E10*PI()/180</f>
        <v>0.28723123881368684</v>
      </c>
      <c r="G10" s="11">
        <f>SQRT((F10/PI())^2*(0.000000000000001)^2+(F10/E10)^2*(0.14)^2)</f>
        <v>2.4434609527920616E-3</v>
      </c>
      <c r="H10" s="11">
        <f>SIN(F10)</f>
        <v>0.28329798398546457</v>
      </c>
      <c r="I10" s="11">
        <f>ABS(COS(F10)*G10)</f>
        <v>2.3433570855511082E-3</v>
      </c>
    </row>
    <row r="11" spans="1:22">
      <c r="B11" s="5" t="s">
        <v>3</v>
      </c>
      <c r="C11" s="6">
        <f>480*E6</f>
        <v>480</v>
      </c>
      <c r="D11" s="10">
        <v>222</v>
      </c>
      <c r="E11" s="7">
        <f>ABS(D11-$A$26)</f>
        <v>16.757137728338506</v>
      </c>
      <c r="F11" s="11">
        <f>E11*PI()/180</f>
        <v>0.29246722656967</v>
      </c>
      <c r="G11" s="11">
        <f>SQRT((F11/PI())^2*(0.000000000000001)^2+(F11/E11)^2*(0.14)^2)</f>
        <v>2.4434609527920611E-3</v>
      </c>
      <c r="H11" s="11">
        <f t="shared" ref="H11:H13" si="0">SIN(F11)</f>
        <v>0.28831555713141349</v>
      </c>
      <c r="I11" s="11">
        <f t="shared" ref="I11:I13" si="1">ABS(COS(F11)*G11)</f>
        <v>2.3397004849149083E-3</v>
      </c>
    </row>
    <row r="12" spans="1:22">
      <c r="B12" s="5" t="s">
        <v>5</v>
      </c>
      <c r="C12" s="6">
        <f>508.6*E6</f>
        <v>508.6</v>
      </c>
      <c r="D12" s="10">
        <v>220.9</v>
      </c>
      <c r="E12" s="7">
        <f t="shared" ref="E12:E13" si="2">ABS(D12-$A$26)</f>
        <v>17.8571377283385</v>
      </c>
      <c r="F12" s="11">
        <f t="shared" ref="F12:F13" si="3">E12*PI()/180</f>
        <v>0.31166584834160754</v>
      </c>
      <c r="G12" s="11">
        <f>SQRT((F12/PI())^2*(0.000000000000001)^2+(F12/E12)^2*(0.14)^2)</f>
        <v>2.4434609527920616E-3</v>
      </c>
      <c r="H12" s="11">
        <f t="shared" si="0"/>
        <v>0.30664465573125849</v>
      </c>
      <c r="I12" s="11">
        <f t="shared" si="1"/>
        <v>2.3257449424008716E-3</v>
      </c>
    </row>
    <row r="13" spans="1:22">
      <c r="B13" s="5" t="s">
        <v>0</v>
      </c>
      <c r="C13" s="6">
        <f>643.8*E6</f>
        <v>643.79999999999995</v>
      </c>
      <c r="D13" s="10">
        <v>215.9</v>
      </c>
      <c r="E13" s="7">
        <f t="shared" si="2"/>
        <v>22.8571377283385</v>
      </c>
      <c r="F13" s="11">
        <f t="shared" si="3"/>
        <v>0.39893231094132403</v>
      </c>
      <c r="G13" s="11">
        <f>SQRT((F13/PI())^2*(0.000000000000001)^2+(F13/E13)^2*(0.14)^2)</f>
        <v>2.4434609527920616E-3</v>
      </c>
      <c r="H13" s="11">
        <f t="shared" si="0"/>
        <v>0.38843471378918987</v>
      </c>
      <c r="I13" s="11">
        <f t="shared" si="1"/>
        <v>2.2515912275925714E-3</v>
      </c>
    </row>
    <row r="14" spans="1:22">
      <c r="Q14" s="17"/>
    </row>
    <row r="15" spans="1:22">
      <c r="D15" s="5" t="s">
        <v>8</v>
      </c>
      <c r="E15" s="5"/>
      <c r="F15" s="5"/>
      <c r="G15" s="5"/>
      <c r="H15" s="5"/>
      <c r="I15" s="5"/>
    </row>
    <row r="16" spans="1:22">
      <c r="A16" t="s">
        <v>9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17</v>
      </c>
      <c r="I16" s="5" t="s">
        <v>18</v>
      </c>
    </row>
    <row r="17" spans="1:22">
      <c r="A17">
        <v>238.8</v>
      </c>
      <c r="D17" s="9"/>
      <c r="E17" s="5"/>
      <c r="F17" s="5"/>
      <c r="G17" s="5"/>
      <c r="H17" s="5"/>
      <c r="I17" s="5"/>
    </row>
    <row r="18" spans="1:22">
      <c r="A18">
        <v>238.8</v>
      </c>
      <c r="D18" s="10">
        <v>255.1</v>
      </c>
      <c r="E18" s="7">
        <f>ABS(D18-$A$26)</f>
        <v>16.342862271661488</v>
      </c>
      <c r="F18" s="11">
        <f>E18*PI()/180</f>
        <v>0.28523675584045294</v>
      </c>
      <c r="G18" s="11">
        <f>SQRT((F18/PI())^2*(0.000000000000001)^2+(F18/E18)^2*(0.14)^2)</f>
        <v>2.4434609527920616E-3</v>
      </c>
      <c r="H18" s="11">
        <f>SIN(F18)</f>
        <v>0.28138464891439141</v>
      </c>
      <c r="I18" s="11">
        <f>ABS(COS(F18)*G18)</f>
        <v>2.3447330598299529E-3</v>
      </c>
    </row>
    <row r="19" spans="1:22">
      <c r="A19">
        <v>238.7</v>
      </c>
      <c r="D19" s="10">
        <v>255.5</v>
      </c>
      <c r="E19" s="7">
        <f>ABS(D19-$A$26)</f>
        <v>16.742862271661494</v>
      </c>
      <c r="F19" s="11">
        <f>E19*PI()/180</f>
        <v>0.29221807284843038</v>
      </c>
      <c r="G19" s="11">
        <f>SQRT((F19/PI())^2*(0.000000000000001)^2+(F19/E19)^2*(0.14)^2)</f>
        <v>2.4434609527920616E-3</v>
      </c>
      <c r="H19" s="11">
        <f t="shared" ref="H19:H21" si="4">SIN(F19)</f>
        <v>0.28807697466413362</v>
      </c>
      <c r="I19" s="11">
        <f t="shared" ref="I19:I21" si="5">ABS(COS(F19)*G19)</f>
        <v>2.3398759380500412E-3</v>
      </c>
    </row>
    <row r="20" spans="1:22">
      <c r="A20">
        <v>238.7</v>
      </c>
      <c r="D20" s="10">
        <v>256.5</v>
      </c>
      <c r="E20" s="7">
        <f>ABS(D20-$A$26)</f>
        <v>17.742862271661494</v>
      </c>
      <c r="F20" s="11">
        <f t="shared" ref="F20:F21" si="6">E20*PI()/180</f>
        <v>0.30967136536837364</v>
      </c>
      <c r="G20" s="11">
        <f>SQRT((F20/PI())^2*(0.000000000000001)^2+(F20/E20)^2*(0.14)^2)</f>
        <v>2.4434609527920616E-3</v>
      </c>
      <c r="H20" s="11">
        <f t="shared" si="4"/>
        <v>0.304745650183876</v>
      </c>
      <c r="I20" s="11">
        <f t="shared" si="5"/>
        <v>2.3272347302680033E-3</v>
      </c>
    </row>
    <row r="21" spans="1:22">
      <c r="A21">
        <v>238.8</v>
      </c>
      <c r="D21" s="10">
        <v>261.5</v>
      </c>
      <c r="E21" s="7">
        <f>ABS(D21-$A$26)</f>
        <v>22.742862271661494</v>
      </c>
      <c r="F21" s="11">
        <f t="shared" si="6"/>
        <v>0.39693782796809018</v>
      </c>
      <c r="G21" s="11">
        <f>SQRT((F21/PI())^2*(0.000000000000001)^2+(F21/E21)^2*(0.14)^2)</f>
        <v>2.443460952792062E-3</v>
      </c>
      <c r="H21" s="11">
        <f t="shared" si="4"/>
        <v>0.3865960737344466</v>
      </c>
      <c r="I21" s="11">
        <f t="shared" si="5"/>
        <v>2.2534797617298247E-3</v>
      </c>
      <c r="Q21">
        <f t="array" ref="Q21:R25">LINEST(H18:H21,C10:C13,1,1)</f>
        <v>6.000274884470912E-4</v>
      </c>
      <c r="R21">
        <v>1.5640406506672866E-4</v>
      </c>
    </row>
    <row r="22" spans="1:22">
      <c r="A22">
        <v>238.8</v>
      </c>
      <c r="Q22">
        <v>4.086567902288899E-6</v>
      </c>
      <c r="R22">
        <v>2.1647137272251264E-3</v>
      </c>
    </row>
    <row r="23" spans="1:22">
      <c r="A23">
        <v>238.7</v>
      </c>
      <c r="D23" t="s">
        <v>16</v>
      </c>
      <c r="E23">
        <v>2</v>
      </c>
      <c r="Q23">
        <v>0.99990723912131474</v>
      </c>
      <c r="R23">
        <v>5.7327469284915449E-4</v>
      </c>
    </row>
    <row r="24" spans="1:22">
      <c r="C24" s="5"/>
      <c r="D24" s="5" t="s">
        <v>8</v>
      </c>
      <c r="E24" s="5"/>
      <c r="F24" s="5"/>
      <c r="G24" s="5"/>
      <c r="H24" s="5"/>
      <c r="I24" s="5"/>
      <c r="Q24">
        <v>21558.813441479164</v>
      </c>
      <c r="R24">
        <v>2</v>
      </c>
      <c r="U24" t="s">
        <v>22</v>
      </c>
    </row>
    <row r="25" spans="1:22">
      <c r="A25" s="5" t="s">
        <v>10</v>
      </c>
      <c r="B25" s="12" t="s">
        <v>11</v>
      </c>
      <c r="C25" s="5" t="s">
        <v>6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17</v>
      </c>
      <c r="I25" s="5" t="s">
        <v>18</v>
      </c>
      <c r="Q25">
        <v>7.0851719566370902E-3</v>
      </c>
      <c r="R25">
        <v>6.5728774692258496E-7</v>
      </c>
      <c r="U25" s="5" t="s">
        <v>20</v>
      </c>
      <c r="V25" s="5" t="s">
        <v>21</v>
      </c>
    </row>
    <row r="26" spans="1:22">
      <c r="A26" s="6">
        <f>GEOMEAN(A17:A23)</f>
        <v>238.75713772833851</v>
      </c>
      <c r="B26" s="13">
        <f>0.1</f>
        <v>0.1</v>
      </c>
      <c r="C26" s="6">
        <f>441.3*E23</f>
        <v>882.6</v>
      </c>
      <c r="D26" s="9"/>
      <c r="E26" s="5"/>
      <c r="F26" s="5"/>
      <c r="G26" s="5"/>
      <c r="H26" s="5"/>
      <c r="I26" s="5"/>
      <c r="U26" s="7">
        <f>Q21*10000</f>
        <v>6.0002748844709117</v>
      </c>
      <c r="V26" s="7">
        <f>Q22*10000</f>
        <v>4.0865679022888991E-2</v>
      </c>
    </row>
    <row r="27" spans="1:22">
      <c r="C27" s="6">
        <f>467.8*E23</f>
        <v>935.6</v>
      </c>
      <c r="D27" s="10">
        <v>273.10000000000002</v>
      </c>
      <c r="E27" s="7">
        <f>ABS(D27-$A$26)</f>
        <v>34.342862271661517</v>
      </c>
      <c r="F27" s="11">
        <f>E27*PI()/180</f>
        <v>0.59939602119943269</v>
      </c>
      <c r="G27" s="11">
        <f>SQRT((F27/PI())^2*(0.000000000000001)^2+(F27/E27)^2*(0.14)^2)</f>
        <v>2.4434609527920611E-3</v>
      </c>
      <c r="H27" s="11">
        <f>SIN(F27)</f>
        <v>0.56414388522251246</v>
      </c>
      <c r="I27" s="11">
        <f>ABS(COS(F27)*G27)</f>
        <v>2.0175082786783663E-3</v>
      </c>
    </row>
    <row r="28" spans="1:22">
      <c r="C28" s="6">
        <f>480*E23</f>
        <v>960</v>
      </c>
      <c r="D28" s="10">
        <v>274.2</v>
      </c>
      <c r="E28" s="7">
        <f>ABS(D28-$A$26)</f>
        <v>35.442862271661483</v>
      </c>
      <c r="F28" s="11">
        <f>E28*PI()/180</f>
        <v>0.61859464297136979</v>
      </c>
      <c r="G28" s="11">
        <f>SQRT((F28/PI())^2*(0.000000000000001)^2+(F28/E28)^2*(0.14)^2)</f>
        <v>2.4434609527920616E-3</v>
      </c>
      <c r="H28" s="11">
        <f t="shared" ref="H28:H30" si="7">SIN(F28)</f>
        <v>0.57989079732391569</v>
      </c>
      <c r="I28" s="11">
        <f t="shared" ref="I28:I30" si="8">ABS(COS(F28)*G28)</f>
        <v>1.990673501655227E-3</v>
      </c>
    </row>
    <row r="29" spans="1:22">
      <c r="C29" s="6">
        <f>508.6*E23</f>
        <v>1017.2</v>
      </c>
      <c r="D29" s="10">
        <v>276.5</v>
      </c>
      <c r="E29" s="7">
        <f>ABS(D29-$A$26)</f>
        <v>37.742862271661494</v>
      </c>
      <c r="F29" s="11">
        <f t="shared" ref="F29:F30" si="9">E29*PI()/180</f>
        <v>0.65873721576723954</v>
      </c>
      <c r="G29" s="11">
        <f>SQRT((F29/PI())^2*(0.000000000000001)^2+(F29/E29)^2*(0.14)^2)</f>
        <v>2.4434609527920616E-3</v>
      </c>
      <c r="H29" s="11">
        <f t="shared" si="7"/>
        <v>0.61211877365926148</v>
      </c>
      <c r="I29" s="11">
        <f t="shared" si="8"/>
        <v>1.9322054423713366E-3</v>
      </c>
    </row>
    <row r="30" spans="1:22">
      <c r="C30" s="6">
        <f>643.8*E23</f>
        <v>1287.5999999999999</v>
      </c>
      <c r="D30" s="10">
        <v>289.60000000000002</v>
      </c>
      <c r="E30" s="7">
        <f t="shared" ref="E30" si="10">ABS(D30-$A$26)</f>
        <v>50.842862271661517</v>
      </c>
      <c r="F30" s="11">
        <f t="shared" si="9"/>
        <v>0.88737534777849714</v>
      </c>
      <c r="G30" s="11">
        <f>SQRT((F30/PI())^2*(0.000000000000001)^2+(F30/E30)^2*(0.14)^2)</f>
        <v>2.4434609527920616E-3</v>
      </c>
      <c r="H30" s="11">
        <f t="shared" si="7"/>
        <v>0.77541708520562547</v>
      </c>
      <c r="I30" s="11">
        <f t="shared" si="8"/>
        <v>1.5429219510371291E-3</v>
      </c>
    </row>
    <row r="33" spans="4:22">
      <c r="E33" s="1">
        <f>ABS(E10-E18)</f>
        <v>0.11427545667700656</v>
      </c>
    </row>
    <row r="34" spans="4:22">
      <c r="E34" s="1">
        <f>ABS(E11-E19)</f>
        <v>1.4275456677012244E-2</v>
      </c>
    </row>
    <row r="35" spans="4:22">
      <c r="E35" s="1">
        <f>ABS(E12-E20)</f>
        <v>0.11427545667700656</v>
      </c>
    </row>
    <row r="36" spans="4:22">
      <c r="E36" s="1">
        <f>ABS(E13-E21)</f>
        <v>0.11427545667700656</v>
      </c>
    </row>
    <row r="37" spans="4:22">
      <c r="Q37">
        <f t="array" ref="Q37:R41">LINEST(H27:H30,C27:C30,1,1)</f>
        <v>5.9936560508317489E-4</v>
      </c>
      <c r="R37">
        <v>3.4988134549869265E-3</v>
      </c>
    </row>
    <row r="38" spans="4:22">
      <c r="Q38">
        <v>3.7039478079013393E-6</v>
      </c>
      <c r="R38">
        <v>3.9240687326881542E-3</v>
      </c>
    </row>
    <row r="39" spans="4:22">
      <c r="D39" s="5" t="s">
        <v>49</v>
      </c>
      <c r="E39" s="5" t="s">
        <v>12</v>
      </c>
      <c r="F39" s="5" t="s">
        <v>48</v>
      </c>
      <c r="Q39">
        <v>0.99992362646222477</v>
      </c>
      <c r="R39">
        <v>1.0391994420132496E-3</v>
      </c>
    </row>
    <row r="40" spans="4:22">
      <c r="D40" s="16">
        <v>16.457137728338495</v>
      </c>
      <c r="E40" s="16">
        <v>16.342862271661488</v>
      </c>
      <c r="F40" s="7">
        <v>0.11427545667700656</v>
      </c>
      <c r="Q40">
        <v>26185.080738453231</v>
      </c>
      <c r="R40">
        <v>2</v>
      </c>
      <c r="U40" t="s">
        <v>23</v>
      </c>
    </row>
    <row r="41" spans="4:22">
      <c r="D41" s="16">
        <v>16.757137728338506</v>
      </c>
      <c r="E41" s="16">
        <v>16.742862271661494</v>
      </c>
      <c r="F41" s="7">
        <v>1.4275456677012244E-2</v>
      </c>
      <c r="Q41">
        <v>2.8278197743469066E-2</v>
      </c>
      <c r="R41">
        <v>2.1598709605612982E-6</v>
      </c>
      <c r="U41" s="5" t="s">
        <v>20</v>
      </c>
      <c r="V41" s="5" t="s">
        <v>21</v>
      </c>
    </row>
    <row r="42" spans="4:22">
      <c r="D42" s="16">
        <v>17.8571377283385</v>
      </c>
      <c r="E42" s="16">
        <v>17.742862271661494</v>
      </c>
      <c r="F42" s="7">
        <v>0.11427545667700656</v>
      </c>
      <c r="U42" s="7">
        <f>Q37*10000</f>
        <v>5.9936560508317491</v>
      </c>
      <c r="V42" s="7">
        <f>Q38*10000</f>
        <v>3.7039478079013394E-2</v>
      </c>
    </row>
    <row r="43" spans="4:22">
      <c r="D43" s="16">
        <v>22.8571377283385</v>
      </c>
      <c r="E43" s="16">
        <v>22.742862271661494</v>
      </c>
      <c r="F43" s="7">
        <v>0.11427545667700656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>
      <selection activeCell="E19" sqref="E19"/>
    </sheetView>
  </sheetViews>
  <sheetFormatPr baseColWidth="10" defaultRowHeight="15"/>
  <cols>
    <col min="2" max="2" width="39.42578125" bestFit="1" customWidth="1"/>
    <col min="3" max="3" width="44.28515625" bestFit="1" customWidth="1"/>
  </cols>
  <sheetData>
    <row r="3" spans="2:4">
      <c r="B3" s="5" t="s">
        <v>50</v>
      </c>
      <c r="C3" s="5" t="s">
        <v>26</v>
      </c>
    </row>
    <row r="4" spans="2:4">
      <c r="B4" s="5">
        <v>600</v>
      </c>
      <c r="C4" s="7">
        <f>100*ABS(B18-B4)/B4</f>
        <v>5.5175037391033278E-2</v>
      </c>
    </row>
    <row r="8" spans="2:4">
      <c r="B8" s="5" t="s">
        <v>20</v>
      </c>
      <c r="C8" s="5" t="s">
        <v>21</v>
      </c>
      <c r="D8" t="s">
        <v>51</v>
      </c>
    </row>
    <row r="9" spans="2:4">
      <c r="B9" s="7">
        <f>Julio!U8</f>
        <v>5.9371423075911292</v>
      </c>
      <c r="C9" s="7">
        <f>Julio!V8</f>
        <v>7.9978632491013446E-2</v>
      </c>
      <c r="D9" s="18">
        <f>Julio!Q5</f>
        <v>0.99963720153860491</v>
      </c>
    </row>
    <row r="10" spans="2:4">
      <c r="B10" s="7">
        <f>Julio!U26</f>
        <v>6.0452268130175275</v>
      </c>
      <c r="C10" s="7">
        <f>Julio!V26</f>
        <v>3.5672290744526908E-2</v>
      </c>
      <c r="D10" s="18">
        <f>Julio!Q23</f>
        <v>0.99993036356170795</v>
      </c>
    </row>
    <row r="11" spans="2:4">
      <c r="B11" s="8">
        <f>Julio!U42</f>
        <v>6.0099414406011267</v>
      </c>
      <c r="C11" s="8">
        <f>Julio!V42</f>
        <v>1.9859480992301233E-2</v>
      </c>
      <c r="D11" s="18">
        <f>Julio!Q39</f>
        <v>0.99997816185126487</v>
      </c>
    </row>
    <row r="12" spans="2:4">
      <c r="B12" s="7">
        <f>Arturo!U8</f>
        <v>6.0342260564814136</v>
      </c>
      <c r="C12" s="7">
        <f>Arturo!V8</f>
        <v>8.3878350505930732E-2</v>
      </c>
      <c r="D12" s="18">
        <f>Arturo!Q5</f>
        <v>0.99961370524758331</v>
      </c>
    </row>
    <row r="13" spans="2:4">
      <c r="B13" s="7">
        <f>Arturo!U26</f>
        <v>6.0002748844709117</v>
      </c>
      <c r="C13" s="7">
        <f>Arturo!V26</f>
        <v>4.0865679022888991E-2</v>
      </c>
      <c r="D13" s="18">
        <f>Arturo!Q23</f>
        <v>0.99990723912131474</v>
      </c>
    </row>
    <row r="14" spans="2:4">
      <c r="B14" s="7">
        <f>Arturo!U42</f>
        <v>5.9936560508317491</v>
      </c>
      <c r="C14" s="7">
        <f>Arturo!V42</f>
        <v>3.7039478079013394E-2</v>
      </c>
      <c r="D14" s="18">
        <f>Arturo!Q39</f>
        <v>0.99992362646222477</v>
      </c>
    </row>
    <row r="17" spans="2:3">
      <c r="B17" s="5" t="s">
        <v>24</v>
      </c>
      <c r="C17" s="5" t="s">
        <v>25</v>
      </c>
    </row>
    <row r="18" spans="2:3">
      <c r="B18" s="6">
        <f>GEOMEAN(B9:B14)*100</f>
        <v>600.3310502243462</v>
      </c>
      <c r="C18" s="6">
        <f>ABS(1/COUNT(B9:B14)*SQRT(C9^2+C10^2+C11^2+C12^2+C13^2+C14^2))*100</f>
        <v>2.2448086598330663</v>
      </c>
    </row>
    <row r="19" spans="2:3">
      <c r="B19" t="s">
        <v>47</v>
      </c>
      <c r="C19" s="1">
        <f>100*(ABS(MAX(B9:B14)-MIN(B9:B14)))/MAX(B9:B14)</f>
        <v>1.7879313509569881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4"/>
  <sheetViews>
    <sheetView workbookViewId="0">
      <selection activeCell="C37" sqref="C37"/>
    </sheetView>
  </sheetViews>
  <sheetFormatPr baseColWidth="10" defaultRowHeight="15"/>
  <cols>
    <col min="2" max="2" width="22.42578125" bestFit="1" customWidth="1"/>
    <col min="3" max="3" width="18.28515625" bestFit="1" customWidth="1"/>
    <col min="4" max="4" width="26.85546875" bestFit="1" customWidth="1"/>
    <col min="8" max="8" width="18" bestFit="1" customWidth="1"/>
    <col min="9" max="9" width="21.5703125" bestFit="1" customWidth="1"/>
  </cols>
  <sheetData>
    <row r="2" spans="2:10">
      <c r="B2" t="s">
        <v>27</v>
      </c>
      <c r="E2" t="s">
        <v>8</v>
      </c>
      <c r="F2" t="s">
        <v>39</v>
      </c>
      <c r="G2" t="s">
        <v>40</v>
      </c>
      <c r="H2" t="s">
        <v>41</v>
      </c>
      <c r="I2" t="s">
        <v>42</v>
      </c>
      <c r="J2" t="s">
        <v>44</v>
      </c>
    </row>
    <row r="3" spans="2:10">
      <c r="D3" t="s">
        <v>30</v>
      </c>
      <c r="E3" s="2">
        <v>140.19999999999999</v>
      </c>
      <c r="F3" s="14">
        <f>ABS(E3-$B$13)</f>
        <v>15.725027609943268</v>
      </c>
      <c r="G3">
        <f>F3*PI()/180</f>
        <v>0.27445350676052466</v>
      </c>
      <c r="H3">
        <f>SIN(G3)</f>
        <v>0.27102093756888301</v>
      </c>
      <c r="I3">
        <f>H3/$B$8*10</f>
        <v>4517.0156261480506</v>
      </c>
      <c r="J3" t="s">
        <v>45</v>
      </c>
    </row>
    <row r="4" spans="2:10">
      <c r="B4" t="s">
        <v>28</v>
      </c>
      <c r="D4" t="s">
        <v>31</v>
      </c>
      <c r="E4" s="2">
        <v>141.1</v>
      </c>
      <c r="F4" s="14">
        <f t="shared" ref="F4:F9" si="0">ABS(E4-$B$13)</f>
        <v>16.625027609943274</v>
      </c>
      <c r="G4">
        <f t="shared" ref="G4:G9" si="1">F4*PI()/180</f>
        <v>0.2901614700284737</v>
      </c>
      <c r="H4">
        <f t="shared" ref="H4:H9" si="2">SIN(G4)</f>
        <v>0.28610694904227224</v>
      </c>
      <c r="I4">
        <f t="shared" ref="I4:I9" si="3">H4/$B$8*10</f>
        <v>4768.4491507045377</v>
      </c>
      <c r="J4" t="s">
        <v>45</v>
      </c>
    </row>
    <row r="5" spans="2:10">
      <c r="B5">
        <v>600</v>
      </c>
      <c r="D5" t="s">
        <v>32</v>
      </c>
      <c r="E5" s="2">
        <v>142.30000000000001</v>
      </c>
      <c r="F5" s="14">
        <f t="shared" si="0"/>
        <v>17.825027609943291</v>
      </c>
      <c r="G5">
        <f t="shared" si="1"/>
        <v>0.31110542105240591</v>
      </c>
      <c r="H5">
        <f t="shared" si="2"/>
        <v>0.30611117942205857</v>
      </c>
      <c r="I5">
        <f t="shared" si="3"/>
        <v>5101.8529903676435</v>
      </c>
      <c r="J5" t="s">
        <v>46</v>
      </c>
    </row>
    <row r="6" spans="2:10">
      <c r="D6" t="s">
        <v>33</v>
      </c>
      <c r="E6" s="2">
        <v>141.9</v>
      </c>
      <c r="F6" s="14">
        <f t="shared" si="0"/>
        <v>17.425027609943285</v>
      </c>
      <c r="G6">
        <f t="shared" si="1"/>
        <v>0.30412410404442852</v>
      </c>
      <c r="H6">
        <f>SIN(G6)</f>
        <v>0.29945758943658879</v>
      </c>
      <c r="I6">
        <f t="shared" si="3"/>
        <v>4990.9598239431471</v>
      </c>
      <c r="J6" t="s">
        <v>46</v>
      </c>
    </row>
    <row r="7" spans="2:10">
      <c r="B7" t="s">
        <v>29</v>
      </c>
      <c r="D7" t="s">
        <v>34</v>
      </c>
      <c r="E7" s="15">
        <v>145.5</v>
      </c>
      <c r="F7" s="14">
        <f t="shared" si="0"/>
        <v>21.02502760994328</v>
      </c>
      <c r="G7">
        <f t="shared" si="1"/>
        <v>0.36695595711622431</v>
      </c>
      <c r="H7">
        <f t="shared" si="2"/>
        <v>0.3587757165275624</v>
      </c>
      <c r="I7">
        <f t="shared" si="3"/>
        <v>5979.5952754593736</v>
      </c>
      <c r="J7" t="s">
        <v>43</v>
      </c>
    </row>
    <row r="8" spans="2:10">
      <c r="B8">
        <f>B5*0.000001</f>
        <v>5.9999999999999995E-4</v>
      </c>
      <c r="D8" t="s">
        <v>35</v>
      </c>
      <c r="E8" s="2"/>
      <c r="F8" s="14"/>
    </row>
    <row r="9" spans="2:10">
      <c r="D9" t="s">
        <v>36</v>
      </c>
      <c r="E9" s="2">
        <v>148.6</v>
      </c>
      <c r="F9" s="14">
        <f t="shared" si="0"/>
        <v>24.125027609943274</v>
      </c>
      <c r="G9">
        <f t="shared" si="1"/>
        <v>0.42106116392804843</v>
      </c>
      <c r="H9">
        <f t="shared" si="2"/>
        <v>0.40872916034112405</v>
      </c>
      <c r="I9">
        <f t="shared" si="3"/>
        <v>6812.1526723520683</v>
      </c>
      <c r="J9" t="s">
        <v>45</v>
      </c>
    </row>
    <row r="11" spans="2:10">
      <c r="E11" t="s">
        <v>7</v>
      </c>
    </row>
    <row r="12" spans="2:10">
      <c r="B12" s="3" t="s">
        <v>37</v>
      </c>
      <c r="C12" s="3" t="s">
        <v>38</v>
      </c>
      <c r="E12" s="2">
        <v>108.7</v>
      </c>
      <c r="F12" s="2"/>
    </row>
    <row r="13" spans="2:10">
      <c r="B13" s="4">
        <f>GEOMEAN(B21:B24)</f>
        <v>124.47497239005672</v>
      </c>
      <c r="C13" s="4">
        <f>0.1</f>
        <v>0.1</v>
      </c>
      <c r="E13" s="2">
        <v>107.9</v>
      </c>
      <c r="F13" s="2"/>
    </row>
    <row r="14" spans="2:10">
      <c r="E14" s="2">
        <v>106.8</v>
      </c>
      <c r="F14" s="2"/>
    </row>
    <row r="15" spans="2:10">
      <c r="E15" s="2">
        <v>107.2</v>
      </c>
      <c r="F15" s="2"/>
    </row>
    <row r="16" spans="2:10">
      <c r="E16" s="2">
        <v>103.5</v>
      </c>
      <c r="F16" s="2"/>
    </row>
    <row r="17" spans="2:6">
      <c r="E17" s="2"/>
      <c r="F17" s="2"/>
    </row>
    <row r="18" spans="2:6">
      <c r="E18" s="2"/>
      <c r="F18" s="2"/>
    </row>
    <row r="21" spans="2:6">
      <c r="B21">
        <v>124.4</v>
      </c>
    </row>
    <row r="22" spans="2:6">
      <c r="B22">
        <v>124.5</v>
      </c>
    </row>
    <row r="23" spans="2:6">
      <c r="B23">
        <v>124.4</v>
      </c>
      <c r="D23">
        <f>100*(MAX(B21:B24)-MIN(B21:B24))/MAX(B21:B24)</f>
        <v>0.16051364365970197</v>
      </c>
    </row>
    <row r="24" spans="2:6">
      <c r="B24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Julio</vt:lpstr>
      <vt:lpstr>Arturo</vt:lpstr>
      <vt:lpstr>Resultado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2022-03-25T15:57:44Z</dcterms:created>
  <dcterms:modified xsi:type="dcterms:W3CDTF">2022-03-26T11:34:20Z</dcterms:modified>
</cp:coreProperties>
</file>