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7995"/>
  </bookViews>
  <sheets>
    <sheet name="Primer Intento" sheetId="1" r:id="rId1"/>
    <sheet name="Segundo Intento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20" i="2"/>
  <c r="I20"/>
  <c r="B2"/>
  <c r="C2"/>
  <c r="B3"/>
  <c r="C3"/>
  <c r="I21" i="1"/>
  <c r="G28" i="2"/>
  <c r="G19"/>
  <c r="G22"/>
  <c r="G25" s="1"/>
  <c r="F40" i="1"/>
  <c r="I21" i="2"/>
  <c r="G24"/>
  <c r="G21"/>
  <c r="G9"/>
  <c r="G15"/>
  <c r="C24"/>
  <c r="E15"/>
  <c r="E9"/>
  <c r="C18"/>
  <c r="B18"/>
  <c r="C12"/>
  <c r="B12"/>
  <c r="C6"/>
  <c r="B6"/>
  <c r="B24"/>
  <c r="B8"/>
  <c r="C8"/>
  <c r="B9"/>
  <c r="C9"/>
  <c r="B14"/>
  <c r="C14"/>
  <c r="B15"/>
  <c r="C15"/>
  <c r="F17" i="1"/>
  <c r="F20" s="1"/>
  <c r="F23" s="1"/>
  <c r="I18"/>
  <c r="J21"/>
  <c r="G40"/>
  <c r="C35"/>
  <c r="B35"/>
  <c r="C26"/>
  <c r="B26"/>
  <c r="D30"/>
  <c r="C30"/>
  <c r="B9"/>
  <c r="K18"/>
  <c r="J18"/>
  <c r="D21"/>
  <c r="C21"/>
  <c r="B15"/>
  <c r="C15"/>
  <c r="C18" s="1"/>
  <c r="C12"/>
  <c r="B12"/>
  <c r="H3"/>
  <c r="I3"/>
  <c r="I6" s="1"/>
  <c r="H6"/>
  <c r="H9" s="1"/>
  <c r="E3"/>
  <c r="F3"/>
  <c r="F6" s="1"/>
  <c r="E6"/>
  <c r="E9" s="1"/>
  <c r="C3"/>
  <c r="C6" s="1"/>
  <c r="B3"/>
  <c r="B6" s="1"/>
  <c r="E3" i="2" l="1"/>
  <c r="G3" s="1"/>
  <c r="I19" s="1"/>
  <c r="G17" i="1"/>
  <c r="F27"/>
  <c r="F9"/>
  <c r="I9"/>
  <c r="B18"/>
  <c r="G27"/>
  <c r="G37" s="1"/>
  <c r="C9"/>
  <c r="I22" i="2" l="1"/>
  <c r="I25" s="1"/>
  <c r="I28" s="1"/>
  <c r="F30" i="1"/>
  <c r="F33" s="1"/>
  <c r="F37"/>
  <c r="G30"/>
  <c r="G33" s="1"/>
  <c r="G20"/>
  <c r="G23" s="1"/>
</calcChain>
</file>

<file path=xl/sharedStrings.xml><?xml version="1.0" encoding="utf-8"?>
<sst xmlns="http://schemas.openxmlformats.org/spreadsheetml/2006/main" count="85" uniqueCount="70">
  <si>
    <t>Radio entrada [m]</t>
  </si>
  <si>
    <t>Diametro entrada [m]</t>
  </si>
  <si>
    <t>Error Diametro entrada [m]</t>
  </si>
  <si>
    <t>Error Radio entrada [m]</t>
  </si>
  <si>
    <t>Diametro medio [m]</t>
  </si>
  <si>
    <t>Radio medio [m]</t>
  </si>
  <si>
    <t>Error Radio medio [m]</t>
  </si>
  <si>
    <t>Error Diametro medio [m]</t>
  </si>
  <si>
    <t>Diametro salida [m]</t>
  </si>
  <si>
    <t>Radio salida [m]</t>
  </si>
  <si>
    <t>Error Radio salida [m]</t>
  </si>
  <si>
    <t>Error Diametro salida [m]</t>
  </si>
  <si>
    <t>Masa Vaso [kg]</t>
  </si>
  <si>
    <t>Error Masa Vaso [kg]</t>
  </si>
  <si>
    <t>Masa Vaso + Agua [kg]</t>
  </si>
  <si>
    <t>Error Masa Vaso + Agua [kg]</t>
  </si>
  <si>
    <t>Masa Agua [kg]</t>
  </si>
  <si>
    <t>Error Masa Agua [kg]</t>
  </si>
  <si>
    <t>tiempo llenado +- 0.01 [s]</t>
  </si>
  <si>
    <t>Tiempo medio [s]</t>
  </si>
  <si>
    <t>Error Tiempo medio [s]</t>
  </si>
  <si>
    <t>Caudal [kg/s]</t>
  </si>
  <si>
    <t>Error Caudal [kg/s]</t>
  </si>
  <si>
    <t>vel. Salida [m/s]</t>
  </si>
  <si>
    <t>Densidad Agua [kg/m^3]</t>
  </si>
  <si>
    <t>Factor correctivo salida</t>
  </si>
  <si>
    <t>Área entrada [m^2]</t>
  </si>
  <si>
    <t>Error Área entrada [m^2]</t>
  </si>
  <si>
    <t>Gravedad [m/s^2]</t>
  </si>
  <si>
    <t>Área medio [m^2]</t>
  </si>
  <si>
    <t>Error Área medio [m^2]</t>
  </si>
  <si>
    <t>Área salida [m^2]</t>
  </si>
  <si>
    <t>Error Área salida [m^2]</t>
  </si>
  <si>
    <t>Altura entrada [cm]</t>
  </si>
  <si>
    <t>Altura medio [cm]</t>
  </si>
  <si>
    <t>Altura salida [cm]</t>
  </si>
  <si>
    <t>Dif alturas medio-salida [m]</t>
  </si>
  <si>
    <t>Dif alturas medio-salida [cm]</t>
  </si>
  <si>
    <t>Error Dif alturas medio-salida [m]</t>
  </si>
  <si>
    <t>Error Dif alturas medio-salida [cm]</t>
  </si>
  <si>
    <t>Medidas</t>
  </si>
  <si>
    <t>vel. medio [m/s]</t>
  </si>
  <si>
    <t>Error vel. Salida [m/s]</t>
  </si>
  <si>
    <t>Error vel. medio [m/s]</t>
  </si>
  <si>
    <t>Diff</t>
  </si>
  <si>
    <t>Dif alturas entrada-medio [m]</t>
  </si>
  <si>
    <t>Error Dif alturas entrada-medio [m]</t>
  </si>
  <si>
    <t>Dif alturas entrada-medio [cm]</t>
  </si>
  <si>
    <t>Error Dif alturas entrada-medio [cm]</t>
  </si>
  <si>
    <t>vel. entrada [m/s]</t>
  </si>
  <si>
    <t>Error vel. entrada [m/s]</t>
  </si>
  <si>
    <t>tiempo entrada +- 0.01 [s]</t>
  </si>
  <si>
    <t>vel. Entrada desde caudal [m/s]</t>
  </si>
  <si>
    <t>Error vel. Entrada desde caudal [m/s]</t>
  </si>
  <si>
    <t>HAY FUERTES PÉRDIDAS</t>
  </si>
  <si>
    <t>Viscosidad [kg/(m*s)]</t>
  </si>
  <si>
    <t>Re entrada</t>
  </si>
  <si>
    <t>Darcy Entrada</t>
  </si>
  <si>
    <t>Rugosidad PVC [m]</t>
  </si>
  <si>
    <t>Kl estrechamiento</t>
  </si>
  <si>
    <t>kl abertura rasposa</t>
  </si>
  <si>
    <t>Pérdidas medio-salida [m]</t>
  </si>
  <si>
    <t>Darcy Salida</t>
  </si>
  <si>
    <t>Darcy Medio</t>
  </si>
  <si>
    <t>Pérdidas entrada-medio [m]</t>
  </si>
  <si>
    <t>Error relativo (%)</t>
  </si>
  <si>
    <t>Estas son medidas directamente con reglas</t>
  </si>
  <si>
    <t>La introducción de pérdidas es fundamental</t>
  </si>
  <si>
    <t>Re medio</t>
  </si>
  <si>
    <t>Re salida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</si>
</sst>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000"/>
    <numFmt numFmtId="166" formatCode="0.00000"/>
    <numFmt numFmtId="167" formatCode="0.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0" xfId="0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43"/>
  <sheetViews>
    <sheetView tabSelected="1" topLeftCell="C1" zoomScale="85" zoomScaleNormal="85" workbookViewId="0">
      <selection activeCell="E22" sqref="E22"/>
    </sheetView>
  </sheetViews>
  <sheetFormatPr baseColWidth="10" defaultRowHeight="15"/>
  <cols>
    <col min="2" max="2" width="23.7109375" bestFit="1" customWidth="1"/>
    <col min="3" max="3" width="25.140625" bestFit="1" customWidth="1"/>
    <col min="4" max="4" width="21.5703125" bestFit="1" customWidth="1"/>
    <col min="5" max="5" width="22.85546875" bestFit="1" customWidth="1"/>
    <col min="6" max="6" width="30.7109375" bestFit="1" customWidth="1"/>
    <col min="7" max="7" width="35.5703125" bestFit="1" customWidth="1"/>
    <col min="8" max="8" width="19.140625" bestFit="1" customWidth="1"/>
    <col min="9" max="9" width="23.42578125" bestFit="1" customWidth="1"/>
    <col min="10" max="10" width="17.140625" bestFit="1" customWidth="1"/>
    <col min="11" max="11" width="16.5703125" bestFit="1" customWidth="1"/>
  </cols>
  <sheetData>
    <row r="2" spans="2:11">
      <c r="B2" s="2" t="s">
        <v>1</v>
      </c>
      <c r="C2" s="2" t="s">
        <v>2</v>
      </c>
      <c r="D2" s="1"/>
      <c r="E2" s="2" t="s">
        <v>4</v>
      </c>
      <c r="F2" s="2" t="s">
        <v>7</v>
      </c>
      <c r="G2" s="1"/>
      <c r="H2" s="2" t="s">
        <v>8</v>
      </c>
      <c r="I2" s="2" t="s">
        <v>11</v>
      </c>
    </row>
    <row r="3" spans="2:11">
      <c r="B3" s="3">
        <f>0.02</f>
        <v>0.02</v>
      </c>
      <c r="C3" s="3">
        <f>0.001</f>
        <v>1E-3</v>
      </c>
      <c r="D3" s="1"/>
      <c r="E3" s="3">
        <f>0.045</f>
        <v>4.4999999999999998E-2</v>
      </c>
      <c r="F3" s="3">
        <f>0.001</f>
        <v>1E-3</v>
      </c>
      <c r="G3" s="1"/>
      <c r="H3" s="3">
        <f>0.025</f>
        <v>2.5000000000000001E-2</v>
      </c>
      <c r="I3" s="3">
        <f>0.001</f>
        <v>1E-3</v>
      </c>
    </row>
    <row r="4" spans="2:11">
      <c r="B4" s="1"/>
      <c r="C4" s="1"/>
      <c r="D4" s="1"/>
      <c r="E4" s="1"/>
      <c r="F4" s="1"/>
      <c r="G4" s="1"/>
      <c r="H4" s="1"/>
      <c r="I4" s="1"/>
    </row>
    <row r="5" spans="2:11">
      <c r="B5" s="2" t="s">
        <v>0</v>
      </c>
      <c r="C5" s="2" t="s">
        <v>3</v>
      </c>
      <c r="D5" s="1"/>
      <c r="E5" s="2" t="s">
        <v>5</v>
      </c>
      <c r="F5" s="2" t="s">
        <v>6</v>
      </c>
      <c r="G5" s="1"/>
      <c r="H5" s="2" t="s">
        <v>9</v>
      </c>
      <c r="I5" s="2" t="s">
        <v>10</v>
      </c>
    </row>
    <row r="6" spans="2:11">
      <c r="B6" s="4">
        <f>B3/2</f>
        <v>0.01</v>
      </c>
      <c r="C6" s="4">
        <f>C3/2</f>
        <v>5.0000000000000001E-4</v>
      </c>
      <c r="D6" s="1"/>
      <c r="E6" s="4">
        <f>E3/2</f>
        <v>2.2499999999999999E-2</v>
      </c>
      <c r="F6" s="4">
        <f>F3/2</f>
        <v>5.0000000000000001E-4</v>
      </c>
      <c r="G6" s="1"/>
      <c r="H6" s="4">
        <f>H3/2</f>
        <v>1.2500000000000001E-2</v>
      </c>
      <c r="I6" s="4">
        <f>I3/2</f>
        <v>5.0000000000000001E-4</v>
      </c>
    </row>
    <row r="7" spans="2:11">
      <c r="B7" s="1"/>
      <c r="C7" s="1"/>
      <c r="D7" s="1"/>
      <c r="E7" s="1"/>
      <c r="F7" s="1"/>
      <c r="G7" s="1"/>
      <c r="H7" s="1"/>
      <c r="I7" s="1"/>
    </row>
    <row r="8" spans="2:11">
      <c r="B8" s="2" t="s">
        <v>26</v>
      </c>
      <c r="C8" s="2" t="s">
        <v>27</v>
      </c>
      <c r="D8" s="1"/>
      <c r="E8" s="2" t="s">
        <v>29</v>
      </c>
      <c r="F8" s="2" t="s">
        <v>30</v>
      </c>
      <c r="G8" s="1"/>
      <c r="H8" s="2" t="s">
        <v>31</v>
      </c>
      <c r="I8" s="2" t="s">
        <v>32</v>
      </c>
    </row>
    <row r="9" spans="2:11">
      <c r="B9" s="8">
        <f>PI()*(B6)^2</f>
        <v>3.1415926535897931E-4</v>
      </c>
      <c r="C9" s="8">
        <f>2*PI()*B6*C6</f>
        <v>3.1415926535897935E-5</v>
      </c>
      <c r="E9" s="8">
        <f>PI()*(E6)^2</f>
        <v>1.5904312808798326E-3</v>
      </c>
      <c r="F9" s="8">
        <f>2*PI()*E6*F6</f>
        <v>7.0685834705770355E-5</v>
      </c>
      <c r="G9" s="1"/>
      <c r="H9" s="8">
        <f>PI()*(H6)^2</f>
        <v>4.9087385212340522E-4</v>
      </c>
      <c r="I9" s="8">
        <f>2*PI()*H6*I6</f>
        <v>3.9269908169872414E-5</v>
      </c>
    </row>
    <row r="10" spans="2:11">
      <c r="G10" s="1"/>
    </row>
    <row r="11" spans="2:11">
      <c r="B11" s="2" t="s">
        <v>12</v>
      </c>
      <c r="C11" s="2" t="s">
        <v>13</v>
      </c>
      <c r="D11" s="1"/>
      <c r="E11" s="2" t="s">
        <v>24</v>
      </c>
      <c r="F11" s="2" t="s">
        <v>25</v>
      </c>
      <c r="G11" s="1"/>
      <c r="I11" s="1"/>
    </row>
    <row r="12" spans="2:11">
      <c r="B12" s="2">
        <f>19/1000</f>
        <v>1.9E-2</v>
      </c>
      <c r="C12" s="2">
        <f>1/1000</f>
        <v>1E-3</v>
      </c>
      <c r="D12" s="1"/>
      <c r="E12" s="2">
        <v>1000</v>
      </c>
      <c r="F12" s="2">
        <v>0.4</v>
      </c>
      <c r="G12" s="1"/>
      <c r="I12" s="1"/>
    </row>
    <row r="13" spans="2:11">
      <c r="B13" s="1"/>
      <c r="C13" s="1"/>
      <c r="D13" s="1"/>
      <c r="E13" s="1"/>
      <c r="F13" s="1"/>
      <c r="G13" s="1"/>
      <c r="H13" s="1"/>
      <c r="I13" s="1"/>
    </row>
    <row r="14" spans="2:11">
      <c r="B14" s="2" t="s">
        <v>14</v>
      </c>
      <c r="C14" s="2" t="s">
        <v>15</v>
      </c>
      <c r="D14" s="1"/>
      <c r="E14" s="2" t="s">
        <v>28</v>
      </c>
      <c r="F14" s="1"/>
      <c r="G14" s="1"/>
    </row>
    <row r="15" spans="2:11">
      <c r="B15" s="2">
        <f>285/1000</f>
        <v>0.28499999999999998</v>
      </c>
      <c r="C15" s="2">
        <f>1/1000</f>
        <v>1E-3</v>
      </c>
      <c r="D15" s="1"/>
      <c r="E15" s="2">
        <v>9.81</v>
      </c>
      <c r="G15" s="1"/>
    </row>
    <row r="16" spans="2:11">
      <c r="B16" s="1"/>
      <c r="C16" s="1"/>
      <c r="D16" s="1"/>
      <c r="E16" s="1"/>
      <c r="F16" s="15" t="s">
        <v>23</v>
      </c>
      <c r="G16" s="15" t="s">
        <v>42</v>
      </c>
      <c r="I16" s="24" t="s">
        <v>40</v>
      </c>
      <c r="J16" s="24"/>
      <c r="K16" s="24"/>
    </row>
    <row r="17" spans="2:11">
      <c r="B17" s="2" t="s">
        <v>16</v>
      </c>
      <c r="C17" s="2" t="s">
        <v>17</v>
      </c>
      <c r="D17" s="1"/>
      <c r="E17" s="1"/>
      <c r="F17" s="16">
        <f>$B$26/($E$12*PI()*(H6)^2*$F$12)</f>
        <v>0.46930492226266024</v>
      </c>
      <c r="G17" s="16">
        <f>SQRT(((2*$B$26)/($E$12*PI()*$F$12)*(1/H6^3))^2*(I6)^2+(F17/$B$26)^2*($C$26)^2)</f>
        <v>3.908579203988484E-2</v>
      </c>
      <c r="I17" s="2" t="s">
        <v>33</v>
      </c>
      <c r="J17" s="2" t="s">
        <v>34</v>
      </c>
      <c r="K17" s="2" t="s">
        <v>35</v>
      </c>
    </row>
    <row r="18" spans="2:11">
      <c r="B18" s="4">
        <f>B15-B12</f>
        <v>0.26599999999999996</v>
      </c>
      <c r="C18" s="4">
        <f>SQRT(2)*C15</f>
        <v>1.4142135623730952E-3</v>
      </c>
      <c r="D18" s="1"/>
      <c r="E18" s="1"/>
      <c r="F18" s="1"/>
      <c r="I18" s="2">
        <f>1.45+16</f>
        <v>17.45</v>
      </c>
      <c r="J18" s="2">
        <f>6.26+11.5</f>
        <v>17.759999999999998</v>
      </c>
      <c r="K18" s="2">
        <f>5.21+10</f>
        <v>15.21</v>
      </c>
    </row>
    <row r="19" spans="2:11">
      <c r="F19" s="2" t="s">
        <v>36</v>
      </c>
      <c r="G19" s="2" t="s">
        <v>38</v>
      </c>
    </row>
    <row r="20" spans="2:11">
      <c r="B20" s="5" t="s">
        <v>18</v>
      </c>
      <c r="C20" s="6" t="s">
        <v>19</v>
      </c>
      <c r="D20" s="6" t="s">
        <v>20</v>
      </c>
      <c r="F20" s="4">
        <f>(1/(2*$E$15))*(F17^2)*(1-($H$9/$E$9)^2)</f>
        <v>1.0156289461014665E-2</v>
      </c>
      <c r="G20" s="4">
        <f>SQRT((F20/(2*F17))^2*(G17)^2+((F17^2/$E$15)*($H$9/$E$9^2))^2*($I$9)^2+((F17^2/$E$15)*($H$9^2/$E$9^3))^2*($F$9)^2)</f>
        <v>4.6602501696059087E-4</v>
      </c>
      <c r="I20" s="9" t="s">
        <v>44</v>
      </c>
      <c r="J20" s="9" t="s">
        <v>44</v>
      </c>
    </row>
    <row r="21" spans="2:11">
      <c r="B21" s="5">
        <v>2.89</v>
      </c>
      <c r="C21" s="6">
        <f>AVERAGE(B21:B23)</f>
        <v>2.8866666666666667</v>
      </c>
      <c r="D21" s="6">
        <f>STDEV(B21:B23)</f>
        <v>6.506407098647865E-2</v>
      </c>
      <c r="F21" s="1"/>
      <c r="G21" s="1"/>
      <c r="I21" s="9">
        <f>I18-J18</f>
        <v>-0.30999999999999872</v>
      </c>
      <c r="J21" s="9">
        <f>J18-K18</f>
        <v>2.5499999999999972</v>
      </c>
    </row>
    <row r="22" spans="2:11">
      <c r="B22" s="5">
        <v>2.95</v>
      </c>
      <c r="F22" s="18" t="s">
        <v>37</v>
      </c>
      <c r="G22" s="18" t="s">
        <v>39</v>
      </c>
      <c r="I22">
        <v>-0.72</v>
      </c>
      <c r="J22">
        <v>2.4300000000000002</v>
      </c>
      <c r="K22" t="s">
        <v>66</v>
      </c>
    </row>
    <row r="23" spans="2:11">
      <c r="B23" s="5">
        <v>2.82</v>
      </c>
      <c r="F23" s="19">
        <f>F20*100</f>
        <v>1.0156289461014665</v>
      </c>
      <c r="G23" s="19">
        <f>G20*100</f>
        <v>4.660250169605909E-2</v>
      </c>
    </row>
    <row r="25" spans="2:11">
      <c r="B25" s="5" t="s">
        <v>21</v>
      </c>
      <c r="C25" s="5" t="s">
        <v>22</v>
      </c>
    </row>
    <row r="26" spans="2:11">
      <c r="B26" s="7">
        <f>$B$18/C21</f>
        <v>9.2147806004618915E-2</v>
      </c>
      <c r="C26" s="7">
        <f>SQRT((1/C21)^2*($C$18)^2+(-B26/C21)^2*(D21)^2)</f>
        <v>2.1339648491860673E-3</v>
      </c>
      <c r="F26" s="15" t="s">
        <v>41</v>
      </c>
      <c r="G26" s="15" t="s">
        <v>43</v>
      </c>
    </row>
    <row r="27" spans="2:11">
      <c r="F27" s="17">
        <f>F17*$H$9/$E$9</f>
        <v>0.14484719822921616</v>
      </c>
      <c r="G27" s="17">
        <f>SQRT(($H$9/$E$9)^2*(G17)^2+(F17/$E$9)^2*($I$9)^2+(F17*$H$9/$E$9^2)^2*($F$9)^2)</f>
        <v>1.7923402259076199E-2</v>
      </c>
    </row>
    <row r="29" spans="2:11">
      <c r="B29" s="5" t="s">
        <v>51</v>
      </c>
      <c r="C29" s="6" t="s">
        <v>19</v>
      </c>
      <c r="D29" s="6" t="s">
        <v>20</v>
      </c>
      <c r="F29" s="2" t="s">
        <v>45</v>
      </c>
      <c r="G29" s="2" t="s">
        <v>46</v>
      </c>
      <c r="I29" s="23" t="s">
        <v>54</v>
      </c>
    </row>
    <row r="30" spans="2:11">
      <c r="B30" s="5">
        <v>1.63</v>
      </c>
      <c r="C30" s="6">
        <f>AVERAGE(B30:B32)</f>
        <v>1.6333333333333335</v>
      </c>
      <c r="D30" s="6">
        <f>STDEV(B30:B32)</f>
        <v>6.5064070986471823E-2</v>
      </c>
      <c r="F30" s="3">
        <f>(1/(2*$E$15))*(F27^2)*(1-($E$9/$B$9)^2)</f>
        <v>-2.6337001030070049E-2</v>
      </c>
      <c r="G30" s="3">
        <f>SQRT((F30/(2*F27))^2*(G27)^2+((F27^2/$E$15)*($E$9/$B$9^2))^2*($F$9)^2+((F27^2/$E$15)*($E$9^2/$B$9^3))^2*($C$9)^2)</f>
        <v>6.2156406725471357E-3</v>
      </c>
    </row>
    <row r="31" spans="2:11">
      <c r="B31" s="5">
        <v>1.57</v>
      </c>
      <c r="F31" s="1"/>
      <c r="G31" s="1"/>
    </row>
    <row r="32" spans="2:11">
      <c r="B32" s="5">
        <v>1.7</v>
      </c>
      <c r="F32" s="18" t="s">
        <v>47</v>
      </c>
      <c r="G32" s="18" t="s">
        <v>48</v>
      </c>
    </row>
    <row r="33" spans="2:7">
      <c r="F33" s="20">
        <f>F30*100</f>
        <v>-2.6337001030070049</v>
      </c>
      <c r="G33" s="20">
        <f>G30*100</f>
        <v>0.62156406725471358</v>
      </c>
    </row>
    <row r="34" spans="2:7">
      <c r="B34" s="5" t="s">
        <v>21</v>
      </c>
      <c r="C34" s="5" t="s">
        <v>22</v>
      </c>
    </row>
    <row r="35" spans="2:7">
      <c r="B35" s="11">
        <f>$B$18/C30</f>
        <v>0.16285714285714281</v>
      </c>
      <c r="C35" s="11">
        <f>SQRT((1/C30)^2*($C$18)^2+(-B35/C30)^2*(D30)^2)</f>
        <v>6.544962887373492E-3</v>
      </c>
    </row>
    <row r="36" spans="2:7">
      <c r="F36" s="15" t="s">
        <v>49</v>
      </c>
      <c r="G36" s="15" t="s">
        <v>50</v>
      </c>
    </row>
    <row r="37" spans="2:7">
      <c r="F37" s="16">
        <f>F27*$E$9/$B$9</f>
        <v>0.73328894103540676</v>
      </c>
      <c r="G37" s="16">
        <f>SQRT(($E$9/$B$9)^2*(G27)^2+(F27/$B$9)^2*($F$9)^2+(F27*$E$9/$B$9^2)^2*($C$9)^2)</f>
        <v>0.12113017379735985</v>
      </c>
    </row>
    <row r="39" spans="2:7">
      <c r="F39" s="2" t="s">
        <v>52</v>
      </c>
      <c r="G39" s="2" t="s">
        <v>53</v>
      </c>
    </row>
    <row r="40" spans="2:7">
      <c r="F40" s="10">
        <f>$B$35/($E$12*PI()*(B6)^2)</f>
        <v>0.51839038607074472</v>
      </c>
      <c r="G40" s="10">
        <f>SQRT(((2*$B$35)/($E$12*PI()*$F$12)*(1/B6^3))^2*(C6)^2+(F40/$B$35)^2*($C$35)^2)</f>
        <v>0.13126142582122174</v>
      </c>
    </row>
    <row r="41" spans="2:7">
      <c r="F41" s="12"/>
      <c r="G41" s="12"/>
    </row>
    <row r="42" spans="2:7">
      <c r="F42" s="12"/>
      <c r="G42" s="12"/>
    </row>
    <row r="43" spans="2:7">
      <c r="F43" s="14"/>
      <c r="G43" s="13"/>
    </row>
  </sheetData>
  <mergeCells count="1">
    <mergeCell ref="I16:K1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8"/>
  <sheetViews>
    <sheetView zoomScale="85" zoomScaleNormal="85" workbookViewId="0">
      <selection activeCell="I28" sqref="I28"/>
    </sheetView>
  </sheetViews>
  <sheetFormatPr baseColWidth="10" defaultRowHeight="15"/>
  <cols>
    <col min="2" max="2" width="25.28515625" customWidth="1"/>
    <col min="3" max="3" width="27.7109375" bestFit="1" customWidth="1"/>
    <col min="5" max="5" width="45.5703125" bestFit="1" customWidth="1"/>
    <col min="7" max="7" width="29.5703125" bestFit="1" customWidth="1"/>
    <col min="9" max="9" width="32" bestFit="1" customWidth="1"/>
  </cols>
  <sheetData>
    <row r="2" spans="2:10">
      <c r="B2" s="9" t="str">
        <f>'Primer Intento'!F36</f>
        <v>vel. entrada [m/s]</v>
      </c>
      <c r="C2" s="9" t="str">
        <f>'Primer Intento'!G36</f>
        <v>Error vel. entrada [m/s]</v>
      </c>
      <c r="E2" s="9" t="s">
        <v>56</v>
      </c>
      <c r="G2" s="9" t="s">
        <v>57</v>
      </c>
      <c r="J2" s="1"/>
    </row>
    <row r="3" spans="2:10">
      <c r="B3" s="9">
        <f>'Primer Intento'!F37</f>
        <v>0.73328894103540676</v>
      </c>
      <c r="C3" s="9">
        <f>'Primer Intento'!G37</f>
        <v>0.12113017379735985</v>
      </c>
      <c r="E3" s="9">
        <f>($B$21*B3*B6)/$B$24</f>
        <v>9654.8905995445275</v>
      </c>
      <c r="G3" s="3">
        <f>(-1.8*LOG10(6.9/E3+(($C$24/B6)^(1.11))/3.7))^-2</f>
        <v>3.1272090008396911E-2</v>
      </c>
      <c r="J3" s="1"/>
    </row>
    <row r="4" spans="2:10">
      <c r="B4" s="1"/>
      <c r="C4" s="1"/>
    </row>
    <row r="5" spans="2:10">
      <c r="B5" s="9" t="s">
        <v>1</v>
      </c>
      <c r="C5" s="9" t="s">
        <v>2</v>
      </c>
    </row>
    <row r="6" spans="2:10">
      <c r="B6" s="3">
        <f>0.02</f>
        <v>0.02</v>
      </c>
      <c r="C6" s="3">
        <f>0.001</f>
        <v>1E-3</v>
      </c>
    </row>
    <row r="7" spans="2:10">
      <c r="B7" s="1"/>
      <c r="C7" s="1"/>
    </row>
    <row r="8" spans="2:10">
      <c r="B8" s="9" t="str">
        <f>'Primer Intento'!F26</f>
        <v>vel. medio [m/s]</v>
      </c>
      <c r="C8" s="9" t="str">
        <f>'Primer Intento'!G26</f>
        <v>Error vel. medio [m/s]</v>
      </c>
      <c r="E8" s="21" t="s">
        <v>68</v>
      </c>
      <c r="G8" s="9" t="s">
        <v>63</v>
      </c>
    </row>
    <row r="9" spans="2:10">
      <c r="B9" s="9">
        <f>'Primer Intento'!F27</f>
        <v>0.14484719822921616</v>
      </c>
      <c r="C9" s="9">
        <f>'Primer Intento'!G27</f>
        <v>1.7923402259076199E-2</v>
      </c>
      <c r="E9" s="9">
        <f>($B$21*B9*B12)/$B$24</f>
        <v>4291.0624886864562</v>
      </c>
      <c r="G9" s="3">
        <f>(-1.8*LOG10(6.9/E9+(($C$24/B12)^(1.11))/3.7))^-2</f>
        <v>3.9567059476030148E-2</v>
      </c>
    </row>
    <row r="10" spans="2:10">
      <c r="B10" s="1"/>
      <c r="C10" s="1"/>
    </row>
    <row r="11" spans="2:10">
      <c r="B11" s="9" t="s">
        <v>4</v>
      </c>
      <c r="C11" s="9" t="s">
        <v>7</v>
      </c>
    </row>
    <row r="12" spans="2:10">
      <c r="B12" s="3">
        <f>0.045</f>
        <v>4.4999999999999998E-2</v>
      </c>
      <c r="C12" s="3">
        <f>0.001</f>
        <v>1E-3</v>
      </c>
    </row>
    <row r="13" spans="2:10">
      <c r="B13" s="1"/>
      <c r="C13" s="1"/>
    </row>
    <row r="14" spans="2:10">
      <c r="B14" s="9" t="str">
        <f>'Primer Intento'!F16</f>
        <v>vel. Salida [m/s]</v>
      </c>
      <c r="C14" s="9" t="str">
        <f>'Primer Intento'!G16</f>
        <v>Error vel. Salida [m/s]</v>
      </c>
      <c r="E14" s="21" t="s">
        <v>69</v>
      </c>
      <c r="G14" s="9" t="s">
        <v>62</v>
      </c>
    </row>
    <row r="15" spans="2:10">
      <c r="B15" s="9">
        <f>'Primer Intento'!F17</f>
        <v>0.46930492226266024</v>
      </c>
      <c r="C15" s="9">
        <f>'Primer Intento'!G17</f>
        <v>3.908579203988484E-2</v>
      </c>
      <c r="E15" s="9">
        <f>($B$21*B15*B18)/$B$24</f>
        <v>7723.91247963562</v>
      </c>
      <c r="G15" s="3">
        <f>(-1.8*LOG10(6.9/E15+(($C$24/B18)^(1.11))/3.7))^-2</f>
        <v>3.3259238324125889E-2</v>
      </c>
    </row>
    <row r="16" spans="2:10">
      <c r="B16" s="1"/>
      <c r="C16" s="1"/>
    </row>
    <row r="17" spans="2:9">
      <c r="B17" s="9" t="s">
        <v>8</v>
      </c>
      <c r="C17" s="9" t="s">
        <v>11</v>
      </c>
      <c r="E17" s="1"/>
    </row>
    <row r="18" spans="2:9">
      <c r="B18" s="3">
        <f>0.025</f>
        <v>2.5000000000000001E-2</v>
      </c>
      <c r="C18" s="3">
        <f>0.001</f>
        <v>1E-3</v>
      </c>
      <c r="E18" s="9" t="s">
        <v>59</v>
      </c>
      <c r="G18" s="9" t="s">
        <v>61</v>
      </c>
      <c r="I18" s="5" t="s">
        <v>64</v>
      </c>
    </row>
    <row r="19" spans="2:9">
      <c r="B19" s="1"/>
      <c r="C19" s="1"/>
      <c r="E19" s="9">
        <v>0.38</v>
      </c>
      <c r="G19" s="9">
        <f>(1/(2*$C$21))*(B9^2*(G9*(0.185/B12)+0.2)+B15^2*(G15*(0.14/B18)+0.38+0.55))</f>
        <v>1.2918459698584366E-2</v>
      </c>
      <c r="I19" s="9">
        <f>(1/(2*$C$21))*(B3^2*(G3*(0.15/B6)+(1-(B6/B12)^2)^2)+B9^2*(G9*(0.13/B12)+0.2))</f>
        <v>2.4412513581235171E-2</v>
      </c>
    </row>
    <row r="20" spans="2:9">
      <c r="B20" s="9" t="s">
        <v>24</v>
      </c>
      <c r="C20" s="9" t="s">
        <v>28</v>
      </c>
      <c r="E20" s="1"/>
      <c r="G20">
        <f>G19*100</f>
        <v>1.2918459698584366</v>
      </c>
      <c r="I20">
        <f>I19*100</f>
        <v>2.4412513581235173</v>
      </c>
    </row>
    <row r="21" spans="2:9">
      <c r="B21" s="9">
        <v>1000</v>
      </c>
      <c r="C21" s="9">
        <v>9.81</v>
      </c>
      <c r="E21" s="9" t="s">
        <v>60</v>
      </c>
      <c r="G21" s="9" t="str">
        <f>'Primer Intento'!F19</f>
        <v>Dif alturas medio-salida [m]</v>
      </c>
      <c r="I21" s="9" t="str">
        <f>'Primer Intento'!F29</f>
        <v>Dif alturas entrada-medio [m]</v>
      </c>
    </row>
    <row r="22" spans="2:9">
      <c r="B22" s="1"/>
      <c r="C22" s="1"/>
      <c r="E22" s="9">
        <v>0.9</v>
      </c>
      <c r="G22" s="4">
        <f>'Primer Intento'!F20+G19</f>
        <v>2.307474915959903E-2</v>
      </c>
      <c r="I22" s="4">
        <f>'Primer Intento'!F30+I19</f>
        <v>-1.924487448834878E-3</v>
      </c>
    </row>
    <row r="23" spans="2:9">
      <c r="B23" s="9" t="s">
        <v>55</v>
      </c>
      <c r="C23" s="9" t="s">
        <v>58</v>
      </c>
    </row>
    <row r="24" spans="2:9">
      <c r="B24" s="9">
        <f>0.001519</f>
        <v>1.519E-3</v>
      </c>
      <c r="C24" s="9">
        <f>0.0000015</f>
        <v>1.5E-6</v>
      </c>
      <c r="E24" s="23" t="s">
        <v>67</v>
      </c>
      <c r="G24" s="18" t="str">
        <f>'Primer Intento'!F22</f>
        <v>Dif alturas medio-salida [cm]</v>
      </c>
      <c r="I24" s="18" t="s">
        <v>47</v>
      </c>
    </row>
    <row r="25" spans="2:9">
      <c r="G25" s="19">
        <f>G22*100</f>
        <v>2.3074749159599031</v>
      </c>
      <c r="I25" s="22">
        <f>I22*100</f>
        <v>-0.19244874488348779</v>
      </c>
    </row>
    <row r="27" spans="2:9">
      <c r="G27" s="9" t="s">
        <v>65</v>
      </c>
      <c r="I27" s="9" t="s">
        <v>65</v>
      </c>
    </row>
    <row r="28" spans="2:9">
      <c r="G28" s="10">
        <f>100*(ABS(G25-'Primer Intento'!J21)/'Primer Intento'!J21)</f>
        <v>9.5107876094154644</v>
      </c>
      <c r="I28" s="10">
        <f>100*(ABS(I25-'Primer Intento'!I21)/ABS('Primer Intento'!I21))</f>
        <v>37.919759715003678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Primer Intento</vt:lpstr>
      <vt:lpstr>Segundo Intento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2020-12-14T16:59:06Z</dcterms:created>
  <dcterms:modified xsi:type="dcterms:W3CDTF">2020-12-16T15:01:02Z</dcterms:modified>
</cp:coreProperties>
</file>