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chen/Dev/embedded/hardware/uwam_pdm_2021/"/>
    </mc:Choice>
  </mc:AlternateContent>
  <xr:revisionPtr revIDLastSave="0" documentId="13_ncr:1_{911DC2F0-12AF-6548-9AD3-DC8EBA5CDB06}" xr6:coauthVersionLast="47" xr6:coauthVersionMax="47" xr10:uidLastSave="{00000000-0000-0000-0000-000000000000}"/>
  <bookViews>
    <workbookView xWindow="0" yWindow="500" windowWidth="13620" windowHeight="15980" activeTab="1" xr2:uid="{425639F6-C644-3144-948A-78E80C3DAE64}"/>
  </bookViews>
  <sheets>
    <sheet name="Sheet1" sheetId="1" r:id="rId1"/>
    <sheet name="Buck Converter 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K4" i="2"/>
  <c r="K8" i="2"/>
  <c r="K7" i="2"/>
  <c r="G3" i="2"/>
  <c r="K2" i="2" s="1"/>
  <c r="G7" i="2"/>
  <c r="K6" i="2" s="1"/>
  <c r="B58" i="1"/>
  <c r="B62" i="1" s="1"/>
  <c r="B63" i="1" s="1"/>
  <c r="B46" i="1"/>
  <c r="B47" i="1" s="1"/>
  <c r="B48" i="1" s="1"/>
  <c r="C48" i="1" s="1"/>
  <c r="B53" i="1"/>
  <c r="B52" i="1" s="1"/>
  <c r="B43" i="1"/>
  <c r="B38" i="1"/>
  <c r="B37" i="1"/>
  <c r="B32" i="1"/>
  <c r="B26" i="1"/>
  <c r="B25" i="1"/>
  <c r="B24" i="1"/>
  <c r="B22" i="1"/>
  <c r="B15" i="1"/>
  <c r="C15" i="1" s="1"/>
  <c r="D15" i="1" s="1"/>
  <c r="B16" i="1"/>
  <c r="C16" i="1" s="1"/>
  <c r="F16" i="1" s="1"/>
  <c r="B17" i="1"/>
  <c r="C17" i="1" s="1"/>
  <c r="F17" i="1" s="1"/>
  <c r="B13" i="1"/>
  <c r="C13" i="1" s="1"/>
  <c r="F13" i="1" s="1"/>
  <c r="F14" i="1"/>
  <c r="F23" i="1" s="1"/>
  <c r="D5" i="1"/>
  <c r="D14" i="1" s="1"/>
  <c r="D23" i="1" s="1"/>
  <c r="E4" i="1"/>
  <c r="F4" i="1"/>
  <c r="D4" i="1"/>
  <c r="D7" i="1"/>
  <c r="E7" i="1"/>
  <c r="F7" i="1"/>
  <c r="D8" i="1"/>
  <c r="E8" i="1"/>
  <c r="F8" i="1"/>
  <c r="E6" i="1"/>
  <c r="F6" i="1"/>
  <c r="D6" i="1"/>
  <c r="G4" i="2" l="1"/>
  <c r="G5" i="2" s="1"/>
  <c r="K5" i="2" s="1"/>
  <c r="G2" i="2"/>
  <c r="B55" i="1"/>
  <c r="B59" i="1" s="1"/>
  <c r="B61" i="1"/>
  <c r="C22" i="1"/>
  <c r="F22" i="1" s="1"/>
  <c r="C26" i="1"/>
  <c r="F26" i="1" s="1"/>
  <c r="E16" i="1"/>
  <c r="C25" i="1"/>
  <c r="F25" i="1" s="1"/>
  <c r="C24" i="1"/>
  <c r="F24" i="1" s="1"/>
  <c r="F15" i="1"/>
  <c r="F18" i="1" s="1"/>
  <c r="D16" i="1"/>
  <c r="E15" i="1"/>
  <c r="D17" i="1"/>
  <c r="E17" i="1"/>
  <c r="D13" i="1"/>
  <c r="E13" i="1"/>
  <c r="E9" i="1"/>
  <c r="F9" i="1"/>
  <c r="D9" i="1"/>
  <c r="G6" i="2" l="1"/>
  <c r="K3" i="2"/>
  <c r="E22" i="1"/>
  <c r="D24" i="1"/>
  <c r="F27" i="1"/>
  <c r="E18" i="1"/>
  <c r="D26" i="1"/>
  <c r="D25" i="1"/>
  <c r="E24" i="1"/>
  <c r="D22" i="1"/>
  <c r="E26" i="1"/>
  <c r="E25" i="1"/>
  <c r="D18" i="1"/>
  <c r="D27" i="1" l="1"/>
  <c r="E27" i="1"/>
</calcChain>
</file>

<file path=xl/sharedStrings.xml><?xml version="1.0" encoding="utf-8"?>
<sst xmlns="http://schemas.openxmlformats.org/spreadsheetml/2006/main" count="158" uniqueCount="80">
  <si>
    <t>vref</t>
  </si>
  <si>
    <t>vdac</t>
  </si>
  <si>
    <t>r1</t>
  </si>
  <si>
    <t>r2</t>
  </si>
  <si>
    <t>r3</t>
  </si>
  <si>
    <t>vout</t>
  </si>
  <si>
    <t>variable</t>
  </si>
  <si>
    <t>min</t>
  </si>
  <si>
    <t>max</t>
  </si>
  <si>
    <t>constants</t>
  </si>
  <si>
    <t>Tolerance</t>
  </si>
  <si>
    <t>typ</t>
  </si>
  <si>
    <t>SUPPLY CALCS</t>
  </si>
  <si>
    <t>MOSFET POWER REQUIREMNT</t>
  </si>
  <si>
    <t>Rds</t>
  </si>
  <si>
    <t>current</t>
  </si>
  <si>
    <t>power</t>
  </si>
  <si>
    <t>Shunt Resistor</t>
  </si>
  <si>
    <t>R</t>
  </si>
  <si>
    <t>V</t>
  </si>
  <si>
    <t>Current</t>
  </si>
  <si>
    <t>Power</t>
  </si>
  <si>
    <t>W</t>
  </si>
  <si>
    <t>A</t>
  </si>
  <si>
    <t>Ohm</t>
  </si>
  <si>
    <t>ton</t>
  </si>
  <si>
    <t>rt</t>
  </si>
  <si>
    <t>vin</t>
  </si>
  <si>
    <t>output</t>
  </si>
  <si>
    <t>Radj</t>
  </si>
  <si>
    <t>Rsense</t>
  </si>
  <si>
    <t>Icl</t>
  </si>
  <si>
    <t>vin max</t>
  </si>
  <si>
    <t>ripple current</t>
  </si>
  <si>
    <t>l</t>
  </si>
  <si>
    <t>cff</t>
  </si>
  <si>
    <t>Cout</t>
  </si>
  <si>
    <t>Input Parameters</t>
  </si>
  <si>
    <t>Output Parameters</t>
  </si>
  <si>
    <t>Vripple</t>
  </si>
  <si>
    <t>Iripple</t>
  </si>
  <si>
    <t>Ton</t>
  </si>
  <si>
    <t>Rt</t>
  </si>
  <si>
    <t>frequency</t>
  </si>
  <si>
    <t>Tondelay</t>
  </si>
  <si>
    <t>Toffdelay</t>
  </si>
  <si>
    <t>Intermediate Parameters</t>
  </si>
  <si>
    <t>Circuit</t>
  </si>
  <si>
    <t>MOSFET</t>
  </si>
  <si>
    <t>L1</t>
  </si>
  <si>
    <t>Hz</t>
  </si>
  <si>
    <t>s</t>
  </si>
  <si>
    <t>kOhm</t>
  </si>
  <si>
    <t>Rsen</t>
  </si>
  <si>
    <t>Config</t>
  </si>
  <si>
    <t>Current Sense</t>
  </si>
  <si>
    <t>Icurrentlimit</t>
  </si>
  <si>
    <t>uH</t>
  </si>
  <si>
    <t>Iout min</t>
  </si>
  <si>
    <t>Iout max</t>
  </si>
  <si>
    <t>Vin min</t>
  </si>
  <si>
    <t>Vin max</t>
  </si>
  <si>
    <t>Vin nominal</t>
  </si>
  <si>
    <t>Current Sense Voltage</t>
  </si>
  <si>
    <t>uF</t>
  </si>
  <si>
    <t>Cin + Cbyp</t>
  </si>
  <si>
    <t>Output</t>
  </si>
  <si>
    <t>Input</t>
  </si>
  <si>
    <t>Vout min</t>
  </si>
  <si>
    <t>Vout max</t>
  </si>
  <si>
    <t>ratio</t>
  </si>
  <si>
    <t>Diode</t>
  </si>
  <si>
    <t>Vfwd</t>
  </si>
  <si>
    <t>Diode Power</t>
  </si>
  <si>
    <t>nC</t>
  </si>
  <si>
    <t>Pdiss max</t>
  </si>
  <si>
    <t>min duty cycle</t>
  </si>
  <si>
    <t>Total Gate Charge</t>
  </si>
  <si>
    <t>Mosfet Power</t>
  </si>
  <si>
    <t>Diode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</si>
</sst>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07CE-1F7A-A649-89C3-4BF3FFC10B5E}">
  <dimension ref="A1:H63"/>
  <sheetViews>
    <sheetView topLeftCell="A21" zoomScale="125" zoomScaleNormal="125" workbookViewId="0">
      <selection activeCell="C38" sqref="C38"/>
    </sheetView>
  </sheetViews>
  <sheetFormatPr baseColWidth="10" defaultRowHeight="16" x14ac:dyDescent="0.2"/>
  <cols>
    <col min="3" max="3" width="11.1640625" bestFit="1" customWidth="1"/>
    <col min="9" max="9" width="12.83203125" bestFit="1" customWidth="1"/>
  </cols>
  <sheetData>
    <row r="1" spans="1:8" x14ac:dyDescent="0.2">
      <c r="A1" s="2" t="s">
        <v>12</v>
      </c>
    </row>
    <row r="2" spans="1:8" x14ac:dyDescent="0.2">
      <c r="A2" s="2" t="s">
        <v>11</v>
      </c>
    </row>
    <row r="3" spans="1:8" x14ac:dyDescent="0.2">
      <c r="A3" s="2"/>
      <c r="B3" s="2" t="s">
        <v>10</v>
      </c>
      <c r="C3" s="2" t="s">
        <v>9</v>
      </c>
      <c r="D3" s="2" t="s">
        <v>6</v>
      </c>
      <c r="E3" s="2" t="s">
        <v>8</v>
      </c>
      <c r="F3" s="2" t="s">
        <v>7</v>
      </c>
      <c r="H3" s="2"/>
    </row>
    <row r="4" spans="1:8" x14ac:dyDescent="0.2">
      <c r="A4" t="s">
        <v>0</v>
      </c>
      <c r="B4" s="1">
        <v>0.01</v>
      </c>
      <c r="C4">
        <v>1.25</v>
      </c>
      <c r="D4">
        <f>$C4</f>
        <v>1.25</v>
      </c>
      <c r="E4">
        <f t="shared" ref="E4:F4" si="0">$C4</f>
        <v>1.25</v>
      </c>
      <c r="F4">
        <f t="shared" si="0"/>
        <v>1.25</v>
      </c>
    </row>
    <row r="5" spans="1:8" x14ac:dyDescent="0.2">
      <c r="A5" t="s">
        <v>1</v>
      </c>
      <c r="C5">
        <v>3.3</v>
      </c>
      <c r="D5">
        <f>C5</f>
        <v>3.3</v>
      </c>
      <c r="E5">
        <v>0</v>
      </c>
      <c r="F5">
        <v>3.3</v>
      </c>
    </row>
    <row r="6" spans="1:8" x14ac:dyDescent="0.2">
      <c r="A6" t="s">
        <v>2</v>
      </c>
      <c r="B6" s="1">
        <v>0.05</v>
      </c>
      <c r="C6">
        <v>44000</v>
      </c>
      <c r="D6">
        <f>$C6</f>
        <v>44000</v>
      </c>
      <c r="E6">
        <f t="shared" ref="E6:F8" si="1">$C6</f>
        <v>44000</v>
      </c>
      <c r="F6">
        <f t="shared" si="1"/>
        <v>44000</v>
      </c>
    </row>
    <row r="7" spans="1:8" x14ac:dyDescent="0.2">
      <c r="A7" t="s">
        <v>3</v>
      </c>
      <c r="B7" s="1">
        <v>0.05</v>
      </c>
      <c r="C7">
        <v>8000</v>
      </c>
      <c r="D7">
        <f t="shared" ref="D7:D8" si="2">$C7</f>
        <v>8000</v>
      </c>
      <c r="E7">
        <f t="shared" si="1"/>
        <v>8000</v>
      </c>
      <c r="F7">
        <f t="shared" si="1"/>
        <v>8000</v>
      </c>
    </row>
    <row r="8" spans="1:8" x14ac:dyDescent="0.2">
      <c r="A8" t="s">
        <v>4</v>
      </c>
      <c r="B8" s="1">
        <v>0.05</v>
      </c>
      <c r="C8">
        <v>11500</v>
      </c>
      <c r="D8">
        <f t="shared" si="2"/>
        <v>11500</v>
      </c>
      <c r="E8">
        <f t="shared" si="1"/>
        <v>11500</v>
      </c>
      <c r="F8">
        <f t="shared" si="1"/>
        <v>11500</v>
      </c>
    </row>
    <row r="9" spans="1:8" x14ac:dyDescent="0.2">
      <c r="A9" t="s">
        <v>5</v>
      </c>
      <c r="D9">
        <f>D4*(1+D6/D7+D6/D8)-D5*(D6/D8)</f>
        <v>0.28152173913043299</v>
      </c>
      <c r="E9">
        <f>E4*(1+E6/E7+E6/E8)-E5*(E6/E8)</f>
        <v>12.907608695652172</v>
      </c>
      <c r="F9">
        <f>F4*(1+F6/F7+F6/F8)-F5*(F6/F8)</f>
        <v>0.28152173913043299</v>
      </c>
    </row>
    <row r="11" spans="1:8" x14ac:dyDescent="0.2">
      <c r="A11" s="2" t="s">
        <v>8</v>
      </c>
    </row>
    <row r="12" spans="1:8" x14ac:dyDescent="0.2">
      <c r="B12" t="s">
        <v>10</v>
      </c>
      <c r="C12" t="s">
        <v>9</v>
      </c>
      <c r="D12" t="s">
        <v>6</v>
      </c>
      <c r="E12" t="s">
        <v>8</v>
      </c>
      <c r="F12" t="s">
        <v>7</v>
      </c>
    </row>
    <row r="13" spans="1:8" x14ac:dyDescent="0.2">
      <c r="A13" t="s">
        <v>0</v>
      </c>
      <c r="B13" s="1">
        <f>$B4</f>
        <v>0.01</v>
      </c>
      <c r="C13">
        <f>$C4*(1+$B13)</f>
        <v>1.2625</v>
      </c>
      <c r="D13">
        <f>$C13</f>
        <v>1.2625</v>
      </c>
      <c r="E13">
        <f t="shared" ref="E13:F13" si="3">$C13</f>
        <v>1.2625</v>
      </c>
      <c r="F13">
        <f t="shared" si="3"/>
        <v>1.2625</v>
      </c>
    </row>
    <row r="14" spans="1:8" x14ac:dyDescent="0.2">
      <c r="A14" t="s">
        <v>1</v>
      </c>
      <c r="B14" s="1"/>
      <c r="D14">
        <f>$D5</f>
        <v>3.3</v>
      </c>
      <c r="E14">
        <v>0</v>
      </c>
      <c r="F14">
        <f>$F5</f>
        <v>3.3</v>
      </c>
    </row>
    <row r="15" spans="1:8" x14ac:dyDescent="0.2">
      <c r="A15" t="s">
        <v>2</v>
      </c>
      <c r="B15" s="1">
        <f t="shared" ref="B15:B17" si="4">$B6</f>
        <v>0.05</v>
      </c>
      <c r="C15">
        <f>$C6*(1+$B15)</f>
        <v>46200</v>
      </c>
      <c r="D15">
        <f>$C15</f>
        <v>46200</v>
      </c>
      <c r="E15">
        <f t="shared" ref="E15:F17" si="5">$C15</f>
        <v>46200</v>
      </c>
      <c r="F15">
        <f t="shared" si="5"/>
        <v>46200</v>
      </c>
    </row>
    <row r="16" spans="1:8" x14ac:dyDescent="0.2">
      <c r="A16" t="s">
        <v>3</v>
      </c>
      <c r="B16" s="1">
        <f t="shared" si="4"/>
        <v>0.05</v>
      </c>
      <c r="C16">
        <f>$C7*(1+$B16)</f>
        <v>8400</v>
      </c>
      <c r="D16">
        <f t="shared" ref="D16:D17" si="6">$C16</f>
        <v>8400</v>
      </c>
      <c r="E16">
        <f t="shared" si="5"/>
        <v>8400</v>
      </c>
      <c r="F16">
        <f t="shared" si="5"/>
        <v>8400</v>
      </c>
    </row>
    <row r="17" spans="1:6" x14ac:dyDescent="0.2">
      <c r="A17" t="s">
        <v>4</v>
      </c>
      <c r="B17" s="1">
        <f t="shared" si="4"/>
        <v>0.05</v>
      </c>
      <c r="C17">
        <f>$C8*(1+$B17)</f>
        <v>12075</v>
      </c>
      <c r="D17">
        <f t="shared" si="6"/>
        <v>12075</v>
      </c>
      <c r="E17">
        <f t="shared" si="5"/>
        <v>12075</v>
      </c>
      <c r="F17">
        <f t="shared" si="5"/>
        <v>12075</v>
      </c>
    </row>
    <row r="18" spans="1:6" x14ac:dyDescent="0.2">
      <c r="A18" t="s">
        <v>5</v>
      </c>
      <c r="D18">
        <f>D13*(1+D15/D16+D15/D17)-D14*(D15/D17)</f>
        <v>0.4105978260869545</v>
      </c>
      <c r="E18">
        <f>E13*(1+E15/E16+E15/E17)-E14*(E15/E17)</f>
        <v>13.036684782608694</v>
      </c>
      <c r="F18">
        <f>F13*(1+F15/F16+F15/F17)-F14*(F15/F17)</f>
        <v>0.4105978260869545</v>
      </c>
    </row>
    <row r="20" spans="1:6" x14ac:dyDescent="0.2">
      <c r="A20" s="2" t="s">
        <v>7</v>
      </c>
    </row>
    <row r="21" spans="1:6" x14ac:dyDescent="0.2">
      <c r="B21" t="s">
        <v>10</v>
      </c>
      <c r="C21" t="s">
        <v>9</v>
      </c>
      <c r="D21" t="s">
        <v>6</v>
      </c>
      <c r="E21" t="s">
        <v>8</v>
      </c>
      <c r="F21" t="s">
        <v>7</v>
      </c>
    </row>
    <row r="22" spans="1:6" x14ac:dyDescent="0.2">
      <c r="A22" t="s">
        <v>0</v>
      </c>
      <c r="B22" s="1">
        <f>$B4</f>
        <v>0.01</v>
      </c>
      <c r="C22">
        <f>$C13*(1-$B22)</f>
        <v>1.2498749999999998</v>
      </c>
      <c r="D22">
        <f>$C22</f>
        <v>1.2498749999999998</v>
      </c>
      <c r="E22">
        <f t="shared" ref="E22:F22" si="7">$C22</f>
        <v>1.2498749999999998</v>
      </c>
      <c r="F22">
        <f t="shared" si="7"/>
        <v>1.2498749999999998</v>
      </c>
    </row>
    <row r="23" spans="1:6" x14ac:dyDescent="0.2">
      <c r="A23" t="s">
        <v>1</v>
      </c>
      <c r="D23">
        <f>$D14</f>
        <v>3.3</v>
      </c>
      <c r="E23">
        <v>0</v>
      </c>
      <c r="F23">
        <f>$F14</f>
        <v>3.3</v>
      </c>
    </row>
    <row r="24" spans="1:6" x14ac:dyDescent="0.2">
      <c r="A24" t="s">
        <v>2</v>
      </c>
      <c r="B24" s="1">
        <f t="shared" ref="B24:B26" si="8">$B6</f>
        <v>0.05</v>
      </c>
      <c r="C24">
        <f>$C15*(1-$B24)</f>
        <v>43890</v>
      </c>
      <c r="D24">
        <f>$C24</f>
        <v>43890</v>
      </c>
      <c r="E24">
        <f t="shared" ref="E24:F26" si="9">$C24</f>
        <v>43890</v>
      </c>
      <c r="F24">
        <f t="shared" si="9"/>
        <v>43890</v>
      </c>
    </row>
    <row r="25" spans="1:6" x14ac:dyDescent="0.2">
      <c r="A25" t="s">
        <v>3</v>
      </c>
      <c r="B25" s="1">
        <f t="shared" si="8"/>
        <v>0.05</v>
      </c>
      <c r="C25">
        <f>$C16*(1-$B25)</f>
        <v>7980</v>
      </c>
      <c r="D25">
        <f t="shared" ref="D25:D26" si="10">$C25</f>
        <v>7980</v>
      </c>
      <c r="E25">
        <f t="shared" si="9"/>
        <v>7980</v>
      </c>
      <c r="F25">
        <f t="shared" si="9"/>
        <v>7980</v>
      </c>
    </row>
    <row r="26" spans="1:6" x14ac:dyDescent="0.2">
      <c r="A26" t="s">
        <v>4</v>
      </c>
      <c r="B26" s="1">
        <f t="shared" si="8"/>
        <v>0.05</v>
      </c>
      <c r="C26">
        <f>$C17*(1-$B26)</f>
        <v>11471.25</v>
      </c>
      <c r="D26">
        <f t="shared" si="10"/>
        <v>11471.25</v>
      </c>
      <c r="E26">
        <f t="shared" si="9"/>
        <v>11471.25</v>
      </c>
      <c r="F26">
        <f t="shared" si="9"/>
        <v>11471.25</v>
      </c>
    </row>
    <row r="27" spans="1:6" x14ac:dyDescent="0.2">
      <c r="A27" t="s">
        <v>5</v>
      </c>
      <c r="D27">
        <f>D22*(1+D24/D25+D24/D26)-D23*(D24/D26)</f>
        <v>0.2802309782608674</v>
      </c>
      <c r="E27">
        <f>E22*(1+E24/E25+E24/E26)-E23*(E24/E26)</f>
        <v>12.906317934782606</v>
      </c>
      <c r="F27">
        <f>F22*(1+F24/F25+F24/F26)-F23*(F24/F26)</f>
        <v>0.2802309782608674</v>
      </c>
    </row>
    <row r="29" spans="1:6" x14ac:dyDescent="0.2">
      <c r="A29" s="2" t="s">
        <v>13</v>
      </c>
    </row>
    <row r="30" spans="1:6" x14ac:dyDescent="0.2">
      <c r="A30" s="3" t="s">
        <v>14</v>
      </c>
      <c r="B30" s="3">
        <v>5.5000000000000003E-4</v>
      </c>
    </row>
    <row r="31" spans="1:6" x14ac:dyDescent="0.2">
      <c r="A31" t="s">
        <v>15</v>
      </c>
      <c r="B31">
        <v>10</v>
      </c>
    </row>
    <row r="32" spans="1:6" x14ac:dyDescent="0.2">
      <c r="A32" t="s">
        <v>16</v>
      </c>
      <c r="B32" s="3">
        <f>B31^2*B30</f>
        <v>5.5E-2</v>
      </c>
    </row>
    <row r="34" spans="1:3" x14ac:dyDescent="0.2">
      <c r="A34" s="2" t="s">
        <v>17</v>
      </c>
    </row>
    <row r="35" spans="1:3" x14ac:dyDescent="0.2">
      <c r="A35" s="3" t="s">
        <v>18</v>
      </c>
      <c r="B35" s="3">
        <v>2.0000000000000001E-4</v>
      </c>
      <c r="C35" t="s">
        <v>24</v>
      </c>
    </row>
    <row r="36" spans="1:3" x14ac:dyDescent="0.2">
      <c r="A36" t="s">
        <v>20</v>
      </c>
      <c r="B36">
        <v>10</v>
      </c>
      <c r="C36" t="s">
        <v>23</v>
      </c>
    </row>
    <row r="37" spans="1:3" x14ac:dyDescent="0.2">
      <c r="A37" t="s">
        <v>19</v>
      </c>
      <c r="B37" s="3">
        <f>B36*B35</f>
        <v>2E-3</v>
      </c>
      <c r="C37" t="s">
        <v>19</v>
      </c>
    </row>
    <row r="38" spans="1:3" x14ac:dyDescent="0.2">
      <c r="A38" t="s">
        <v>21</v>
      </c>
      <c r="B38" s="3">
        <f>B36^2*B35</f>
        <v>0.02</v>
      </c>
      <c r="C38" t="s">
        <v>22</v>
      </c>
    </row>
    <row r="41" spans="1:3" x14ac:dyDescent="0.2">
      <c r="A41" t="s">
        <v>27</v>
      </c>
      <c r="B41">
        <v>18</v>
      </c>
    </row>
    <row r="42" spans="1:3" x14ac:dyDescent="0.2">
      <c r="A42" t="s">
        <v>26</v>
      </c>
      <c r="B42">
        <v>100000</v>
      </c>
    </row>
    <row r="43" spans="1:3" x14ac:dyDescent="0.2">
      <c r="A43" t="s">
        <v>25</v>
      </c>
      <c r="B43">
        <f>(0.000000145*(B42+1.4))/(B41-1.56+B42/3167)+0.00000005</f>
        <v>3.0203926739323081E-4</v>
      </c>
    </row>
    <row r="45" spans="1:3" x14ac:dyDescent="0.2">
      <c r="A45" t="s">
        <v>27</v>
      </c>
      <c r="B45">
        <v>18</v>
      </c>
    </row>
    <row r="46" spans="1:3" x14ac:dyDescent="0.2">
      <c r="A46" t="s">
        <v>26</v>
      </c>
      <c r="B46">
        <f>B42</f>
        <v>100000</v>
      </c>
    </row>
    <row r="47" spans="1:3" x14ac:dyDescent="0.2">
      <c r="A47" t="s">
        <v>25</v>
      </c>
      <c r="B47" s="3">
        <f>(0.000000145*B46-0.000000203)/(B45-1.56+B46/3167)*1000</f>
        <v>0.30198081181212194</v>
      </c>
    </row>
    <row r="48" spans="1:3" x14ac:dyDescent="0.2">
      <c r="A48" t="s">
        <v>28</v>
      </c>
      <c r="B48" s="3">
        <f>B47/1000</f>
        <v>3.0198081181212195E-4</v>
      </c>
      <c r="C48" s="4">
        <f>1/B48</f>
        <v>3311.468679083333</v>
      </c>
    </row>
    <row r="50" spans="1:2" x14ac:dyDescent="0.2">
      <c r="A50" t="s">
        <v>29</v>
      </c>
      <c r="B50">
        <v>330</v>
      </c>
    </row>
    <row r="51" spans="1:2" x14ac:dyDescent="0.2">
      <c r="A51" t="s">
        <v>30</v>
      </c>
      <c r="B51">
        <v>1E-3</v>
      </c>
    </row>
    <row r="52" spans="1:2" x14ac:dyDescent="0.2">
      <c r="A52" t="s">
        <v>21</v>
      </c>
      <c r="B52">
        <f>B53^2*B51</f>
        <v>0.17424000000000003</v>
      </c>
    </row>
    <row r="53" spans="1:2" x14ac:dyDescent="0.2">
      <c r="A53" t="s">
        <v>31</v>
      </c>
      <c r="B53">
        <f>0.00004*B50/B51</f>
        <v>13.200000000000001</v>
      </c>
    </row>
    <row r="55" spans="1:2" x14ac:dyDescent="0.2">
      <c r="A55" t="s">
        <v>25</v>
      </c>
      <c r="B55" s="3">
        <f>B48</f>
        <v>3.0198081181212195E-4</v>
      </c>
    </row>
    <row r="56" spans="1:2" x14ac:dyDescent="0.2">
      <c r="A56" t="s">
        <v>32</v>
      </c>
      <c r="B56">
        <v>18</v>
      </c>
    </row>
    <row r="57" spans="1:2" x14ac:dyDescent="0.2">
      <c r="A57" t="s">
        <v>5</v>
      </c>
      <c r="B57">
        <v>6</v>
      </c>
    </row>
    <row r="58" spans="1:2" x14ac:dyDescent="0.2">
      <c r="A58" t="s">
        <v>33</v>
      </c>
      <c r="B58">
        <f>10*0.2</f>
        <v>2</v>
      </c>
    </row>
    <row r="59" spans="1:2" x14ac:dyDescent="0.2">
      <c r="A59" t="s">
        <v>34</v>
      </c>
      <c r="B59" s="3">
        <f>(B55*(B56-B57))/B58</f>
        <v>1.8118848708727317E-3</v>
      </c>
    </row>
    <row r="61" spans="1:2" x14ac:dyDescent="0.2">
      <c r="A61" t="s">
        <v>35</v>
      </c>
      <c r="B61" s="3">
        <f>3*B48/(5000)</f>
        <v>1.8118848708727318E-7</v>
      </c>
    </row>
    <row r="62" spans="1:2" x14ac:dyDescent="0.2">
      <c r="A62" t="s">
        <v>36</v>
      </c>
      <c r="B62" s="3">
        <f>B58/8/500000/0.01</f>
        <v>4.9999999999999996E-5</v>
      </c>
    </row>
    <row r="63" spans="1:2" x14ac:dyDescent="0.2">
      <c r="B63" s="3">
        <f>B62/0.000001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DCC2-8519-394E-AECA-E15A9CC07C15}">
  <dimension ref="A1:L16"/>
  <sheetViews>
    <sheetView tabSelected="1" zoomScale="89" workbookViewId="0">
      <selection activeCell="F14" sqref="F14"/>
    </sheetView>
  </sheetViews>
  <sheetFormatPr baseColWidth="10" defaultRowHeight="16" x14ac:dyDescent="0.2"/>
  <cols>
    <col min="10" max="10" width="12.1640625" bestFit="1" customWidth="1"/>
    <col min="11" max="11" width="12.6640625" bestFit="1" customWidth="1"/>
  </cols>
  <sheetData>
    <row r="1" spans="1:12" x14ac:dyDescent="0.2">
      <c r="A1" s="2" t="s">
        <v>37</v>
      </c>
      <c r="E1" s="2" t="s">
        <v>46</v>
      </c>
      <c r="I1" s="2" t="s">
        <v>38</v>
      </c>
    </row>
    <row r="2" spans="1:12" x14ac:dyDescent="0.2">
      <c r="A2" t="s">
        <v>66</v>
      </c>
      <c r="B2" t="s">
        <v>69</v>
      </c>
      <c r="C2">
        <v>13</v>
      </c>
      <c r="D2" t="s">
        <v>19</v>
      </c>
      <c r="E2" t="s">
        <v>48</v>
      </c>
      <c r="F2" t="s">
        <v>41</v>
      </c>
      <c r="G2">
        <f>C12-C11</f>
        <v>5.1999999999999996E-8</v>
      </c>
      <c r="H2" t="s">
        <v>51</v>
      </c>
      <c r="I2" t="s">
        <v>66</v>
      </c>
      <c r="J2" t="s">
        <v>36</v>
      </c>
      <c r="K2" s="4">
        <f>G3/8/C9/C10/0.000001</f>
        <v>100</v>
      </c>
      <c r="L2" t="s">
        <v>64</v>
      </c>
    </row>
    <row r="3" spans="1:12" x14ac:dyDescent="0.2">
      <c r="A3" t="s">
        <v>66</v>
      </c>
      <c r="B3" t="s">
        <v>68</v>
      </c>
      <c r="C3">
        <v>6</v>
      </c>
      <c r="D3" t="s">
        <v>19</v>
      </c>
      <c r="E3" t="s">
        <v>66</v>
      </c>
      <c r="F3" t="s">
        <v>40</v>
      </c>
      <c r="G3">
        <f>C7*0.2</f>
        <v>2</v>
      </c>
      <c r="H3" t="s">
        <v>23</v>
      </c>
      <c r="I3" t="s">
        <v>54</v>
      </c>
      <c r="J3" t="s">
        <v>42</v>
      </c>
      <c r="K3" s="4">
        <f>(C2*(C4-1.56)/(0.000000145*C4*C9)-(0.00000005+G2)*(12-1.56)/0.000000145-1.4)</f>
        <v>155.02611494252878</v>
      </c>
      <c r="L3" t="s">
        <v>52</v>
      </c>
    </row>
    <row r="4" spans="1:12" x14ac:dyDescent="0.2">
      <c r="A4" t="s">
        <v>67</v>
      </c>
      <c r="B4" t="s">
        <v>61</v>
      </c>
      <c r="C4">
        <v>18</v>
      </c>
      <c r="D4" t="s">
        <v>19</v>
      </c>
      <c r="E4" t="s">
        <v>54</v>
      </c>
      <c r="F4" t="s">
        <v>56</v>
      </c>
      <c r="G4">
        <f>C7+G3/2</f>
        <v>11</v>
      </c>
      <c r="H4" t="s">
        <v>23</v>
      </c>
      <c r="I4" t="s">
        <v>66</v>
      </c>
      <c r="J4" t="s">
        <v>49</v>
      </c>
      <c r="K4" s="4">
        <f>G2*(C4-C2)/G3/0.000001</f>
        <v>0.13</v>
      </c>
      <c r="L4" t="s">
        <v>57</v>
      </c>
    </row>
    <row r="5" spans="1:12" x14ac:dyDescent="0.2">
      <c r="A5" t="s">
        <v>67</v>
      </c>
      <c r="B5" t="s">
        <v>60</v>
      </c>
      <c r="C5">
        <v>12</v>
      </c>
      <c r="D5" t="s">
        <v>19</v>
      </c>
      <c r="E5" t="s">
        <v>54</v>
      </c>
      <c r="F5" t="s">
        <v>63</v>
      </c>
      <c r="G5" s="3">
        <f>G4*C15</f>
        <v>1.0999999999999999E-2</v>
      </c>
      <c r="H5" t="s">
        <v>19</v>
      </c>
      <c r="I5" t="s">
        <v>55</v>
      </c>
      <c r="J5" t="s">
        <v>29</v>
      </c>
      <c r="K5" s="4">
        <f>(G5+0.009)/0.000032</f>
        <v>624.99999999999989</v>
      </c>
      <c r="L5" t="s">
        <v>24</v>
      </c>
    </row>
    <row r="6" spans="1:12" x14ac:dyDescent="0.2">
      <c r="A6" t="s">
        <v>67</v>
      </c>
      <c r="B6" t="s">
        <v>62</v>
      </c>
      <c r="C6">
        <v>13</v>
      </c>
      <c r="D6" t="s">
        <v>19</v>
      </c>
      <c r="E6" t="s">
        <v>67</v>
      </c>
      <c r="F6" t="s">
        <v>65</v>
      </c>
      <c r="G6">
        <f>C7*G2/C10/0.000001</f>
        <v>104</v>
      </c>
      <c r="H6" t="s">
        <v>64</v>
      </c>
      <c r="I6" t="s">
        <v>71</v>
      </c>
      <c r="J6" t="s">
        <v>73</v>
      </c>
      <c r="K6" s="4">
        <f>C16*C7*(1-G7)</f>
        <v>1.0769230769230769</v>
      </c>
      <c r="L6" t="s">
        <v>22</v>
      </c>
    </row>
    <row r="7" spans="1:12" x14ac:dyDescent="0.2">
      <c r="A7" t="s">
        <v>66</v>
      </c>
      <c r="B7" t="s">
        <v>59</v>
      </c>
      <c r="C7">
        <v>10</v>
      </c>
      <c r="D7" t="s">
        <v>23</v>
      </c>
      <c r="E7" t="s">
        <v>54</v>
      </c>
      <c r="F7" t="s">
        <v>76</v>
      </c>
      <c r="G7">
        <f>C3/C6</f>
        <v>0.46153846153846156</v>
      </c>
      <c r="H7" t="s">
        <v>70</v>
      </c>
      <c r="I7" t="s">
        <v>47</v>
      </c>
      <c r="J7" t="s">
        <v>75</v>
      </c>
      <c r="K7" s="4">
        <f>C4*(C13*C9+0.0014)</f>
        <v>0.31049999999999994</v>
      </c>
      <c r="L7" t="s">
        <v>22</v>
      </c>
    </row>
    <row r="8" spans="1:12" x14ac:dyDescent="0.2">
      <c r="A8" t="s">
        <v>66</v>
      </c>
      <c r="B8" t="s">
        <v>58</v>
      </c>
      <c r="C8">
        <v>0</v>
      </c>
      <c r="D8" t="s">
        <v>23</v>
      </c>
      <c r="E8" t="s">
        <v>71</v>
      </c>
      <c r="F8" t="s">
        <v>79</v>
      </c>
      <c r="G8" s="4">
        <f>C9*C13</f>
        <v>1.585E-2</v>
      </c>
      <c r="H8" t="s">
        <v>23</v>
      </c>
      <c r="I8" t="s">
        <v>48</v>
      </c>
      <c r="J8" t="s">
        <v>78</v>
      </c>
      <c r="K8" s="4">
        <f>C7^2*C14</f>
        <v>1.1199999999999999</v>
      </c>
      <c r="L8" t="s">
        <v>22</v>
      </c>
    </row>
    <row r="9" spans="1:12" x14ac:dyDescent="0.2">
      <c r="A9" t="s">
        <v>66</v>
      </c>
      <c r="B9" t="s">
        <v>43</v>
      </c>
      <c r="C9" s="3">
        <v>500000</v>
      </c>
      <c r="D9" t="s">
        <v>50</v>
      </c>
    </row>
    <row r="10" spans="1:12" x14ac:dyDescent="0.2">
      <c r="A10" t="s">
        <v>66</v>
      </c>
      <c r="B10" t="s">
        <v>39</v>
      </c>
      <c r="C10">
        <v>5.0000000000000001E-3</v>
      </c>
      <c r="D10" t="s">
        <v>19</v>
      </c>
    </row>
    <row r="11" spans="1:12" x14ac:dyDescent="0.2">
      <c r="A11" t="s">
        <v>48</v>
      </c>
      <c r="B11" t="s">
        <v>44</v>
      </c>
      <c r="C11" s="3">
        <v>3.2000000000000002E-8</v>
      </c>
      <c r="D11" t="s">
        <v>51</v>
      </c>
    </row>
    <row r="12" spans="1:12" x14ac:dyDescent="0.2">
      <c r="A12" t="s">
        <v>48</v>
      </c>
      <c r="B12" t="s">
        <v>45</v>
      </c>
      <c r="C12" s="3">
        <v>8.3999999999999998E-8</v>
      </c>
      <c r="D12" t="s">
        <v>51</v>
      </c>
    </row>
    <row r="13" spans="1:12" x14ac:dyDescent="0.2">
      <c r="A13" t="s">
        <v>48</v>
      </c>
      <c r="B13" t="s">
        <v>77</v>
      </c>
      <c r="C13" s="3">
        <v>3.1699999999999999E-8</v>
      </c>
      <c r="D13" t="s">
        <v>74</v>
      </c>
    </row>
    <row r="14" spans="1:12" x14ac:dyDescent="0.2">
      <c r="A14" t="s">
        <v>48</v>
      </c>
      <c r="B14" t="s">
        <v>14</v>
      </c>
      <c r="C14" s="3">
        <v>1.12E-2</v>
      </c>
      <c r="D14" t="s">
        <v>24</v>
      </c>
    </row>
    <row r="15" spans="1:12" x14ac:dyDescent="0.2">
      <c r="A15" t="s">
        <v>55</v>
      </c>
      <c r="B15" t="s">
        <v>53</v>
      </c>
      <c r="C15" s="3">
        <v>1E-3</v>
      </c>
      <c r="D15" t="s">
        <v>24</v>
      </c>
    </row>
    <row r="16" spans="1:12" x14ac:dyDescent="0.2">
      <c r="A16" t="s">
        <v>71</v>
      </c>
      <c r="B16" t="s">
        <v>72</v>
      </c>
      <c r="C16" s="3">
        <v>0.2</v>
      </c>
      <c r="D1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Buck Converter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Chen (22703907)</dc:creator>
  <cp:lastModifiedBy>Henry Chen (22703907)</cp:lastModifiedBy>
  <dcterms:created xsi:type="dcterms:W3CDTF">2021-05-09T03:09:28Z</dcterms:created>
  <dcterms:modified xsi:type="dcterms:W3CDTF">2021-05-19T13:31:59Z</dcterms:modified>
</cp:coreProperties>
</file>