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unai\Downloads\"/>
    </mc:Choice>
  </mc:AlternateContent>
  <xr:revisionPtr revIDLastSave="0" documentId="13_ncr:1_{6EEDD174-8FF1-4D70-8BE0-AB39941DBA29}" xr6:coauthVersionLast="47" xr6:coauthVersionMax="47" xr10:uidLastSave="{00000000-0000-0000-0000-000000000000}"/>
  <bookViews>
    <workbookView xWindow="-30" yWindow="-16320" windowWidth="29040" windowHeight="15720" activeTab="3" xr2:uid="{00000000-000D-0000-FFFF-FFFF00000000}"/>
  </bookViews>
  <sheets>
    <sheet name="Too-Big-To-Fail Contract" sheetId="1" r:id="rId1"/>
    <sheet name="Incurred Contract" sheetId="2" r:id="rId2"/>
    <sheet name="Projected Revenue" sheetId="3" r:id="rId3"/>
    <sheet name="Price Order Calculator" sheetId="4" r:id="rId4"/>
    <sheet name="Orders Examp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B14" i="4"/>
  <c r="N23" i="2"/>
  <c r="F15" i="2"/>
  <c r="F14" i="2"/>
  <c r="D14" i="2"/>
  <c r="C28" i="4"/>
  <c r="O20" i="4" s="1"/>
  <c r="R20" i="4" s="1"/>
  <c r="S20" i="4" s="1"/>
  <c r="N20" i="4" s="1"/>
  <c r="C27" i="4"/>
  <c r="C26" i="4"/>
  <c r="O18" i="4" s="1"/>
  <c r="C25" i="4"/>
  <c r="C24" i="4"/>
  <c r="Q20" i="4"/>
  <c r="P20" i="4"/>
  <c r="K20" i="4"/>
  <c r="J20" i="4"/>
  <c r="G20" i="4"/>
  <c r="F20" i="4"/>
  <c r="D20" i="4"/>
  <c r="C20" i="4"/>
  <c r="Q19" i="4"/>
  <c r="P19" i="4"/>
  <c r="O19" i="4"/>
  <c r="R19" i="4" s="1"/>
  <c r="S19" i="4" s="1"/>
  <c r="N19" i="4" s="1"/>
  <c r="K19" i="4"/>
  <c r="J19" i="4"/>
  <c r="I19" i="4"/>
  <c r="G19" i="4"/>
  <c r="F19" i="4"/>
  <c r="B19" i="4" s="1"/>
  <c r="D19" i="4"/>
  <c r="C19" i="4"/>
  <c r="Q18" i="4"/>
  <c r="P18" i="4"/>
  <c r="K18" i="4"/>
  <c r="J18" i="4"/>
  <c r="I18" i="4"/>
  <c r="L18" i="4" s="1"/>
  <c r="M18" i="4" s="1"/>
  <c r="H18" i="4" s="1"/>
  <c r="G18" i="4"/>
  <c r="F18" i="4"/>
  <c r="D18" i="4"/>
  <c r="C18" i="4"/>
  <c r="Q17" i="4"/>
  <c r="P17" i="4"/>
  <c r="O17" i="4"/>
  <c r="L17" i="4"/>
  <c r="M17" i="4" s="1"/>
  <c r="H17" i="4" s="1"/>
  <c r="K17" i="4"/>
  <c r="J17" i="4"/>
  <c r="I17" i="4"/>
  <c r="G17" i="4"/>
  <c r="B17" i="4" s="1"/>
  <c r="F17" i="4"/>
  <c r="D17" i="4"/>
  <c r="C17" i="4"/>
  <c r="Q16" i="4"/>
  <c r="P16" i="4"/>
  <c r="O16" i="4"/>
  <c r="K16" i="4"/>
  <c r="J16" i="4"/>
  <c r="I16" i="4"/>
  <c r="G16" i="4"/>
  <c r="F16" i="4"/>
  <c r="B16" i="4" s="1"/>
  <c r="D16" i="4"/>
  <c r="C14" i="4"/>
  <c r="B7" i="3"/>
  <c r="C6" i="3"/>
  <c r="D6" i="3" s="1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D25" i="2"/>
  <c r="N25" i="2" s="1"/>
  <c r="D24" i="2"/>
  <c r="N24" i="2" s="1"/>
  <c r="D23" i="2"/>
  <c r="D22" i="2"/>
  <c r="N22" i="2" s="1"/>
  <c r="D21" i="2"/>
  <c r="N21" i="2" s="1"/>
  <c r="D11" i="2"/>
  <c r="D9" i="2"/>
  <c r="B9" i="2"/>
  <c r="B7" i="2"/>
  <c r="D12" i="2" s="1"/>
  <c r="D25" i="1"/>
  <c r="E25" i="1" s="1"/>
  <c r="D24" i="1"/>
  <c r="E24" i="1" s="1"/>
  <c r="D23" i="1"/>
  <c r="E23" i="1" s="1"/>
  <c r="D22" i="1"/>
  <c r="E22" i="1" s="1"/>
  <c r="D21" i="1"/>
  <c r="E21" i="1" s="1"/>
  <c r="D9" i="1"/>
  <c r="B9" i="1"/>
  <c r="B7" i="1"/>
  <c r="D10" i="1" s="1"/>
  <c r="L19" i="4" l="1"/>
  <c r="M19" i="4" s="1"/>
  <c r="H19" i="4" s="1"/>
  <c r="R16" i="4"/>
  <c r="S16" i="4" s="1"/>
  <c r="N16" i="4" s="1"/>
  <c r="B20" i="4"/>
  <c r="R18" i="4"/>
  <c r="S18" i="4" s="1"/>
  <c r="N18" i="4" s="1"/>
  <c r="B18" i="4"/>
  <c r="I20" i="4"/>
  <c r="L20" i="4" s="1"/>
  <c r="M20" i="4" s="1"/>
  <c r="H20" i="4" s="1"/>
  <c r="L16" i="4"/>
  <c r="M16" i="4" s="1"/>
  <c r="H16" i="4" s="1"/>
  <c r="R17" i="4"/>
  <c r="S17" i="4" s="1"/>
  <c r="N17" i="4" s="1"/>
  <c r="D7" i="3"/>
  <c r="E6" i="3"/>
  <c r="G24" i="1"/>
  <c r="K24" i="1" s="1"/>
  <c r="L24" i="1" s="1"/>
  <c r="G23" i="1"/>
  <c r="K23" i="1" s="1"/>
  <c r="L23" i="1" s="1"/>
  <c r="G25" i="1"/>
  <c r="K25" i="1" s="1"/>
  <c r="L25" i="1" s="1"/>
  <c r="G22" i="1"/>
  <c r="K22" i="1" s="1"/>
  <c r="L22" i="1" s="1"/>
  <c r="G21" i="1"/>
  <c r="J21" i="1"/>
  <c r="E26" i="1"/>
  <c r="H21" i="1"/>
  <c r="J24" i="1"/>
  <c r="H24" i="1"/>
  <c r="H25" i="1"/>
  <c r="J25" i="1"/>
  <c r="J22" i="1"/>
  <c r="J23" i="1"/>
  <c r="H23" i="1"/>
  <c r="E24" i="2"/>
  <c r="C7" i="3"/>
  <c r="E22" i="2"/>
  <c r="E25" i="2"/>
  <c r="N21" i="1"/>
  <c r="N22" i="1"/>
  <c r="N23" i="1"/>
  <c r="N24" i="1"/>
  <c r="N25" i="1"/>
  <c r="D10" i="2"/>
  <c r="E21" i="2"/>
  <c r="E23" i="2"/>
  <c r="D32" i="2" l="1"/>
  <c r="J23" i="2"/>
  <c r="D31" i="2"/>
  <c r="J22" i="2"/>
  <c r="H22" i="2"/>
  <c r="E31" i="2" s="1"/>
  <c r="J31" i="2" s="1"/>
  <c r="H22" i="1"/>
  <c r="G26" i="1"/>
  <c r="K21" i="1"/>
  <c r="D30" i="2"/>
  <c r="J21" i="2"/>
  <c r="E26" i="2"/>
  <c r="G21" i="2"/>
  <c r="K21" i="2" s="1"/>
  <c r="G25" i="2"/>
  <c r="K25" i="2" s="1"/>
  <c r="L25" i="2" s="1"/>
  <c r="G24" i="2"/>
  <c r="K24" i="2" s="1"/>
  <c r="L24" i="2" s="1"/>
  <c r="G23" i="2"/>
  <c r="K23" i="2" s="1"/>
  <c r="L23" i="2" s="1"/>
  <c r="G22" i="2"/>
  <c r="K22" i="2" s="1"/>
  <c r="L22" i="2" s="1"/>
  <c r="D34" i="2"/>
  <c r="J25" i="2"/>
  <c r="D33" i="2"/>
  <c r="J24" i="2"/>
  <c r="H26" i="1"/>
  <c r="E7" i="3"/>
  <c r="F6" i="3"/>
  <c r="H24" i="2" l="1"/>
  <c r="E33" i="2" s="1"/>
  <c r="J33" i="2" s="1"/>
  <c r="K31" i="2"/>
  <c r="L31" i="2" s="1"/>
  <c r="H25" i="4"/>
  <c r="H25" i="2"/>
  <c r="E34" i="2" s="1"/>
  <c r="J34" i="2" s="1"/>
  <c r="H21" i="2"/>
  <c r="E30" i="2" s="1"/>
  <c r="J30" i="2" s="1"/>
  <c r="K26" i="2"/>
  <c r="L21" i="2"/>
  <c r="F7" i="3"/>
  <c r="G6" i="3"/>
  <c r="H23" i="2"/>
  <c r="E32" i="2" s="1"/>
  <c r="J32" i="2" s="1"/>
  <c r="K26" i="1"/>
  <c r="L21" i="1"/>
  <c r="H28" i="4" l="1"/>
  <c r="K34" i="2"/>
  <c r="L34" i="2" s="1"/>
  <c r="B9" i="3"/>
  <c r="C9" i="3" s="1"/>
  <c r="D9" i="3" s="1"/>
  <c r="E9" i="3" s="1"/>
  <c r="F9" i="3" s="1"/>
  <c r="H24" i="4"/>
  <c r="K30" i="2"/>
  <c r="L30" i="2" s="1"/>
  <c r="B10" i="3"/>
  <c r="C10" i="3" s="1"/>
  <c r="D10" i="3" s="1"/>
  <c r="E10" i="3" s="1"/>
  <c r="F10" i="3" s="1"/>
  <c r="K32" i="2"/>
  <c r="L32" i="2" s="1"/>
  <c r="H26" i="4"/>
  <c r="H6" i="3"/>
  <c r="G7" i="3"/>
  <c r="H27" i="4"/>
  <c r="K33" i="2"/>
  <c r="L33" i="2" s="1"/>
  <c r="G9" i="3" l="1"/>
  <c r="G10" i="3"/>
  <c r="H7" i="3"/>
  <c r="I6" i="3"/>
  <c r="J6" i="3" l="1"/>
  <c r="I7" i="3"/>
  <c r="H10" i="3"/>
  <c r="H9" i="3"/>
  <c r="I10" i="3" l="1"/>
  <c r="I9" i="3"/>
  <c r="J7" i="3"/>
  <c r="K6" i="3"/>
  <c r="K7" i="3" s="1"/>
  <c r="J9" i="3" l="1"/>
  <c r="J10" i="3"/>
  <c r="K9" i="3"/>
  <c r="K10" i="3"/>
</calcChain>
</file>

<file path=xl/sharedStrings.xml><?xml version="1.0" encoding="utf-8"?>
<sst xmlns="http://schemas.openxmlformats.org/spreadsheetml/2006/main" count="199" uniqueCount="97">
  <si>
    <t>INFINITY &amp; BEYOND</t>
  </si>
  <si>
    <t>Truck Information</t>
  </si>
  <si>
    <t>Cargo Info.</t>
  </si>
  <si>
    <t>Pallet Info</t>
  </si>
  <si>
    <t>Total Costs (per mile)</t>
  </si>
  <si>
    <t>Max Weight (lbs.)</t>
  </si>
  <si>
    <t>Weight (lbs.)</t>
  </si>
  <si>
    <t>Trucker</t>
  </si>
  <si>
    <t>Total Volume (cubic feet)</t>
  </si>
  <si>
    <t>Volume (cubic feet)</t>
  </si>
  <si>
    <t>Fuel</t>
  </si>
  <si>
    <t>Pallet/Truck</t>
  </si>
  <si>
    <t>Leasing</t>
  </si>
  <si>
    <t>Pallet Cost/mile</t>
  </si>
  <si>
    <t>Maintance</t>
  </si>
  <si>
    <t>Insurance</t>
  </si>
  <si>
    <t>Miles/Gallon</t>
  </si>
  <si>
    <t>Gas Price</t>
  </si>
  <si>
    <t>Avg. Speed (miles/hour)</t>
  </si>
  <si>
    <t>Routes</t>
  </si>
  <si>
    <t>Anchor Point</t>
  </si>
  <si>
    <t>Miles with cargo</t>
  </si>
  <si>
    <t>Total Miles</t>
  </si>
  <si>
    <t>Operational Truck Cost</t>
  </si>
  <si>
    <t>Pallets</t>
  </si>
  <si>
    <t>Cargo Cost</t>
  </si>
  <si>
    <t>Empty Cargo Cost</t>
  </si>
  <si>
    <t>Markup</t>
  </si>
  <si>
    <t>Price (Based on total cost)</t>
  </si>
  <si>
    <t>Price (Based on cargo cost)</t>
  </si>
  <si>
    <t>Margin</t>
  </si>
  <si>
    <t>PickUp/DropOff (qty)</t>
  </si>
  <si>
    <t>Time (hours)</t>
  </si>
  <si>
    <t>Route 1</t>
  </si>
  <si>
    <t>Ringgold</t>
  </si>
  <si>
    <t>Route 2</t>
  </si>
  <si>
    <t>Augusta</t>
  </si>
  <si>
    <t>Route 3</t>
  </si>
  <si>
    <t>Savannah</t>
  </si>
  <si>
    <t>Route 4</t>
  </si>
  <si>
    <t>Albany</t>
  </si>
  <si>
    <t>Route 5</t>
  </si>
  <si>
    <t>Columbus</t>
  </si>
  <si>
    <t>Total</t>
  </si>
  <si>
    <t>Std. Package</t>
  </si>
  <si>
    <t>Std. Package/Truck</t>
  </si>
  <si>
    <t>Std. Package Cost/mile</t>
  </si>
  <si>
    <t>Available Volume</t>
  </si>
  <si>
    <t>Available Weight</t>
  </si>
  <si>
    <t>Available Std. Package</t>
  </si>
  <si>
    <t>Projected Price per Package</t>
  </si>
  <si>
    <t>Projected Revenu Full Truck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</si>
  <si>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</si>
  <si>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</si>
  <si>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</si>
  <si>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</si>
  <si>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</si>
  <si>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</si>
  <si>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</si>
  <si>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</si>
  <si>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</si>
  <si>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</si>
  <si>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Projected Contract</t>
  </si>
  <si>
    <t>Incurred</t>
  </si>
  <si>
    <t>Incurred (w. DFM)</t>
  </si>
  <si>
    <t>Price Order Calculator</t>
  </si>
  <si>
    <t>Lat</t>
  </si>
  <si>
    <t>Long</t>
  </si>
  <si>
    <t>Location Name</t>
  </si>
  <si>
    <t>Packages qty.</t>
  </si>
  <si>
    <t>Pick Up Point</t>
  </si>
  <si>
    <t>Resaca</t>
  </si>
  <si>
    <t>Drop Off Point</t>
  </si>
  <si>
    <t>Dalton</t>
  </si>
  <si>
    <t>Route Availability</t>
  </si>
  <si>
    <t>Delivery Linear Distance</t>
  </si>
  <si>
    <t>Km</t>
  </si>
  <si>
    <t>Miles</t>
  </si>
  <si>
    <t>Linear Distance</t>
  </si>
  <si>
    <t>Triangular Distance</t>
  </si>
  <si>
    <t>Available</t>
  </si>
  <si>
    <t>Price</t>
  </si>
  <si>
    <t>Pick Up</t>
  </si>
  <si>
    <t>Drop off</t>
  </si>
  <si>
    <t>Start-Final</t>
  </si>
  <si>
    <t>Start-Point</t>
  </si>
  <si>
    <t>Final-Point</t>
  </si>
  <si>
    <t>Semi. Per</t>
  </si>
  <si>
    <t>Area</t>
  </si>
  <si>
    <t>Start</t>
  </si>
  <si>
    <t>Final</t>
  </si>
  <si>
    <t>Distance</t>
  </si>
  <si>
    <t>Price Per Package</t>
  </si>
  <si>
    <t>Hogansville</t>
  </si>
  <si>
    <t>Newman</t>
  </si>
  <si>
    <t>Miledgeville</t>
  </si>
  <si>
    <t>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</si>
</sst>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000"/>
  </numFmts>
  <fonts count="20">
    <font>
      <sz val="10"/>
      <color rgb="FF000000"/>
      <name val="Arial"/>
      <scheme val="minor"/>
    </font>
    <font>
      <b/>
      <sz val="29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9"/>
      <color theme="1"/>
      <name val="Arial"/>
      <scheme val="minor"/>
    </font>
    <font>
      <sz val="11"/>
      <color rgb="FF1F1F1F"/>
      <name val="&quot;Google Sans&quot;"/>
    </font>
    <font>
      <sz val="17"/>
      <color theme="1"/>
      <name val="Arial"/>
      <scheme val="minor"/>
    </font>
    <font>
      <sz val="10"/>
      <color theme="1"/>
      <name val="Inherit"/>
    </font>
    <font>
      <b/>
      <sz val="18"/>
      <color theme="1"/>
      <name val="Arial"/>
      <scheme val="minor"/>
    </font>
    <font>
      <b/>
      <sz val="14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Menlo"/>
    </font>
    <font>
      <b/>
      <sz val="10"/>
      <color rgb="FF000000"/>
      <name val="Arial"/>
      <scheme val="minor"/>
    </font>
    <font>
      <b/>
      <sz val="15"/>
      <color theme="1"/>
      <name val="Arial"/>
      <scheme val="minor"/>
    </font>
    <font>
      <b/>
      <sz val="13"/>
      <color rgb="FF000000"/>
      <name val="Arial"/>
      <scheme val="minor"/>
    </font>
    <font>
      <b/>
      <sz val="14"/>
      <color theme="1"/>
      <name val="Arial"/>
      <scheme val="minor"/>
    </font>
    <font>
      <sz val="11"/>
      <color rgb="FF000000"/>
      <name val="&quot;Google Sans&quot;"/>
    </font>
    <font>
      <sz val="13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thin">
        <color rgb="FFFFFFFF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4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2" fontId="3" fillId="0" borderId="16" xfId="0" applyNumberFormat="1" applyFont="1" applyBorder="1"/>
    <xf numFmtId="164" fontId="3" fillId="0" borderId="16" xfId="0" applyNumberFormat="1" applyFont="1" applyBorder="1"/>
    <xf numFmtId="0" fontId="3" fillId="0" borderId="9" xfId="0" applyFont="1" applyBorder="1"/>
    <xf numFmtId="0" fontId="3" fillId="0" borderId="19" xfId="0" applyFont="1" applyBorder="1"/>
    <xf numFmtId="0" fontId="3" fillId="0" borderId="20" xfId="0" applyFont="1" applyBorder="1"/>
    <xf numFmtId="9" fontId="3" fillId="0" borderId="20" xfId="0" applyNumberFormat="1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3" fillId="0" borderId="24" xfId="0" applyFont="1" applyBorder="1"/>
    <xf numFmtId="2" fontId="3" fillId="0" borderId="24" xfId="0" applyNumberFormat="1" applyFont="1" applyBorder="1"/>
    <xf numFmtId="165" fontId="3" fillId="0" borderId="24" xfId="0" applyNumberFormat="1" applyFont="1" applyBorder="1"/>
    <xf numFmtId="9" fontId="3" fillId="0" borderId="24" xfId="0" applyNumberFormat="1" applyFont="1" applyBorder="1"/>
    <xf numFmtId="10" fontId="3" fillId="0" borderId="24" xfId="0" applyNumberFormat="1" applyFont="1" applyBorder="1"/>
    <xf numFmtId="164" fontId="3" fillId="0" borderId="14" xfId="0" applyNumberFormat="1" applyFont="1" applyBorder="1"/>
    <xf numFmtId="0" fontId="3" fillId="0" borderId="25" xfId="0" applyFont="1" applyBorder="1"/>
    <xf numFmtId="2" fontId="3" fillId="0" borderId="25" xfId="0" applyNumberFormat="1" applyFont="1" applyBorder="1"/>
    <xf numFmtId="9" fontId="3" fillId="0" borderId="25" xfId="0" applyNumberFormat="1" applyFont="1" applyBorder="1"/>
    <xf numFmtId="10" fontId="3" fillId="0" borderId="25" xfId="0" applyNumberFormat="1" applyFont="1" applyBorder="1"/>
    <xf numFmtId="0" fontId="3" fillId="0" borderId="26" xfId="0" applyFont="1" applyBorder="1"/>
    <xf numFmtId="2" fontId="3" fillId="0" borderId="26" xfId="0" applyNumberFormat="1" applyFont="1" applyBorder="1"/>
    <xf numFmtId="9" fontId="3" fillId="0" borderId="26" xfId="0" applyNumberFormat="1" applyFont="1" applyBorder="1"/>
    <xf numFmtId="10" fontId="3" fillId="0" borderId="26" xfId="0" applyNumberFormat="1" applyFont="1" applyBorder="1"/>
    <xf numFmtId="164" fontId="3" fillId="0" borderId="18" xfId="0" applyNumberFormat="1" applyFont="1" applyBorder="1"/>
    <xf numFmtId="2" fontId="3" fillId="0" borderId="19" xfId="0" applyNumberFormat="1" applyFont="1" applyBorder="1"/>
    <xf numFmtId="165" fontId="3" fillId="0" borderId="19" xfId="0" applyNumberFormat="1" applyFont="1" applyBorder="1"/>
    <xf numFmtId="0" fontId="3" fillId="0" borderId="30" xfId="0" applyFont="1" applyBorder="1"/>
    <xf numFmtId="0" fontId="3" fillId="0" borderId="36" xfId="0" applyFont="1" applyBorder="1"/>
    <xf numFmtId="0" fontId="3" fillId="0" borderId="35" xfId="0" applyFont="1" applyBorder="1"/>
    <xf numFmtId="0" fontId="3" fillId="0" borderId="37" xfId="0" applyFont="1" applyBorder="1"/>
    <xf numFmtId="2" fontId="3" fillId="0" borderId="18" xfId="0" applyNumberFormat="1" applyFont="1" applyBorder="1"/>
    <xf numFmtId="0" fontId="3" fillId="0" borderId="38" xfId="0" applyFont="1" applyBorder="1"/>
    <xf numFmtId="9" fontId="3" fillId="0" borderId="38" xfId="0" applyNumberFormat="1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3" fillId="0" borderId="24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  <xf numFmtId="10" fontId="3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9" fontId="3" fillId="0" borderId="25" xfId="0" applyNumberFormat="1" applyFont="1" applyBorder="1" applyAlignment="1">
      <alignment horizontal="center"/>
    </xf>
    <xf numFmtId="10" fontId="3" fillId="0" borderId="25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2" fontId="3" fillId="0" borderId="37" xfId="0" applyNumberFormat="1" applyFont="1" applyBorder="1"/>
    <xf numFmtId="0" fontId="4" fillId="0" borderId="36" xfId="0" applyFont="1" applyBorder="1"/>
    <xf numFmtId="1" fontId="3" fillId="0" borderId="24" xfId="0" applyNumberFormat="1" applyFont="1" applyBorder="1" applyAlignment="1">
      <alignment horizontal="center"/>
    </xf>
    <xf numFmtId="3" fontId="3" fillId="0" borderId="24" xfId="0" applyNumberFormat="1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164" fontId="3" fillId="0" borderId="36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4" fontId="3" fillId="0" borderId="25" xfId="0" applyNumberFormat="1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4" fontId="3" fillId="0" borderId="30" xfId="0" applyNumberFormat="1" applyFont="1" applyBorder="1" applyAlignment="1">
      <alignment horizontal="center"/>
    </xf>
    <xf numFmtId="0" fontId="6" fillId="2" borderId="12" xfId="0" applyFont="1" applyFill="1" applyBorder="1"/>
    <xf numFmtId="0" fontId="3" fillId="0" borderId="46" xfId="0" applyFont="1" applyBorder="1"/>
    <xf numFmtId="0" fontId="4" fillId="0" borderId="37" xfId="0" applyFont="1" applyBorder="1"/>
    <xf numFmtId="0" fontId="4" fillId="0" borderId="47" xfId="0" applyFont="1" applyBorder="1"/>
    <xf numFmtId="0" fontId="4" fillId="0" borderId="48" xfId="0" applyFont="1" applyBorder="1"/>
    <xf numFmtId="0" fontId="6" fillId="0" borderId="25" xfId="0" applyFont="1" applyBorder="1"/>
    <xf numFmtId="0" fontId="8" fillId="0" borderId="12" xfId="0" applyFont="1" applyBorder="1" applyAlignment="1">
      <alignment horizontal="left"/>
    </xf>
    <xf numFmtId="0" fontId="9" fillId="0" borderId="49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/>
    <xf numFmtId="0" fontId="9" fillId="0" borderId="37" xfId="0" applyFont="1" applyBorder="1" applyAlignment="1">
      <alignment horizontal="center" vertical="center"/>
    </xf>
    <xf numFmtId="0" fontId="3" fillId="0" borderId="47" xfId="0" applyFont="1" applyBorder="1"/>
    <xf numFmtId="0" fontId="11" fillId="0" borderId="58" xfId="0" applyFont="1" applyBorder="1"/>
    <xf numFmtId="2" fontId="13" fillId="2" borderId="30" xfId="0" applyNumberFormat="1" applyFont="1" applyFill="1" applyBorder="1" applyAlignment="1">
      <alignment horizontal="center" vertical="center" wrapText="1"/>
    </xf>
    <xf numFmtId="2" fontId="14" fillId="0" borderId="30" xfId="0" applyNumberFormat="1" applyFont="1" applyBorder="1" applyAlignment="1">
      <alignment horizontal="center" vertical="center"/>
    </xf>
    <xf numFmtId="0" fontId="3" fillId="0" borderId="59" xfId="0" applyFont="1" applyBorder="1"/>
    <xf numFmtId="0" fontId="9" fillId="0" borderId="4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48" xfId="0" applyFont="1" applyBorder="1" applyAlignment="1">
      <alignment horizontal="left" vertical="center"/>
    </xf>
    <xf numFmtId="2" fontId="3" fillId="0" borderId="30" xfId="0" applyNumberFormat="1" applyFont="1" applyBorder="1" applyAlignment="1">
      <alignment horizontal="center"/>
    </xf>
    <xf numFmtId="166" fontId="18" fillId="2" borderId="12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2" fontId="11" fillId="0" borderId="4" xfId="0" applyNumberFormat="1" applyFont="1" applyBorder="1"/>
    <xf numFmtId="0" fontId="17" fillId="0" borderId="61" xfId="0" applyFont="1" applyBorder="1" applyAlignment="1">
      <alignment horizontal="left" vertical="center"/>
    </xf>
    <xf numFmtId="0" fontId="3" fillId="0" borderId="62" xfId="0" applyFont="1" applyBorder="1"/>
    <xf numFmtId="2" fontId="3" fillId="0" borderId="62" xfId="0" applyNumberFormat="1" applyFont="1" applyBorder="1" applyAlignment="1">
      <alignment horizontal="center"/>
    </xf>
    <xf numFmtId="0" fontId="3" fillId="0" borderId="63" xfId="0" applyFont="1" applyBorder="1"/>
    <xf numFmtId="0" fontId="19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/>
    <xf numFmtId="0" fontId="2" fillId="0" borderId="11" xfId="0" applyFont="1" applyBorder="1"/>
    <xf numFmtId="0" fontId="1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43" xfId="0" applyFont="1" applyBorder="1"/>
    <xf numFmtId="0" fontId="2" fillId="0" borderId="44" xfId="0" applyFont="1" applyBorder="1"/>
    <xf numFmtId="0" fontId="5" fillId="0" borderId="10" xfId="0" applyFont="1" applyBorder="1" applyAlignment="1">
      <alignment horizontal="center"/>
    </xf>
    <xf numFmtId="0" fontId="2" fillId="0" borderId="45" xfId="0" applyFont="1" applyBorder="1"/>
    <xf numFmtId="0" fontId="7" fillId="0" borderId="0" xfId="0" applyFont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55" xfId="0" applyFont="1" applyBorder="1"/>
    <xf numFmtId="0" fontId="2" fillId="0" borderId="56" xfId="0" applyFont="1" applyBorder="1"/>
    <xf numFmtId="0" fontId="12" fillId="0" borderId="57" xfId="0" applyFont="1" applyBorder="1" applyAlignment="1">
      <alignment horizontal="center" vertical="center" wrapText="1"/>
    </xf>
    <xf numFmtId="0" fontId="2" fillId="0" borderId="46" xfId="0" applyFont="1" applyBorder="1"/>
    <xf numFmtId="0" fontId="15" fillId="0" borderId="60" xfId="0" applyFont="1" applyBorder="1" applyAlignment="1">
      <alignment horizontal="center"/>
    </xf>
    <xf numFmtId="0" fontId="2" fillId="0" borderId="12" xfId="0" applyFont="1" applyBorder="1"/>
    <xf numFmtId="0" fontId="2" fillId="0" borderId="60" xfId="0" applyFont="1" applyBorder="1"/>
  </cellXfs>
  <cellStyles count="1">
    <cellStyle name="Normal" xfId="0" builtinId="0"/>
  </cellStyles>
  <dxfs count="1">
    <dxf>
      <font>
        <color rgb="FFFF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workbookViewId="0">
      <selection activeCell="G29" sqref="G29"/>
    </sheetView>
  </sheetViews>
  <sheetFormatPr defaultColWidth="12.6640625" defaultRowHeight="15.75" customHeight="1"/>
  <cols>
    <col min="1" max="1" width="18.88671875" customWidth="1"/>
    <col min="3" max="3" width="14" customWidth="1"/>
    <col min="4" max="4" width="24.88671875" customWidth="1"/>
    <col min="5" max="5" width="19.33203125" customWidth="1"/>
    <col min="7" max="7" width="17.21875" customWidth="1"/>
    <col min="8" max="8" width="15.44140625" customWidth="1"/>
    <col min="10" max="10" width="24.88671875" customWidth="1"/>
    <col min="11" max="11" width="23" customWidth="1"/>
    <col min="13" max="13" width="17.44140625" customWidth="1"/>
  </cols>
  <sheetData>
    <row r="1" spans="1:26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10"/>
      <c r="B3" s="111"/>
      <c r="C3" s="111"/>
      <c r="D3" s="111"/>
      <c r="E3" s="111"/>
      <c r="F3" s="111"/>
      <c r="G3" s="111"/>
      <c r="H3" s="111"/>
      <c r="I3" s="111"/>
      <c r="J3" s="1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10"/>
      <c r="B4" s="111"/>
      <c r="C4" s="111"/>
      <c r="D4" s="111"/>
      <c r="E4" s="111"/>
      <c r="F4" s="111"/>
      <c r="G4" s="111"/>
      <c r="H4" s="111"/>
      <c r="I4" s="111"/>
      <c r="J4" s="1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13"/>
      <c r="B5" s="114"/>
      <c r="C5" s="114"/>
      <c r="D5" s="114"/>
      <c r="E5" s="114"/>
      <c r="F5" s="114"/>
      <c r="G5" s="114"/>
      <c r="H5" s="114"/>
      <c r="I5" s="114"/>
      <c r="J5" s="1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16" t="s">
        <v>1</v>
      </c>
      <c r="B6" s="117"/>
      <c r="C6" s="116" t="s">
        <v>2</v>
      </c>
      <c r="D6" s="117"/>
      <c r="E6" s="116" t="s">
        <v>3</v>
      </c>
      <c r="F6" s="117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 t="s">
        <v>4</v>
      </c>
      <c r="B7" s="4">
        <f>SUM(B8:B12)</f>
        <v>1.693846153846154</v>
      </c>
      <c r="C7" s="3" t="s">
        <v>5</v>
      </c>
      <c r="D7" s="5">
        <v>9180</v>
      </c>
      <c r="E7" s="3" t="s">
        <v>6</v>
      </c>
      <c r="F7" s="4">
        <v>440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6" t="s">
        <v>7</v>
      </c>
      <c r="B8" s="7">
        <v>0.78</v>
      </c>
      <c r="C8" s="6" t="s">
        <v>8</v>
      </c>
      <c r="D8" s="7">
        <v>1700</v>
      </c>
      <c r="E8" s="8" t="s">
        <v>9</v>
      </c>
      <c r="F8" s="9">
        <v>64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6" t="s">
        <v>10</v>
      </c>
      <c r="B9" s="10">
        <f>B14/B13</f>
        <v>0.37384615384615388</v>
      </c>
      <c r="C9" s="6" t="s">
        <v>11</v>
      </c>
      <c r="D9" s="11">
        <f>D8/F8</f>
        <v>26.5625</v>
      </c>
      <c r="E9" s="12"/>
      <c r="F9" s="13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" t="s">
        <v>12</v>
      </c>
      <c r="B10" s="7">
        <v>0.27</v>
      </c>
      <c r="C10" s="8" t="s">
        <v>13</v>
      </c>
      <c r="D10" s="9">
        <f>B7/D9</f>
        <v>6.3768325791855207E-2</v>
      </c>
      <c r="E10" s="2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 t="s">
        <v>14</v>
      </c>
      <c r="B11" s="7">
        <v>0.17</v>
      </c>
      <c r="C11" s="12"/>
      <c r="D11" s="13"/>
      <c r="E11" s="13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6" t="s">
        <v>15</v>
      </c>
      <c r="B12" s="7">
        <v>0.1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6" t="s">
        <v>16</v>
      </c>
      <c r="B13" s="7">
        <v>6.5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17</v>
      </c>
      <c r="B14" s="7">
        <v>2.4300000000000002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18</v>
      </c>
      <c r="B15" s="9">
        <v>50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3"/>
      <c r="B16" s="1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4"/>
      <c r="B19" s="14"/>
      <c r="C19" s="14"/>
      <c r="D19" s="14"/>
      <c r="E19" s="14"/>
      <c r="F19" s="14"/>
      <c r="G19" s="14"/>
      <c r="H19" s="14"/>
      <c r="I19" s="15"/>
      <c r="J19" s="14"/>
      <c r="K19" s="14"/>
      <c r="L19" s="14"/>
      <c r="M19" s="14"/>
      <c r="N19" s="1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19</v>
      </c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24</v>
      </c>
      <c r="G20" s="17" t="s">
        <v>25</v>
      </c>
      <c r="H20" s="17" t="s">
        <v>26</v>
      </c>
      <c r="I20" s="17" t="s">
        <v>27</v>
      </c>
      <c r="J20" s="17" t="s">
        <v>28</v>
      </c>
      <c r="K20" s="17" t="s">
        <v>29</v>
      </c>
      <c r="L20" s="17" t="s">
        <v>30</v>
      </c>
      <c r="M20" s="17" t="s">
        <v>31</v>
      </c>
      <c r="N20" s="18" t="s">
        <v>32</v>
      </c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 t="s">
        <v>33</v>
      </c>
      <c r="B21" s="19" t="s">
        <v>34</v>
      </c>
      <c r="C21" s="19">
        <v>101</v>
      </c>
      <c r="D21" s="19">
        <f t="shared" ref="D21:D25" si="0">C21*2</f>
        <v>202</v>
      </c>
      <c r="E21" s="20">
        <f t="shared" ref="E21:E25" si="1">D21*$B$7</f>
        <v>342.15692307692314</v>
      </c>
      <c r="F21" s="19">
        <v>20</v>
      </c>
      <c r="G21" s="21">
        <f t="shared" ref="G21:G25" si="2">F21*$D$10*D21</f>
        <v>257.62403619909503</v>
      </c>
      <c r="H21" s="20">
        <f t="shared" ref="H21:H25" si="3">E21-G21</f>
        <v>84.532886877828105</v>
      </c>
      <c r="I21" s="22">
        <v>0.5</v>
      </c>
      <c r="J21" s="20">
        <f t="shared" ref="J21:J25" si="4">E21*(1+I21)</f>
        <v>513.23538461538465</v>
      </c>
      <c r="K21" s="19">
        <f t="shared" ref="K21:K25" si="5">G21*(1+I21)</f>
        <v>386.43605429864255</v>
      </c>
      <c r="L21" s="23">
        <f t="shared" ref="L21:L25" si="6">(K21-E21)/E21</f>
        <v>0.1294117647058822</v>
      </c>
      <c r="M21" s="19">
        <v>2</v>
      </c>
      <c r="N21" s="24">
        <f t="shared" ref="N21:N25" si="7">D21/$B$15</f>
        <v>4.04</v>
      </c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6" t="s">
        <v>35</v>
      </c>
      <c r="B22" s="25" t="s">
        <v>36</v>
      </c>
      <c r="C22" s="25">
        <v>94.6</v>
      </c>
      <c r="D22" s="25">
        <f t="shared" si="0"/>
        <v>189.2</v>
      </c>
      <c r="E22" s="26">
        <f t="shared" si="1"/>
        <v>320.47569230769233</v>
      </c>
      <c r="F22" s="25">
        <v>21</v>
      </c>
      <c r="G22" s="25">
        <f t="shared" si="2"/>
        <v>253.36431203619912</v>
      </c>
      <c r="H22" s="26">
        <f t="shared" si="3"/>
        <v>67.111380271493204</v>
      </c>
      <c r="I22" s="27">
        <v>0.5</v>
      </c>
      <c r="J22" s="26">
        <f t="shared" si="4"/>
        <v>480.71353846153852</v>
      </c>
      <c r="K22" s="25">
        <f t="shared" si="5"/>
        <v>380.04646805429866</v>
      </c>
      <c r="L22" s="28">
        <f t="shared" si="6"/>
        <v>0.18588235294117644</v>
      </c>
      <c r="M22" s="25">
        <v>2</v>
      </c>
      <c r="N22" s="11">
        <f t="shared" si="7"/>
        <v>3.7839999999999998</v>
      </c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6" t="s">
        <v>37</v>
      </c>
      <c r="B23" s="25" t="s">
        <v>38</v>
      </c>
      <c r="C23" s="25">
        <v>248</v>
      </c>
      <c r="D23" s="25">
        <f t="shared" si="0"/>
        <v>496</v>
      </c>
      <c r="E23" s="26">
        <f t="shared" si="1"/>
        <v>840.14769230769241</v>
      </c>
      <c r="F23" s="25">
        <v>22</v>
      </c>
      <c r="G23" s="25">
        <f t="shared" si="2"/>
        <v>695.83997104072398</v>
      </c>
      <c r="H23" s="26">
        <f t="shared" si="3"/>
        <v>144.30772126696843</v>
      </c>
      <c r="I23" s="27">
        <v>0.5</v>
      </c>
      <c r="J23" s="26">
        <f t="shared" si="4"/>
        <v>1260.2215384615386</v>
      </c>
      <c r="K23" s="25">
        <f t="shared" si="5"/>
        <v>1043.759956561086</v>
      </c>
      <c r="L23" s="28">
        <f t="shared" si="6"/>
        <v>0.24235294117647049</v>
      </c>
      <c r="M23" s="25">
        <v>2</v>
      </c>
      <c r="N23" s="11">
        <f t="shared" si="7"/>
        <v>9.92</v>
      </c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6" t="s">
        <v>39</v>
      </c>
      <c r="B24" s="25" t="s">
        <v>40</v>
      </c>
      <c r="C24" s="25">
        <v>182</v>
      </c>
      <c r="D24" s="25">
        <f t="shared" si="0"/>
        <v>364</v>
      </c>
      <c r="E24" s="26">
        <f t="shared" si="1"/>
        <v>616.56000000000006</v>
      </c>
      <c r="F24" s="25">
        <v>17</v>
      </c>
      <c r="G24" s="25">
        <f t="shared" si="2"/>
        <v>394.59840000000008</v>
      </c>
      <c r="H24" s="26">
        <f t="shared" si="3"/>
        <v>221.96159999999998</v>
      </c>
      <c r="I24" s="27">
        <v>0.5</v>
      </c>
      <c r="J24" s="26">
        <f t="shared" si="4"/>
        <v>924.84000000000015</v>
      </c>
      <c r="K24" s="25">
        <f t="shared" si="5"/>
        <v>591.89760000000012</v>
      </c>
      <c r="L24" s="28">
        <f t="shared" si="6"/>
        <v>-3.999999999999989E-2</v>
      </c>
      <c r="M24" s="25">
        <v>2</v>
      </c>
      <c r="N24" s="11">
        <f t="shared" si="7"/>
        <v>7.28</v>
      </c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41</v>
      </c>
      <c r="B25" s="29" t="s">
        <v>42</v>
      </c>
      <c r="C25" s="29">
        <v>107</v>
      </c>
      <c r="D25" s="29">
        <f t="shared" si="0"/>
        <v>214</v>
      </c>
      <c r="E25" s="30">
        <f t="shared" si="1"/>
        <v>362.48307692307696</v>
      </c>
      <c r="F25" s="29">
        <v>18</v>
      </c>
      <c r="G25" s="29">
        <f t="shared" si="2"/>
        <v>245.63559095022626</v>
      </c>
      <c r="H25" s="30">
        <f t="shared" si="3"/>
        <v>116.84748597285071</v>
      </c>
      <c r="I25" s="31">
        <v>0.5</v>
      </c>
      <c r="J25" s="30">
        <f t="shared" si="4"/>
        <v>543.72461538461539</v>
      </c>
      <c r="K25" s="29">
        <f t="shared" si="5"/>
        <v>368.45338642533937</v>
      </c>
      <c r="L25" s="32">
        <f t="shared" si="6"/>
        <v>1.6470588235294022E-2</v>
      </c>
      <c r="M25" s="29">
        <v>2</v>
      </c>
      <c r="N25" s="33">
        <f t="shared" si="7"/>
        <v>4.28</v>
      </c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3" t="s">
        <v>43</v>
      </c>
      <c r="B26" s="13"/>
      <c r="C26" s="13"/>
      <c r="D26" s="13"/>
      <c r="E26" s="34">
        <f>SUM(E21:E25)</f>
        <v>2481.8233846153848</v>
      </c>
      <c r="F26" s="13"/>
      <c r="G26" s="35">
        <f t="shared" ref="G26:H26" si="8">SUM(G21:G25)</f>
        <v>1847.0623102262446</v>
      </c>
      <c r="H26" s="34">
        <f t="shared" si="8"/>
        <v>634.76107438914039</v>
      </c>
      <c r="I26" s="13"/>
      <c r="J26" s="13"/>
      <c r="K26" s="13">
        <f>SUM(K21:K25)</f>
        <v>2770.593465339367</v>
      </c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4">
    <mergeCell ref="A1:J5"/>
    <mergeCell ref="A6:B6"/>
    <mergeCell ref="C6:D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topLeftCell="A4" workbookViewId="0">
      <selection activeCell="D14" sqref="D14:F15"/>
    </sheetView>
  </sheetViews>
  <sheetFormatPr defaultColWidth="12.6640625" defaultRowHeight="15.75" customHeight="1"/>
  <cols>
    <col min="1" max="1" width="18.77734375" customWidth="1"/>
    <col min="3" max="3" width="19.21875" customWidth="1"/>
    <col min="4" max="5" width="19.33203125" customWidth="1"/>
    <col min="6" max="6" width="14.6640625" customWidth="1"/>
    <col min="7" max="7" width="15.21875" customWidth="1"/>
    <col min="8" max="8" width="19.109375" customWidth="1"/>
    <col min="9" max="9" width="22" customWidth="1"/>
    <col min="10" max="10" width="23.33203125" customWidth="1"/>
    <col min="11" max="11" width="26.77734375" customWidth="1"/>
    <col min="13" max="13" width="17.44140625" customWidth="1"/>
  </cols>
  <sheetData>
    <row r="1" spans="1:26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>
      <c r="A2" s="121"/>
      <c r="B2" s="111"/>
      <c r="C2" s="111"/>
      <c r="D2" s="111"/>
      <c r="E2" s="111"/>
      <c r="F2" s="111"/>
      <c r="G2" s="111"/>
      <c r="H2" s="111"/>
      <c r="I2" s="111"/>
      <c r="J2" s="122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121"/>
      <c r="B3" s="111"/>
      <c r="C3" s="111"/>
      <c r="D3" s="111"/>
      <c r="E3" s="111"/>
      <c r="F3" s="111"/>
      <c r="G3" s="111"/>
      <c r="H3" s="111"/>
      <c r="I3" s="111"/>
      <c r="J3" s="122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121"/>
      <c r="B4" s="111"/>
      <c r="C4" s="111"/>
      <c r="D4" s="111"/>
      <c r="E4" s="111"/>
      <c r="F4" s="111"/>
      <c r="G4" s="111"/>
      <c r="H4" s="111"/>
      <c r="I4" s="111"/>
      <c r="J4" s="122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23"/>
      <c r="B5" s="124"/>
      <c r="C5" s="124"/>
      <c r="D5" s="124"/>
      <c r="E5" s="124"/>
      <c r="F5" s="124"/>
      <c r="G5" s="124"/>
      <c r="H5" s="124"/>
      <c r="I5" s="124"/>
      <c r="J5" s="12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>
      <c r="A6" s="116" t="s">
        <v>1</v>
      </c>
      <c r="B6" s="117"/>
      <c r="C6" s="116" t="s">
        <v>2</v>
      </c>
      <c r="D6" s="117"/>
      <c r="E6" s="116" t="s">
        <v>3</v>
      </c>
      <c r="F6" s="117"/>
      <c r="G6" s="116" t="s">
        <v>44</v>
      </c>
      <c r="H6" s="117"/>
      <c r="I6" s="37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3" t="s">
        <v>4</v>
      </c>
      <c r="B7" s="4">
        <f>SUM(B8:B12)</f>
        <v>1.8169230769230769</v>
      </c>
      <c r="C7" s="3" t="s">
        <v>5</v>
      </c>
      <c r="D7" s="5">
        <v>9180</v>
      </c>
      <c r="E7" s="3" t="s">
        <v>6</v>
      </c>
      <c r="F7" s="4">
        <v>440</v>
      </c>
      <c r="G7" s="3" t="s">
        <v>6</v>
      </c>
      <c r="H7" s="4">
        <v>66</v>
      </c>
      <c r="I7" s="37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>
      <c r="A8" s="6" t="s">
        <v>7</v>
      </c>
      <c r="B8" s="7">
        <v>0.78</v>
      </c>
      <c r="C8" s="6" t="s">
        <v>8</v>
      </c>
      <c r="D8" s="7">
        <v>1700</v>
      </c>
      <c r="E8" s="8" t="s">
        <v>9</v>
      </c>
      <c r="F8" s="9">
        <v>64</v>
      </c>
      <c r="G8" s="8" t="s">
        <v>9</v>
      </c>
      <c r="H8" s="9">
        <v>18</v>
      </c>
      <c r="I8" s="37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>
      <c r="A9" s="6" t="s">
        <v>10</v>
      </c>
      <c r="B9" s="10">
        <f>B14/B13</f>
        <v>0.49692307692307691</v>
      </c>
      <c r="C9" s="6" t="s">
        <v>11</v>
      </c>
      <c r="D9" s="11">
        <f>D8/F8</f>
        <v>26.5625</v>
      </c>
      <c r="E9" s="38"/>
      <c r="F9" s="39"/>
      <c r="G9" s="39"/>
      <c r="H9" s="39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>
      <c r="A10" s="6" t="s">
        <v>12</v>
      </c>
      <c r="B10" s="7">
        <v>0.27</v>
      </c>
      <c r="C10" s="6" t="s">
        <v>13</v>
      </c>
      <c r="D10" s="10">
        <f>B7/D9</f>
        <v>6.8401809954751133E-2</v>
      </c>
      <c r="E10" s="3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>
      <c r="A11" s="6" t="s">
        <v>14</v>
      </c>
      <c r="B11" s="7">
        <v>0.17</v>
      </c>
      <c r="C11" s="6" t="s">
        <v>45</v>
      </c>
      <c r="D11" s="11">
        <f>D8/H8</f>
        <v>94.444444444444443</v>
      </c>
      <c r="E11" s="3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>
      <c r="A12" s="6" t="s">
        <v>15</v>
      </c>
      <c r="B12" s="7">
        <v>0.1</v>
      </c>
      <c r="C12" s="8" t="s">
        <v>46</v>
      </c>
      <c r="D12" s="40">
        <f>B7/D11</f>
        <v>1.9238009049773755E-2</v>
      </c>
      <c r="E12" s="3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6" t="s">
        <v>16</v>
      </c>
      <c r="B13" s="7">
        <v>6.5</v>
      </c>
      <c r="C13" s="38"/>
      <c r="D13" s="39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>
      <c r="A14" s="6" t="s">
        <v>17</v>
      </c>
      <c r="B14" s="7">
        <v>3.23</v>
      </c>
      <c r="C14" s="37"/>
      <c r="D14" s="36">
        <f>D11/D9</f>
        <v>3.5555555555555554</v>
      </c>
      <c r="E14" s="36"/>
      <c r="F14" s="36">
        <f>F7/H7</f>
        <v>6.666666666666667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8" t="s">
        <v>18</v>
      </c>
      <c r="B15" s="9">
        <v>50</v>
      </c>
      <c r="C15" s="37"/>
      <c r="D15" s="36"/>
      <c r="E15" s="36"/>
      <c r="F15" s="36">
        <f>F8/H8</f>
        <v>3.5555555555555554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>
      <c r="A16" s="39"/>
      <c r="B16" s="39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>
      <c r="A19" s="41"/>
      <c r="B19" s="41"/>
      <c r="C19" s="41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1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>
      <c r="A20" s="43" t="s">
        <v>19</v>
      </c>
      <c r="B20" s="44" t="s">
        <v>20</v>
      </c>
      <c r="C20" s="44" t="s">
        <v>21</v>
      </c>
      <c r="D20" s="44" t="s">
        <v>22</v>
      </c>
      <c r="E20" s="44" t="s">
        <v>23</v>
      </c>
      <c r="F20" s="44" t="s">
        <v>24</v>
      </c>
      <c r="G20" s="44" t="s">
        <v>25</v>
      </c>
      <c r="H20" s="44" t="s">
        <v>26</v>
      </c>
      <c r="I20" s="44" t="s">
        <v>27</v>
      </c>
      <c r="J20" s="44" t="s">
        <v>28</v>
      </c>
      <c r="K20" s="44" t="s">
        <v>29</v>
      </c>
      <c r="L20" s="44" t="s">
        <v>30</v>
      </c>
      <c r="M20" s="44" t="s">
        <v>31</v>
      </c>
      <c r="N20" s="45" t="s">
        <v>32</v>
      </c>
      <c r="O20" s="37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>
      <c r="A21" s="46" t="s">
        <v>33</v>
      </c>
      <c r="B21" s="46" t="s">
        <v>34</v>
      </c>
      <c r="C21" s="46">
        <v>101</v>
      </c>
      <c r="D21" s="46">
        <f t="shared" ref="D21:D25" si="0">C21*2</f>
        <v>202</v>
      </c>
      <c r="E21" s="47">
        <f t="shared" ref="E21:E25" si="1">D21*$B$7</f>
        <v>367.01846153846151</v>
      </c>
      <c r="F21" s="46">
        <v>12</v>
      </c>
      <c r="G21" s="48">
        <f t="shared" ref="G21:G25" si="2">F21*$D$10*D21</f>
        <v>165.80598733031673</v>
      </c>
      <c r="H21" s="47">
        <f t="shared" ref="H21:H25" si="3">E21-G21</f>
        <v>201.21247420814478</v>
      </c>
      <c r="I21" s="49">
        <v>0.5</v>
      </c>
      <c r="J21" s="47">
        <f t="shared" ref="J21:J25" si="4">E21*(1+I21)</f>
        <v>550.52769230769229</v>
      </c>
      <c r="K21" s="46">
        <f t="shared" ref="K21:K25" si="5">G21*(1+I21)</f>
        <v>248.70898099547509</v>
      </c>
      <c r="L21" s="50">
        <f t="shared" ref="L21:L25" si="6">(K21-E21)/E21</f>
        <v>-0.32235294117647062</v>
      </c>
      <c r="M21" s="46">
        <v>2</v>
      </c>
      <c r="N21" s="51">
        <f t="shared" ref="N21:N25" si="7">D21/$B$15</f>
        <v>4.04</v>
      </c>
      <c r="O21" s="37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>
      <c r="A22" s="52" t="s">
        <v>35</v>
      </c>
      <c r="B22" s="52" t="s">
        <v>36</v>
      </c>
      <c r="C22" s="52">
        <v>94.6</v>
      </c>
      <c r="D22" s="52">
        <f t="shared" si="0"/>
        <v>189.2</v>
      </c>
      <c r="E22" s="53">
        <f t="shared" si="1"/>
        <v>343.76184615384614</v>
      </c>
      <c r="F22" s="52">
        <v>10</v>
      </c>
      <c r="G22" s="54">
        <f t="shared" si="2"/>
        <v>129.41622443438914</v>
      </c>
      <c r="H22" s="53">
        <f t="shared" si="3"/>
        <v>214.345621719457</v>
      </c>
      <c r="I22" s="55">
        <v>0.5</v>
      </c>
      <c r="J22" s="53">
        <f t="shared" si="4"/>
        <v>515.6427692307692</v>
      </c>
      <c r="K22" s="52">
        <f t="shared" si="5"/>
        <v>194.12433665158369</v>
      </c>
      <c r="L22" s="56">
        <f t="shared" si="6"/>
        <v>-0.43529411764705883</v>
      </c>
      <c r="M22" s="52">
        <v>2</v>
      </c>
      <c r="N22" s="57">
        <f t="shared" si="7"/>
        <v>3.7839999999999998</v>
      </c>
      <c r="O22" s="37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>
      <c r="A23" s="52" t="s">
        <v>37</v>
      </c>
      <c r="B23" s="52" t="s">
        <v>38</v>
      </c>
      <c r="C23" s="52">
        <v>248</v>
      </c>
      <c r="D23" s="52">
        <f t="shared" si="0"/>
        <v>496</v>
      </c>
      <c r="E23" s="53">
        <f t="shared" si="1"/>
        <v>901.19384615384615</v>
      </c>
      <c r="F23" s="52">
        <v>11</v>
      </c>
      <c r="G23" s="54">
        <f t="shared" si="2"/>
        <v>373.20027511312219</v>
      </c>
      <c r="H23" s="53">
        <f t="shared" si="3"/>
        <v>527.99357104072396</v>
      </c>
      <c r="I23" s="55">
        <v>0.5</v>
      </c>
      <c r="J23" s="53">
        <f t="shared" si="4"/>
        <v>1351.7907692307692</v>
      </c>
      <c r="K23" s="52">
        <f t="shared" si="5"/>
        <v>559.80041266968328</v>
      </c>
      <c r="L23" s="56">
        <f t="shared" si="6"/>
        <v>-0.37882352941176467</v>
      </c>
      <c r="M23" s="52">
        <v>2</v>
      </c>
      <c r="N23" s="57">
        <f>D23/$B$15</f>
        <v>9.92</v>
      </c>
      <c r="O23" s="37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>
      <c r="A24" s="52" t="s">
        <v>39</v>
      </c>
      <c r="B24" s="52" t="s">
        <v>40</v>
      </c>
      <c r="C24" s="52">
        <v>182</v>
      </c>
      <c r="D24" s="52">
        <f t="shared" si="0"/>
        <v>364</v>
      </c>
      <c r="E24" s="53">
        <f t="shared" si="1"/>
        <v>661.36</v>
      </c>
      <c r="F24" s="52">
        <v>12</v>
      </c>
      <c r="G24" s="54">
        <f t="shared" si="2"/>
        <v>298.77910588235295</v>
      </c>
      <c r="H24" s="53">
        <f t="shared" si="3"/>
        <v>362.58089411764706</v>
      </c>
      <c r="I24" s="55">
        <v>0.5</v>
      </c>
      <c r="J24" s="53">
        <f t="shared" si="4"/>
        <v>992.04</v>
      </c>
      <c r="K24" s="52">
        <f t="shared" si="5"/>
        <v>448.16865882352943</v>
      </c>
      <c r="L24" s="56">
        <f t="shared" si="6"/>
        <v>-0.32235294117647056</v>
      </c>
      <c r="M24" s="52">
        <v>2</v>
      </c>
      <c r="N24" s="57">
        <f t="shared" si="7"/>
        <v>7.28</v>
      </c>
      <c r="O24" s="37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>
      <c r="A25" s="52" t="s">
        <v>41</v>
      </c>
      <c r="B25" s="52" t="s">
        <v>42</v>
      </c>
      <c r="C25" s="52">
        <v>107</v>
      </c>
      <c r="D25" s="52">
        <f t="shared" si="0"/>
        <v>214</v>
      </c>
      <c r="E25" s="53">
        <f t="shared" si="1"/>
        <v>388.82153846153847</v>
      </c>
      <c r="F25" s="52">
        <v>9</v>
      </c>
      <c r="G25" s="54">
        <f t="shared" si="2"/>
        <v>131.74188597285067</v>
      </c>
      <c r="H25" s="53">
        <f t="shared" si="3"/>
        <v>257.07965248868777</v>
      </c>
      <c r="I25" s="55">
        <v>0.5</v>
      </c>
      <c r="J25" s="53">
        <f t="shared" si="4"/>
        <v>583.2323076923077</v>
      </c>
      <c r="K25" s="52">
        <f t="shared" si="5"/>
        <v>197.61282895927599</v>
      </c>
      <c r="L25" s="56">
        <f t="shared" si="6"/>
        <v>-0.49176470588235305</v>
      </c>
      <c r="M25" s="52">
        <v>2</v>
      </c>
      <c r="N25" s="57">
        <f t="shared" si="7"/>
        <v>4.28</v>
      </c>
      <c r="O25" s="37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>
      <c r="A26" s="39"/>
      <c r="B26" s="39"/>
      <c r="C26" s="39"/>
      <c r="D26" s="39"/>
      <c r="E26" s="58">
        <f>SUM(E21:E25)</f>
        <v>2662.1556923076923</v>
      </c>
      <c r="F26" s="39"/>
      <c r="G26" s="39"/>
      <c r="H26" s="39"/>
      <c r="I26" s="39"/>
      <c r="J26" s="39"/>
      <c r="K26" s="39">
        <f>SUM(K21:K25)</f>
        <v>1648.4152180995472</v>
      </c>
      <c r="L26" s="39"/>
      <c r="M26" s="39"/>
      <c r="N26" s="39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>
      <c r="A29" s="43" t="s">
        <v>19</v>
      </c>
      <c r="B29" s="44" t="s">
        <v>20</v>
      </c>
      <c r="C29" s="44" t="s">
        <v>22</v>
      </c>
      <c r="D29" s="44" t="s">
        <v>23</v>
      </c>
      <c r="E29" s="44" t="s">
        <v>26</v>
      </c>
      <c r="F29" s="44" t="s">
        <v>47</v>
      </c>
      <c r="G29" s="44" t="s">
        <v>48</v>
      </c>
      <c r="H29" s="44" t="s">
        <v>49</v>
      </c>
      <c r="I29" s="44" t="s">
        <v>27</v>
      </c>
      <c r="J29" s="44" t="s">
        <v>50</v>
      </c>
      <c r="K29" s="44" t="s">
        <v>51</v>
      </c>
      <c r="L29" s="45" t="s">
        <v>30</v>
      </c>
      <c r="M29" s="5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>
      <c r="A30" s="46" t="s">
        <v>33</v>
      </c>
      <c r="B30" s="46" t="s">
        <v>34</v>
      </c>
      <c r="C30" s="46">
        <v>202</v>
      </c>
      <c r="D30" s="47">
        <f t="shared" ref="D30:D34" si="8">E21</f>
        <v>367.01846153846151</v>
      </c>
      <c r="E30" s="47">
        <f t="shared" ref="E30:E34" si="9">H21</f>
        <v>201.21247420814478</v>
      </c>
      <c r="F30" s="60">
        <f t="shared" ref="F30:F34" si="10">$D$8-(F21*$F$8)</f>
        <v>932</v>
      </c>
      <c r="G30" s="60">
        <f t="shared" ref="G30:G34" si="11">$D$7-(F21*$F$7)</f>
        <v>3900</v>
      </c>
      <c r="H30" s="61">
        <f t="shared" ref="H30:H34" si="12">F30/$H$8</f>
        <v>51.777777777777779</v>
      </c>
      <c r="I30" s="49">
        <v>0.5</v>
      </c>
      <c r="J30" s="47">
        <f t="shared" ref="J30:J34" si="13">(E30/H30)*(1+I30)</f>
        <v>5.8291167420814478</v>
      </c>
      <c r="K30" s="62">
        <f t="shared" ref="K30:K34" si="14">(J30*H30)+K21</f>
        <v>550.52769230769229</v>
      </c>
      <c r="L30" s="50">
        <f t="shared" ref="L30:L34" si="15">(K30-D30)/D30</f>
        <v>0.50000000000000011</v>
      </c>
      <c r="M30" s="63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>
      <c r="A31" s="52" t="s">
        <v>35</v>
      </c>
      <c r="B31" s="52" t="s">
        <v>36</v>
      </c>
      <c r="C31" s="52">
        <v>189.2</v>
      </c>
      <c r="D31" s="53">
        <f t="shared" si="8"/>
        <v>343.76184615384614</v>
      </c>
      <c r="E31" s="53">
        <f t="shared" si="9"/>
        <v>214.345621719457</v>
      </c>
      <c r="F31" s="64">
        <f t="shared" si="10"/>
        <v>1060</v>
      </c>
      <c r="G31" s="64">
        <f t="shared" si="11"/>
        <v>4780</v>
      </c>
      <c r="H31" s="65">
        <f t="shared" si="12"/>
        <v>58.888888888888886</v>
      </c>
      <c r="I31" s="55">
        <v>0.5</v>
      </c>
      <c r="J31" s="53">
        <f t="shared" si="13"/>
        <v>5.459746968325792</v>
      </c>
      <c r="K31" s="66">
        <f t="shared" si="14"/>
        <v>515.6427692307692</v>
      </c>
      <c r="L31" s="56">
        <f t="shared" si="15"/>
        <v>0.5</v>
      </c>
      <c r="M31" s="63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>
      <c r="A32" s="52" t="s">
        <v>37</v>
      </c>
      <c r="B32" s="52" t="s">
        <v>38</v>
      </c>
      <c r="C32" s="52">
        <v>496</v>
      </c>
      <c r="D32" s="53">
        <f t="shared" si="8"/>
        <v>901.19384615384615</v>
      </c>
      <c r="E32" s="53">
        <f t="shared" si="9"/>
        <v>527.99357104072396</v>
      </c>
      <c r="F32" s="64">
        <f t="shared" si="10"/>
        <v>996</v>
      </c>
      <c r="G32" s="64">
        <f t="shared" si="11"/>
        <v>4340</v>
      </c>
      <c r="H32" s="65">
        <f t="shared" si="12"/>
        <v>55.333333333333336</v>
      </c>
      <c r="I32" s="55">
        <v>0.5</v>
      </c>
      <c r="J32" s="53">
        <f t="shared" si="13"/>
        <v>14.313078733031674</v>
      </c>
      <c r="K32" s="66">
        <f t="shared" si="14"/>
        <v>1351.7907692307692</v>
      </c>
      <c r="L32" s="56">
        <f t="shared" si="15"/>
        <v>0.5</v>
      </c>
      <c r="M32" s="63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>
      <c r="A33" s="52" t="s">
        <v>39</v>
      </c>
      <c r="B33" s="52" t="s">
        <v>40</v>
      </c>
      <c r="C33" s="52">
        <v>364</v>
      </c>
      <c r="D33" s="53">
        <f t="shared" si="8"/>
        <v>661.36</v>
      </c>
      <c r="E33" s="53">
        <f t="shared" si="9"/>
        <v>362.58089411764706</v>
      </c>
      <c r="F33" s="64">
        <f t="shared" si="10"/>
        <v>932</v>
      </c>
      <c r="G33" s="64">
        <f t="shared" si="11"/>
        <v>3900</v>
      </c>
      <c r="H33" s="65">
        <f t="shared" si="12"/>
        <v>51.777777777777779</v>
      </c>
      <c r="I33" s="55">
        <v>0.5</v>
      </c>
      <c r="J33" s="53">
        <f t="shared" si="13"/>
        <v>10.503952941176472</v>
      </c>
      <c r="K33" s="66">
        <f t="shared" si="14"/>
        <v>992.04000000000008</v>
      </c>
      <c r="L33" s="56">
        <f t="shared" si="15"/>
        <v>0.50000000000000011</v>
      </c>
      <c r="M33" s="63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>
      <c r="A34" s="52" t="s">
        <v>41</v>
      </c>
      <c r="B34" s="52" t="s">
        <v>42</v>
      </c>
      <c r="C34" s="52">
        <v>214</v>
      </c>
      <c r="D34" s="53">
        <f t="shared" si="8"/>
        <v>388.82153846153847</v>
      </c>
      <c r="E34" s="53">
        <f t="shared" si="9"/>
        <v>257.07965248868777</v>
      </c>
      <c r="F34" s="64">
        <f t="shared" si="10"/>
        <v>1124</v>
      </c>
      <c r="G34" s="64">
        <f t="shared" si="11"/>
        <v>5220</v>
      </c>
      <c r="H34" s="65">
        <f t="shared" si="12"/>
        <v>62.444444444444443</v>
      </c>
      <c r="I34" s="55">
        <v>0.5</v>
      </c>
      <c r="J34" s="53">
        <f t="shared" si="13"/>
        <v>6.1754009049773746</v>
      </c>
      <c r="K34" s="66">
        <f t="shared" si="14"/>
        <v>583.23230769230759</v>
      </c>
      <c r="L34" s="56">
        <f t="shared" si="15"/>
        <v>0.49999999999999972</v>
      </c>
      <c r="M34" s="63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</sheetData>
  <mergeCells count="5">
    <mergeCell ref="A1:J5"/>
    <mergeCell ref="A6:B6"/>
    <mergeCell ref="C6:D6"/>
    <mergeCell ref="E6:F6"/>
    <mergeCell ref="G6:H6"/>
  </mergeCells>
  <conditionalFormatting sqref="L21:L2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>
      <selection activeCell="D29" sqref="D29"/>
    </sheetView>
  </sheetViews>
  <sheetFormatPr defaultColWidth="12.6640625" defaultRowHeight="15.75" customHeight="1"/>
  <cols>
    <col min="1" max="1" width="17.6640625" customWidth="1"/>
  </cols>
  <sheetData>
    <row r="1" spans="1:26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>
      <c r="A2" s="121"/>
      <c r="B2" s="111"/>
      <c r="C2" s="111"/>
      <c r="D2" s="111"/>
      <c r="E2" s="111"/>
      <c r="F2" s="111"/>
      <c r="G2" s="111"/>
      <c r="H2" s="111"/>
      <c r="I2" s="111"/>
      <c r="J2" s="122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121"/>
      <c r="B3" s="111"/>
      <c r="C3" s="111"/>
      <c r="D3" s="111"/>
      <c r="E3" s="111"/>
      <c r="F3" s="111"/>
      <c r="G3" s="111"/>
      <c r="H3" s="111"/>
      <c r="I3" s="111"/>
      <c r="J3" s="122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121"/>
      <c r="B4" s="111"/>
      <c r="C4" s="111"/>
      <c r="D4" s="111"/>
      <c r="E4" s="111"/>
      <c r="F4" s="111"/>
      <c r="G4" s="111"/>
      <c r="H4" s="111"/>
      <c r="I4" s="111"/>
      <c r="J4" s="122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23"/>
      <c r="B5" s="124"/>
      <c r="C5" s="124"/>
      <c r="D5" s="124"/>
      <c r="E5" s="124"/>
      <c r="F5" s="124"/>
      <c r="G5" s="124"/>
      <c r="H5" s="124"/>
      <c r="I5" s="124"/>
      <c r="J5" s="12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>
      <c r="A6" s="67"/>
      <c r="B6" s="68">
        <v>45200</v>
      </c>
      <c r="C6" s="68">
        <f t="shared" ref="C6:K6" si="0">EDATE(B6,1)</f>
        <v>45231</v>
      </c>
      <c r="D6" s="68">
        <f t="shared" si="0"/>
        <v>45261</v>
      </c>
      <c r="E6" s="68">
        <f t="shared" si="0"/>
        <v>45292</v>
      </c>
      <c r="F6" s="68">
        <f t="shared" si="0"/>
        <v>45323</v>
      </c>
      <c r="G6" s="68">
        <f t="shared" si="0"/>
        <v>45352</v>
      </c>
      <c r="H6" s="68">
        <f t="shared" si="0"/>
        <v>45383</v>
      </c>
      <c r="I6" s="68">
        <f t="shared" si="0"/>
        <v>45413</v>
      </c>
      <c r="J6" s="68">
        <f t="shared" si="0"/>
        <v>45444</v>
      </c>
      <c r="K6" s="68">
        <f t="shared" si="0"/>
        <v>45474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67"/>
      <c r="B7" s="69">
        <f t="shared" ref="B7:K7" si="1">NETWORKDAYS(B6,EOMONTH(B6,0))</f>
        <v>22</v>
      </c>
      <c r="C7" s="69">
        <f t="shared" si="1"/>
        <v>22</v>
      </c>
      <c r="D7" s="69">
        <f t="shared" si="1"/>
        <v>21</v>
      </c>
      <c r="E7" s="69">
        <f t="shared" si="1"/>
        <v>23</v>
      </c>
      <c r="F7" s="69">
        <f t="shared" si="1"/>
        <v>21</v>
      </c>
      <c r="G7" s="69">
        <f t="shared" si="1"/>
        <v>21</v>
      </c>
      <c r="H7" s="69">
        <f t="shared" si="1"/>
        <v>22</v>
      </c>
      <c r="I7" s="69">
        <f t="shared" si="1"/>
        <v>23</v>
      </c>
      <c r="J7" s="69">
        <f t="shared" si="1"/>
        <v>20</v>
      </c>
      <c r="K7" s="69">
        <f t="shared" si="1"/>
        <v>23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>
      <c r="B8" s="70" t="s">
        <v>52</v>
      </c>
      <c r="C8" s="70" t="s">
        <v>53</v>
      </c>
      <c r="D8" s="70" t="s">
        <v>54</v>
      </c>
      <c r="E8" s="70" t="s">
        <v>55</v>
      </c>
      <c r="F8" s="70" t="s">
        <v>56</v>
      </c>
      <c r="G8" s="70" t="s">
        <v>57</v>
      </c>
      <c r="H8" s="70" t="s">
        <v>58</v>
      </c>
      <c r="I8" s="70" t="s">
        <v>59</v>
      </c>
      <c r="J8" s="71" t="s">
        <v>60</v>
      </c>
      <c r="K8" s="71" t="s">
        <v>61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>
      <c r="A9" s="36" t="s">
        <v>62</v>
      </c>
      <c r="B9" s="72">
        <f>('Too-Big-To-Fail Contract'!$K$26-'Too-Big-To-Fail Contract'!$E$26)*B7</f>
        <v>6352.9417759276066</v>
      </c>
      <c r="C9" s="72">
        <f>(('Too-Big-To-Fail Contract'!$K$26-'Too-Big-To-Fail Contract'!$E$26)*C7)+B9</f>
        <v>12705.883551855213</v>
      </c>
      <c r="D9" s="72">
        <f>(('Too-Big-To-Fail Contract'!$K$26-'Too-Big-To-Fail Contract'!$E$26)*D7)+C9</f>
        <v>18770.055247058837</v>
      </c>
      <c r="E9" s="72">
        <f>(('Too-Big-To-Fail Contract'!$K$26-'Too-Big-To-Fail Contract'!$E$26)*E7)+D9</f>
        <v>25411.767103710426</v>
      </c>
      <c r="F9" s="72">
        <f>(('Too-Big-To-Fail Contract'!$K$26-'Too-Big-To-Fail Contract'!$E$26)*F7)+E9</f>
        <v>31475.938798914052</v>
      </c>
      <c r="G9" s="72">
        <f>(('Too-Big-To-Fail Contract'!$K$26-'Too-Big-To-Fail Contract'!$E$26)*G7)+F9</f>
        <v>37540.110494117675</v>
      </c>
      <c r="H9" s="72">
        <f>(('Too-Big-To-Fail Contract'!$K$26-'Too-Big-To-Fail Contract'!$E$26)*H7)+G9</f>
        <v>43893.052270045278</v>
      </c>
      <c r="I9" s="72">
        <f>(('Too-Big-To-Fail Contract'!$K$26-'Too-Big-To-Fail Contract'!$E$26)*I7)+H9</f>
        <v>50534.764126696871</v>
      </c>
      <c r="J9" s="72">
        <f>(('Too-Big-To-Fail Contract'!$K$26-'Too-Big-To-Fail Contract'!$E$26)*J7)+I9</f>
        <v>56310.165741176512</v>
      </c>
      <c r="K9" s="72">
        <f>(('Too-Big-To-Fail Contract'!$K$26-'Too-Big-To-Fail Contract'!$E$26)*K7)+J9</f>
        <v>62951.877597828105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>
      <c r="A10" s="36" t="s">
        <v>63</v>
      </c>
      <c r="B10" s="72">
        <f>('Incurred Contract'!$K$26-'Incurred Contract'!$E$26)*B7</f>
        <v>-22302.290432579193</v>
      </c>
      <c r="C10" s="72">
        <f>(('Incurred Contract'!$K$26-'Incurred Contract'!$E$26)*C7)+B10</f>
        <v>-44604.580865158387</v>
      </c>
      <c r="D10" s="72">
        <f>(('Incurred Contract'!$K$26-'Incurred Contract'!$E$26)*D7)+C10</f>
        <v>-65893.130823529442</v>
      </c>
      <c r="E10" s="72">
        <f>(('Incurred Contract'!$K$26-'Incurred Contract'!$E$26)*E7)+D10</f>
        <v>-89209.161730316788</v>
      </c>
      <c r="F10" s="72">
        <f>(('Incurred Contract'!$K$26-'Incurred Contract'!$E$26)*F7)+E10</f>
        <v>-110497.71168868784</v>
      </c>
      <c r="G10" s="72">
        <f>(('Incurred Contract'!$K$26-'Incurred Contract'!$E$26)*G7)+F10</f>
        <v>-131786.26164705888</v>
      </c>
      <c r="H10" s="72">
        <f>(('Incurred Contract'!$K$26-'Incurred Contract'!$E$26)*H7)+G10</f>
        <v>-154088.55207963809</v>
      </c>
      <c r="I10" s="72">
        <f>(('Incurred Contract'!$K$26-'Incurred Contract'!$E$26)*I7)+H10</f>
        <v>-177404.58298642543</v>
      </c>
      <c r="J10" s="72">
        <f>(('Incurred Contract'!$K$26-'Incurred Contract'!$E$26)*J7)+I10</f>
        <v>-197679.39247058833</v>
      </c>
      <c r="K10" s="72">
        <f>(('Incurred Contract'!$K$26-'Incurred Contract'!$E$26)*K7)+J10</f>
        <v>-220995.42337737567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>
      <c r="A11" s="36" t="s">
        <v>64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</sheetData>
  <mergeCells count="1">
    <mergeCell ref="A1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5"/>
  <sheetViews>
    <sheetView tabSelected="1" workbookViewId="0">
      <selection activeCell="T16" sqref="T16"/>
    </sheetView>
  </sheetViews>
  <sheetFormatPr defaultColWidth="12.6640625" defaultRowHeight="15.75" customHeight="1"/>
  <cols>
    <col min="1" max="1" width="13.33203125" customWidth="1"/>
    <col min="9" max="9" width="14.33203125" hidden="1" customWidth="1"/>
    <col min="10" max="13" width="12.6640625" hidden="1"/>
    <col min="15" max="19" width="12.6640625" hidden="1"/>
  </cols>
  <sheetData>
    <row r="1" spans="1:26" ht="13.2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12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12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2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27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>
      <c r="A6" s="128" t="s">
        <v>65</v>
      </c>
      <c r="B6" s="129"/>
      <c r="C6" s="129"/>
      <c r="D6" s="129"/>
      <c r="E6" s="117"/>
      <c r="F6" s="7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8">
      <c r="A7" s="74"/>
      <c r="B7" s="75" t="s">
        <v>66</v>
      </c>
      <c r="C7" s="75" t="s">
        <v>67</v>
      </c>
      <c r="D7" s="75" t="s">
        <v>68</v>
      </c>
      <c r="E7" s="76" t="s">
        <v>69</v>
      </c>
      <c r="F7" s="7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8">
      <c r="A8" s="77" t="s">
        <v>70</v>
      </c>
      <c r="B8" s="78">
        <v>34.583044414086402</v>
      </c>
      <c r="C8" s="78">
        <v>-84.916063600989006</v>
      </c>
      <c r="D8" s="25" t="s">
        <v>71</v>
      </c>
      <c r="E8" s="130">
        <v>23</v>
      </c>
      <c r="F8" s="7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8">
      <c r="A9" s="77" t="s">
        <v>72</v>
      </c>
      <c r="B9" s="78">
        <v>34.770517964788802</v>
      </c>
      <c r="C9" s="78">
        <v>-84.984728151289502</v>
      </c>
      <c r="D9" s="25" t="s">
        <v>73</v>
      </c>
      <c r="E9" s="111"/>
      <c r="F9" s="7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8">
      <c r="A10" s="80"/>
      <c r="B10" s="81"/>
      <c r="C10" s="81"/>
      <c r="D10" s="81"/>
      <c r="E10" s="82"/>
      <c r="F10" s="79"/>
      <c r="G10" s="1"/>
      <c r="H10" s="1"/>
      <c r="I10" s="1"/>
      <c r="J10" s="1"/>
      <c r="M10" s="8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131" t="s">
        <v>74</v>
      </c>
      <c r="B11" s="132"/>
      <c r="C11" s="132"/>
      <c r="D11" s="132"/>
      <c r="E11" s="133"/>
      <c r="F11" s="79"/>
      <c r="G11" s="1"/>
      <c r="H11" s="1"/>
      <c r="I11" s="1"/>
      <c r="J11" s="1"/>
      <c r="N11" s="8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34"/>
      <c r="B12" s="135"/>
      <c r="C12" s="135"/>
      <c r="D12" s="135"/>
      <c r="E12" s="136"/>
      <c r="F12" s="2"/>
      <c r="G12" s="1"/>
      <c r="H12" s="1"/>
      <c r="I12" s="1"/>
      <c r="J12" s="1"/>
      <c r="M12" s="8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8">
      <c r="A13" s="137" t="s">
        <v>75</v>
      </c>
      <c r="B13" s="85" t="s">
        <v>76</v>
      </c>
      <c r="C13" s="85" t="s">
        <v>77</v>
      </c>
      <c r="D13" s="39"/>
      <c r="E13" s="86"/>
      <c r="F13" s="2"/>
      <c r="G13" s="1"/>
      <c r="H13" s="1"/>
      <c r="I13" s="1"/>
      <c r="J13" s="1"/>
      <c r="M13" s="87"/>
      <c r="N13" s="36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2">
      <c r="A14" s="138"/>
      <c r="B14" s="88">
        <f>ACOS((SIN(RADIANS(B8)) * SIN(RADIANS(B9))) + (COS(RADIANS(B8)) * COS(RADIANS(B9))) * (COS(RADIANS(C9) - RADIANS(C8)))) * 6371</f>
        <v>21.771205271485869</v>
      </c>
      <c r="C14" s="89">
        <f>CONVERT(B14,"km", "mi")</f>
        <v>13.527999775986904</v>
      </c>
      <c r="D14" s="36"/>
      <c r="E14" s="90"/>
      <c r="F14" s="139" t="s">
        <v>78</v>
      </c>
      <c r="G14" s="140"/>
      <c r="H14" s="139" t="s">
        <v>79</v>
      </c>
      <c r="I14" s="141"/>
      <c r="J14" s="141"/>
      <c r="K14" s="141"/>
      <c r="L14" s="141"/>
      <c r="M14" s="141"/>
      <c r="N14" s="1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8">
      <c r="A15" s="91"/>
      <c r="B15" s="36" t="s">
        <v>80</v>
      </c>
      <c r="C15" s="36" t="s">
        <v>81</v>
      </c>
      <c r="D15" s="36"/>
      <c r="E15" s="90"/>
      <c r="F15" s="92" t="s">
        <v>82</v>
      </c>
      <c r="G15" s="83" t="s">
        <v>83</v>
      </c>
      <c r="H15" s="92" t="s">
        <v>82</v>
      </c>
      <c r="I15" s="84" t="s">
        <v>84</v>
      </c>
      <c r="J15" s="84" t="s">
        <v>85</v>
      </c>
      <c r="K15" s="84" t="s">
        <v>86</v>
      </c>
      <c r="L15" s="84" t="s">
        <v>87</v>
      </c>
      <c r="M15" s="84" t="s">
        <v>88</v>
      </c>
      <c r="N15" s="92" t="s">
        <v>83</v>
      </c>
      <c r="O15" s="84" t="s">
        <v>84</v>
      </c>
      <c r="P15" s="84" t="s">
        <v>85</v>
      </c>
      <c r="Q15" s="84" t="s">
        <v>86</v>
      </c>
      <c r="R15" s="84" t="s">
        <v>87</v>
      </c>
      <c r="S15" s="84" t="s">
        <v>88</v>
      </c>
      <c r="T15" s="1"/>
      <c r="U15" s="1"/>
      <c r="V15" s="1"/>
      <c r="W15" s="1"/>
      <c r="X15" s="1"/>
      <c r="Y15" s="1"/>
      <c r="Z15" s="1"/>
    </row>
    <row r="16" spans="1:26" ht="17.399999999999999">
      <c r="A16" s="93" t="s">
        <v>33</v>
      </c>
      <c r="B16" s="36" t="str">
        <f t="shared" ref="B16:B20" si="0">IF(AND(F16&lt;1,G16&lt;1,$E$8&lt;&gt;0,NOT(ISBLANK($B$8))),"True","False")</f>
        <v>True</v>
      </c>
      <c r="C16" s="94">
        <f ca="1">IFERROR(__xludf.DUMMYFUNCTION("IF(REGEXMATCH(B16, ""True""), H24*$E$8,""-"")"),134.069685067873)</f>
        <v>134.069685067873</v>
      </c>
      <c r="D16" s="36" t="str">
        <f t="shared" ref="D16:D20" si="1">B24</f>
        <v>Ringgold</v>
      </c>
      <c r="E16" s="90"/>
      <c r="F16" s="95">
        <f t="shared" ref="F16:F20" si="2">ABS(($B$8-D24)/($C$8-E24)-($B$8-F24)/($C$8-G24))</f>
        <v>0.14619274677887284</v>
      </c>
      <c r="G16" s="96">
        <f t="shared" ref="G16:G20" si="3">ABS(($B$9-D24)/($C$9-E24)-($B$9-F24)/($C$9-G24))</f>
        <v>0.54278539064953901</v>
      </c>
      <c r="H16" s="1">
        <f t="shared" ref="H16:H20" si="4">CONVERT(2*(M16/I16),"km", "mi")</f>
        <v>0.47924517991953214</v>
      </c>
      <c r="I16" s="97">
        <f t="shared" ref="I16:I20" si="5">C24</f>
        <v>90.240960635680878</v>
      </c>
      <c r="J16" s="97">
        <f t="shared" ref="J16:J20" si="6">CONVERT(ACOS((SIN(RADIANS(D24)) * SIN(RADIANS($B$8))) + (COS(RADIANS(D24)) * COS(RADIANS($B$8))) * (COS(RADIANS(E24) - RADIANS($C$8)))) * 6371,"km", "mi")</f>
        <v>64.736181858750442</v>
      </c>
      <c r="K16" s="97">
        <f t="shared" ref="K16:K20" si="7">CONVERT(ACOS((SIN(RADIANS(F24)) * SIN(RADIANS($B$8))) + (COS(RADIANS(F24)) * COS(RADIANS($B$8))) * (COS(RADIANS(G24) - RADIANS($C$8)))) * 6371,"km", "mi")</f>
        <v>25.521030350507541</v>
      </c>
      <c r="L16" s="1">
        <f t="shared" ref="L16:L20" si="8">(I16+J16+K16)/2</f>
        <v>90.249086422469432</v>
      </c>
      <c r="M16" s="1">
        <f t="shared" ref="M16:M20" si="9">SQRT(L16*(L16-I16)*(L16-J16)*(L16-K16))</f>
        <v>34.800088864949991</v>
      </c>
      <c r="N16" s="1">
        <f t="shared" ref="N16:N20" si="10">CONVERT(2*(S16/O16),"km", "mi")</f>
        <v>1.0591676000723269</v>
      </c>
      <c r="O16" s="97">
        <f t="shared" ref="O16:O20" si="11">C24</f>
        <v>90.240960635680878</v>
      </c>
      <c r="P16" s="97">
        <f t="shared" ref="P16:P20" si="12">CONVERT(ACOS((SIN(RADIANS(D24)) * SIN(RADIANS($B$9))) + (COS(RADIANS(D24)) * COS(RADIANS($B$9))) * (COS(RADIANS(E24) - RADIANS($C$9)))) * 6371,"km", "mi")</f>
        <v>78.049707543737171</v>
      </c>
      <c r="Q16" s="97">
        <f t="shared" ref="Q16:Q20" si="13">CONVERT(ACOS((SIN(RADIANS(F24)) * SIN(RADIANS($B$9))) + (COS(RADIANS(F24)) * COS(RADIANS($B$9))) * (COS(RADIANS(G24) - RADIANS($C$9)))) * 6371,"km", "mi")</f>
        <v>12.328277902610063</v>
      </c>
      <c r="R16" s="1">
        <f t="shared" ref="R16:R20" si="14">(O16+P16+Q16)/2</f>
        <v>90.309473041014058</v>
      </c>
      <c r="S16" s="1">
        <f t="shared" ref="S16:S20" si="15">SQRT(R16*(R16-O16)*(R16-P16)*(R16-Q16))</f>
        <v>76.910792533336775</v>
      </c>
      <c r="T16" s="1"/>
      <c r="U16" s="1"/>
      <c r="V16" s="1"/>
      <c r="W16" s="1"/>
      <c r="X16" s="1"/>
      <c r="Y16" s="1"/>
      <c r="Z16" s="1"/>
    </row>
    <row r="17" spans="1:26" ht="17.399999999999999">
      <c r="A17" s="93" t="s">
        <v>35</v>
      </c>
      <c r="B17" s="36" t="str">
        <f t="shared" si="0"/>
        <v>False</v>
      </c>
      <c r="C17" s="94" t="str">
        <f ca="1">IFERROR(__xludf.DUMMYFUNCTION("IF(REGEXMATCH(B17, ""True""), H25*$E$8,""-"")"),"-")</f>
        <v>-</v>
      </c>
      <c r="D17" s="36" t="str">
        <f t="shared" si="1"/>
        <v>Augusta</v>
      </c>
      <c r="E17" s="90"/>
      <c r="F17" s="95">
        <f t="shared" si="2"/>
        <v>1.1989495284910079</v>
      </c>
      <c r="G17" s="96">
        <f t="shared" si="3"/>
        <v>1.2801802678751475</v>
      </c>
      <c r="H17" s="1">
        <f t="shared" si="4"/>
        <v>33.017516852116557</v>
      </c>
      <c r="I17" s="97">
        <f t="shared" si="5"/>
        <v>144.94970287522128</v>
      </c>
      <c r="J17" s="97">
        <f t="shared" si="6"/>
        <v>64.736181858750442</v>
      </c>
      <c r="K17" s="97">
        <f t="shared" si="7"/>
        <v>189.52765371560648</v>
      </c>
      <c r="L17" s="1">
        <f t="shared" si="8"/>
        <v>199.6067692247891</v>
      </c>
      <c r="M17" s="1">
        <f t="shared" si="9"/>
        <v>3851.0630338040596</v>
      </c>
      <c r="N17" s="1">
        <f t="shared" si="10"/>
        <v>40.720632266049144</v>
      </c>
      <c r="O17" s="97">
        <f t="shared" si="11"/>
        <v>144.94970287522128</v>
      </c>
      <c r="P17" s="97">
        <f t="shared" si="12"/>
        <v>78.049707543737171</v>
      </c>
      <c r="Q17" s="97">
        <f t="shared" si="13"/>
        <v>198.47344426111769</v>
      </c>
      <c r="R17" s="1">
        <f t="shared" si="14"/>
        <v>210.73642734003806</v>
      </c>
      <c r="S17" s="1">
        <f t="shared" si="15"/>
        <v>4749.531054539555</v>
      </c>
      <c r="T17" s="1"/>
      <c r="U17" s="1"/>
      <c r="V17" s="1"/>
      <c r="W17" s="1"/>
      <c r="X17" s="1"/>
      <c r="Y17" s="1"/>
      <c r="Z17" s="1"/>
    </row>
    <row r="18" spans="1:26" ht="17.399999999999999">
      <c r="A18" s="93" t="s">
        <v>37</v>
      </c>
      <c r="B18" s="36" t="str">
        <f t="shared" si="0"/>
        <v>False</v>
      </c>
      <c r="C18" s="94" t="str">
        <f ca="1">IFERROR(__xludf.DUMMYFUNCTION("IF(REGEXMATCH(B18, ""True""), H26*$E$8,""-"")"),"-")</f>
        <v>-</v>
      </c>
      <c r="D18" s="36" t="str">
        <f t="shared" si="1"/>
        <v>Savannah</v>
      </c>
      <c r="E18" s="90"/>
      <c r="F18" s="95">
        <f t="shared" si="2"/>
        <v>0.93268344243824108</v>
      </c>
      <c r="G18" s="96">
        <f t="shared" si="3"/>
        <v>1.0304442878545022</v>
      </c>
      <c r="H18" s="1">
        <f t="shared" si="4"/>
        <v>21.8874172574318</v>
      </c>
      <c r="I18" s="97">
        <f t="shared" si="5"/>
        <v>229.06768568451207</v>
      </c>
      <c r="J18" s="97">
        <f t="shared" si="6"/>
        <v>64.736181858750442</v>
      </c>
      <c r="K18" s="97">
        <f t="shared" si="7"/>
        <v>285.56254198053898</v>
      </c>
      <c r="L18" s="1">
        <f t="shared" si="8"/>
        <v>289.68320476190075</v>
      </c>
      <c r="M18" s="1">
        <f t="shared" si="9"/>
        <v>4034.3840198952767</v>
      </c>
      <c r="N18" s="1">
        <f t="shared" si="10"/>
        <v>27.747971737267473</v>
      </c>
      <c r="O18" s="97">
        <f t="shared" si="11"/>
        <v>229.06768568451207</v>
      </c>
      <c r="P18" s="97">
        <f t="shared" si="12"/>
        <v>78.049707543737171</v>
      </c>
      <c r="Q18" s="97">
        <f t="shared" si="13"/>
        <v>296.46270570682907</v>
      </c>
      <c r="R18" s="1">
        <f t="shared" si="14"/>
        <v>301.79004946753912</v>
      </c>
      <c r="S18" s="1">
        <f t="shared" si="15"/>
        <v>5114.6269312943632</v>
      </c>
      <c r="T18" s="1"/>
      <c r="U18" s="1"/>
      <c r="V18" s="1"/>
      <c r="W18" s="1"/>
      <c r="X18" s="1"/>
      <c r="Y18" s="1"/>
      <c r="Z18" s="1"/>
    </row>
    <row r="19" spans="1:26" ht="17.399999999999999">
      <c r="A19" s="93" t="s">
        <v>39</v>
      </c>
      <c r="B19" s="36" t="str">
        <f t="shared" si="0"/>
        <v>False</v>
      </c>
      <c r="C19" s="94" t="str">
        <f ca="1">IFERROR(__xludf.DUMMYFUNCTION("IF(REGEXMATCH(B19, ""True""), H27*$E$8,""-"")"),"-")</f>
        <v>-</v>
      </c>
      <c r="D19" s="36" t="str">
        <f t="shared" si="1"/>
        <v>Albany</v>
      </c>
      <c r="E19" s="90"/>
      <c r="F19" s="95">
        <f t="shared" si="2"/>
        <v>2.5203587296596455</v>
      </c>
      <c r="G19" s="96">
        <f t="shared" si="3"/>
        <v>2.2707256112420517</v>
      </c>
      <c r="H19" s="1">
        <f t="shared" si="4"/>
        <v>15.74960558420668</v>
      </c>
      <c r="I19" s="97">
        <f t="shared" si="5"/>
        <v>150.92172403758764</v>
      </c>
      <c r="J19" s="97">
        <f t="shared" si="6"/>
        <v>64.736181858750442</v>
      </c>
      <c r="K19" s="97">
        <f t="shared" si="7"/>
        <v>212.0101401850188</v>
      </c>
      <c r="L19" s="1">
        <f t="shared" si="8"/>
        <v>213.83402304067846</v>
      </c>
      <c r="M19" s="1">
        <f t="shared" si="9"/>
        <v>1912.671248180915</v>
      </c>
      <c r="N19" s="1">
        <f t="shared" si="10"/>
        <v>17.471831306488543</v>
      </c>
      <c r="O19" s="97">
        <f t="shared" si="11"/>
        <v>150.92172403758764</v>
      </c>
      <c r="P19" s="97">
        <f t="shared" si="12"/>
        <v>78.049707543737171</v>
      </c>
      <c r="Q19" s="97">
        <f t="shared" si="13"/>
        <v>225.49055237948789</v>
      </c>
      <c r="R19" s="1">
        <f t="shared" si="14"/>
        <v>227.23099198040634</v>
      </c>
      <c r="S19" s="1">
        <f t="shared" si="15"/>
        <v>2121.8226205295232</v>
      </c>
      <c r="T19" s="1"/>
      <c r="U19" s="1"/>
      <c r="V19" s="1"/>
      <c r="W19" s="1"/>
      <c r="X19" s="1"/>
      <c r="Y19" s="1"/>
      <c r="Z19" s="1"/>
    </row>
    <row r="20" spans="1:26" ht="17.399999999999999">
      <c r="A20" s="98" t="s">
        <v>41</v>
      </c>
      <c r="B20" s="99" t="str">
        <f t="shared" si="0"/>
        <v>False</v>
      </c>
      <c r="C20" s="100" t="str">
        <f ca="1">IFERROR(__xludf.DUMMYFUNCTION("IF(REGEXMATCH(B20, ""True""), H28*$E$8,""-"")"),"-")</f>
        <v>-</v>
      </c>
      <c r="D20" s="99" t="str">
        <f t="shared" si="1"/>
        <v>Columbus</v>
      </c>
      <c r="E20" s="101"/>
      <c r="F20" s="95">
        <f t="shared" si="2"/>
        <v>10.288924023765428</v>
      </c>
      <c r="G20" s="96">
        <f t="shared" si="3"/>
        <v>14.939907820163789</v>
      </c>
      <c r="H20" s="1">
        <f t="shared" si="4"/>
        <v>32.75686200274302</v>
      </c>
      <c r="I20" s="97">
        <f t="shared" si="5"/>
        <v>99.572969301523429</v>
      </c>
      <c r="J20" s="97">
        <f t="shared" si="6"/>
        <v>64.736181858750442</v>
      </c>
      <c r="K20" s="97">
        <f t="shared" si="7"/>
        <v>146.9283478764242</v>
      </c>
      <c r="L20" s="1">
        <f t="shared" si="8"/>
        <v>155.61874951834903</v>
      </c>
      <c r="M20" s="1">
        <f t="shared" si="9"/>
        <v>2624.5970648149691</v>
      </c>
      <c r="N20" s="1">
        <f t="shared" si="10"/>
        <v>38.521336648717089</v>
      </c>
      <c r="O20" s="97">
        <f t="shared" si="11"/>
        <v>99.572969301523429</v>
      </c>
      <c r="P20" s="97">
        <f t="shared" si="12"/>
        <v>78.049707543737171</v>
      </c>
      <c r="Q20" s="97">
        <f t="shared" si="13"/>
        <v>159.52957534156872</v>
      </c>
      <c r="R20" s="1">
        <f t="shared" si="14"/>
        <v>168.57612609341464</v>
      </c>
      <c r="S20" s="1">
        <f t="shared" si="15"/>
        <v>3086.4674123090895</v>
      </c>
      <c r="T20" s="1"/>
      <c r="U20" s="1"/>
      <c r="V20" s="1"/>
      <c r="W20" s="1"/>
      <c r="X20" s="1"/>
      <c r="Y20" s="1"/>
      <c r="Z20" s="1"/>
    </row>
    <row r="21" spans="1:26" ht="13.2">
      <c r="A21" s="13"/>
      <c r="B21" s="13"/>
      <c r="C21" s="13"/>
      <c r="D21" s="13"/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84"/>
      <c r="B22" s="84"/>
      <c r="C22" s="84"/>
      <c r="D22" s="84" t="s">
        <v>89</v>
      </c>
      <c r="E22" s="84"/>
      <c r="F22" s="84" t="s">
        <v>90</v>
      </c>
      <c r="G22" s="84"/>
      <c r="H22" s="84"/>
      <c r="I22" s="84"/>
      <c r="J22" s="8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84"/>
      <c r="B23" s="84"/>
      <c r="C23" s="84" t="s">
        <v>91</v>
      </c>
      <c r="D23" s="84" t="s">
        <v>66</v>
      </c>
      <c r="E23" s="84" t="s">
        <v>67</v>
      </c>
      <c r="F23" s="84" t="s">
        <v>66</v>
      </c>
      <c r="G23" s="84" t="s">
        <v>67</v>
      </c>
      <c r="H23" s="84" t="s">
        <v>92</v>
      </c>
      <c r="I23" s="84"/>
      <c r="J23" s="8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>
      <c r="A24" s="102" t="s">
        <v>33</v>
      </c>
      <c r="B24" s="103" t="s">
        <v>34</v>
      </c>
      <c r="C24" s="97">
        <f t="shared" ref="C24:C28" si="16">CONVERT(ACOS((SIN(RADIANS(D24)) * SIN(RADIANS(F24))) + (COS(RADIANS(D24)) * COS(RADIANS(F24))) * (COS(RADIANS(G24) - RADIANS(E24)))) * 6371,"km", "mi")</f>
        <v>90.240960635680878</v>
      </c>
      <c r="D24" s="96">
        <v>33.754413815792198</v>
      </c>
      <c r="E24" s="96">
        <v>-84.387529877652497</v>
      </c>
      <c r="F24" s="96">
        <v>34.916121005005699</v>
      </c>
      <c r="G24" s="96">
        <v>-85.110392470222095</v>
      </c>
      <c r="H24" s="97">
        <f>'Incurred Contract'!J30</f>
        <v>5.8291167420814478</v>
      </c>
      <c r="I24" s="84"/>
      <c r="J24" s="8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>
      <c r="A25" s="102" t="s">
        <v>35</v>
      </c>
      <c r="B25" s="103" t="s">
        <v>36</v>
      </c>
      <c r="C25" s="97">
        <f t="shared" si="16"/>
        <v>144.94970287522128</v>
      </c>
      <c r="D25" s="96">
        <v>33.754413815792198</v>
      </c>
      <c r="E25" s="96">
        <v>-84.387529877652497</v>
      </c>
      <c r="F25" s="96">
        <v>33.467671619560598</v>
      </c>
      <c r="G25" s="96">
        <v>-81.892076793834406</v>
      </c>
      <c r="H25" s="97">
        <f>'Incurred Contract'!J31</f>
        <v>5.459746968325792</v>
      </c>
      <c r="I25" s="84"/>
      <c r="J25" s="8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>
      <c r="A26" s="102" t="s">
        <v>37</v>
      </c>
      <c r="B26" s="103" t="s">
        <v>38</v>
      </c>
      <c r="C26" s="97">
        <f t="shared" si="16"/>
        <v>229.06768568451207</v>
      </c>
      <c r="D26" s="96">
        <v>33.754413815792198</v>
      </c>
      <c r="E26" s="96">
        <v>-84.387529877652497</v>
      </c>
      <c r="F26" s="96">
        <v>32.0815296895872</v>
      </c>
      <c r="G26" s="96">
        <v>-80.977339638222801</v>
      </c>
      <c r="H26" s="97">
        <f>'Incurred Contract'!J32</f>
        <v>14.313078733031674</v>
      </c>
      <c r="I26" s="84"/>
      <c r="J26" s="8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>
      <c r="A27" s="102" t="s">
        <v>39</v>
      </c>
      <c r="B27" s="103" t="s">
        <v>40</v>
      </c>
      <c r="C27" s="97">
        <f t="shared" si="16"/>
        <v>150.92172403758764</v>
      </c>
      <c r="D27" s="96">
        <v>33.754413815792198</v>
      </c>
      <c r="E27" s="96">
        <v>-84.387529877652497</v>
      </c>
      <c r="F27" s="96">
        <v>31.577041065074599</v>
      </c>
      <c r="G27" s="96">
        <v>-84.180766879416396</v>
      </c>
      <c r="H27" s="97">
        <f>'Incurred Contract'!J33</f>
        <v>10.503952941176472</v>
      </c>
      <c r="I27" s="84"/>
      <c r="J27" s="8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>
      <c r="A28" s="102" t="s">
        <v>41</v>
      </c>
      <c r="B28" s="103" t="s">
        <v>42</v>
      </c>
      <c r="C28" s="97">
        <f t="shared" si="16"/>
        <v>99.572969301523429</v>
      </c>
      <c r="D28" s="96">
        <v>33.754413815792198</v>
      </c>
      <c r="E28" s="96">
        <v>-84.387529877652497</v>
      </c>
      <c r="F28" s="96">
        <v>32.466171012081901</v>
      </c>
      <c r="G28" s="96">
        <v>-85.158792783146595</v>
      </c>
      <c r="H28" s="97">
        <f>'Incurred Contract'!J34</f>
        <v>6.1754009049773746</v>
      </c>
      <c r="I28" s="84"/>
      <c r="J28" s="8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7">
    <mergeCell ref="A1:N5"/>
    <mergeCell ref="A6:E6"/>
    <mergeCell ref="E8:E9"/>
    <mergeCell ref="A11:E12"/>
    <mergeCell ref="A13:A14"/>
    <mergeCell ref="F14:G14"/>
    <mergeCell ref="H14:N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7"/>
  <sheetViews>
    <sheetView workbookViewId="0">
      <selection activeCell="G29" sqref="G29"/>
    </sheetView>
  </sheetViews>
  <sheetFormatPr defaultColWidth="12.6640625" defaultRowHeight="15.75" customHeight="1"/>
  <sheetData>
    <row r="1" spans="1:5">
      <c r="A1" s="19"/>
      <c r="B1" s="104" t="s">
        <v>66</v>
      </c>
      <c r="C1" s="104" t="s">
        <v>67</v>
      </c>
      <c r="D1" s="104" t="s">
        <v>68</v>
      </c>
      <c r="E1" s="105" t="s">
        <v>69</v>
      </c>
    </row>
    <row r="2" spans="1:5">
      <c r="A2" s="105" t="s">
        <v>70</v>
      </c>
      <c r="B2" s="78">
        <v>34.583044414086402</v>
      </c>
      <c r="C2" s="78">
        <v>-84.916063600989006</v>
      </c>
      <c r="D2" s="25" t="s">
        <v>71</v>
      </c>
      <c r="E2" s="130">
        <v>23</v>
      </c>
    </row>
    <row r="3" spans="1:5">
      <c r="A3" s="105" t="s">
        <v>72</v>
      </c>
      <c r="B3" s="78">
        <v>34.770517964788802</v>
      </c>
      <c r="C3" s="78">
        <v>-84.984728151289502</v>
      </c>
      <c r="D3" s="25" t="s">
        <v>73</v>
      </c>
      <c r="E3" s="111"/>
    </row>
    <row r="4" spans="1:5">
      <c r="A4" s="105" t="s">
        <v>70</v>
      </c>
      <c r="B4" s="106">
        <v>33.1762026402372</v>
      </c>
      <c r="C4" s="106">
        <v>-84.940782837750803</v>
      </c>
      <c r="D4" s="106" t="s">
        <v>93</v>
      </c>
      <c r="E4" s="130">
        <v>12</v>
      </c>
    </row>
    <row r="5" spans="1:5">
      <c r="A5" s="105" t="s">
        <v>72</v>
      </c>
      <c r="B5" s="106">
        <v>33.373681910206699</v>
      </c>
      <c r="C5" s="106">
        <v>-84.808946901173996</v>
      </c>
      <c r="D5" s="106" t="s">
        <v>94</v>
      </c>
      <c r="E5" s="111"/>
    </row>
    <row r="6" spans="1:5">
      <c r="A6" s="105" t="s">
        <v>70</v>
      </c>
      <c r="B6" s="106">
        <v>33.1287584753941</v>
      </c>
      <c r="C6" s="106">
        <v>-83.270307681817698</v>
      </c>
      <c r="D6" s="106" t="s">
        <v>95</v>
      </c>
      <c r="E6" s="130">
        <v>10</v>
      </c>
    </row>
    <row r="7" spans="1:5">
      <c r="A7" s="105" t="s">
        <v>72</v>
      </c>
      <c r="B7" s="106">
        <v>32.584259127537599</v>
      </c>
      <c r="C7" s="106">
        <v>-82.896772528183604</v>
      </c>
      <c r="D7" s="106" t="s">
        <v>96</v>
      </c>
      <c r="E7" s="111"/>
    </row>
  </sheetData>
  <mergeCells count="3">
    <mergeCell ref="E2:E3"/>
    <mergeCell ref="E4:E5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Too-Big-To-Fail Contract</vt:lpstr>
      <vt:lpstr>Incurred Contract</vt:lpstr>
      <vt:lpstr>Projected Revenue</vt:lpstr>
      <vt:lpstr>Price Order Calculator</vt:lpstr>
      <vt:lpstr>Orders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Junaid Alam</cp:lastModifiedBy>
  <dcterms:modified xsi:type="dcterms:W3CDTF">2023-10-18T01:58:13Z</dcterms:modified>
</cp:coreProperties>
</file>