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bookViews>
    <workbookView xWindow="0" yWindow="0" windowWidth="14415" windowHeight="5865" tabRatio="830"/>
  </bookViews>
  <sheets>
    <sheet name="Lease" sheetId="1" r:id="rId1"/>
    <sheet name="Monthly" sheetId="13" r:id="rId2"/>
    <sheet name="Quarterly" sheetId="14" r:id="rId3"/>
    <sheet name="Yearly" sheetId="16" r:id="rId4"/>
    <sheet name="Cumulative Catchup" sheetId="19" r:id="rId5"/>
    <sheet name="Retrospective" sheetId="20" r:id="rId6"/>
  </sheets>
  <definedNames>
    <definedName name="_xlnm._FilterDatabase" localSheetId="0" hidden="1">Lease!$A$3:$M$3</definedName>
  </definedNames>
  <calcPr calcId="162913"/>
  <oleSize ref="A1:G16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<sst xmlns="http://schemas.openxmlformats.org/spreadsheetml/2006/main" count="143" uniqueCount="103">
  <si>
    <t>Asset</t>
  </si>
  <si>
    <t>NBV opening (1 Jan)</t>
  </si>
  <si>
    <t>depreciation</t>
  </si>
  <si>
    <t>NBV closing (31 Dec)</t>
  </si>
  <si>
    <t>Lease liability</t>
  </si>
  <si>
    <t>Lease payment</t>
  </si>
  <si>
    <t>Commencement date</t>
  </si>
  <si>
    <t>Yearly</t>
  </si>
  <si>
    <t>Payment</t>
  </si>
  <si>
    <t>Initial direct cost</t>
  </si>
  <si>
    <t>Year</t>
  </si>
  <si>
    <t>Date of payment</t>
  </si>
  <si>
    <t>Sr. No.</t>
  </si>
  <si>
    <t>Discount factor</t>
  </si>
  <si>
    <t>Discounted amount</t>
  </si>
  <si>
    <t>Finance charge</t>
  </si>
  <si>
    <t>Closing balance</t>
  </si>
  <si>
    <t>Opening Balance</t>
  </si>
  <si>
    <t>Repayment Schedule</t>
  </si>
  <si>
    <t>Quarterly</t>
  </si>
  <si>
    <t>Period</t>
  </si>
  <si>
    <t>Ending</t>
  </si>
  <si>
    <t>Beginning</t>
  </si>
  <si>
    <t>Monthly</t>
  </si>
  <si>
    <t xml:space="preserve">Payments at </t>
  </si>
  <si>
    <t>Annual discount rate</t>
  </si>
  <si>
    <t>Lease term (periods)</t>
  </si>
  <si>
    <t>Payment intervals</t>
  </si>
  <si>
    <t>Right-of use asset at initial recognition</t>
  </si>
  <si>
    <t>Lease No. 1</t>
  </si>
  <si>
    <t>Lease No. 2</t>
  </si>
  <si>
    <t>Lease No. 3</t>
  </si>
  <si>
    <t>Lease No. 4</t>
  </si>
  <si>
    <t>Lease No. 5</t>
  </si>
  <si>
    <t>Lease No. 6</t>
  </si>
  <si>
    <t>Lease No. 7</t>
  </si>
  <si>
    <t>Lease No. 8</t>
  </si>
  <si>
    <t>Useful life of the Asset ( years)</t>
  </si>
  <si>
    <t>Lease Contract No.</t>
  </si>
  <si>
    <t>Value</t>
  </si>
  <si>
    <t>Useful life</t>
  </si>
  <si>
    <t>Residual value</t>
  </si>
  <si>
    <t xml:space="preserve">Method </t>
  </si>
  <si>
    <t>Straight line</t>
  </si>
  <si>
    <t>Monthly depreciation</t>
  </si>
  <si>
    <t>Reducing balance</t>
  </si>
  <si>
    <t>Guaranteed residual value</t>
  </si>
  <si>
    <t>Expected period</t>
  </si>
  <si>
    <t>Escalation %-age</t>
  </si>
  <si>
    <t>Escalation after every</t>
  </si>
  <si>
    <t xml:space="preserve">Total Check </t>
  </si>
  <si>
    <t>Payment date</t>
  </si>
  <si>
    <t>Number of days in each month</t>
  </si>
  <si>
    <t>Start of month</t>
  </si>
  <si>
    <t>End of month</t>
  </si>
  <si>
    <t>Number of days for which Finance charge is to be calculated</t>
  </si>
  <si>
    <t>Finance charge as per repayment schedule</t>
  </si>
  <si>
    <t>Finance charge to be booked</t>
  </si>
  <si>
    <t>Finance charge for remaining days of the month</t>
  </si>
  <si>
    <t>Entry for the month of</t>
  </si>
  <si>
    <t>Start of the month of payment</t>
  </si>
  <si>
    <t>End of the month of payment</t>
  </si>
  <si>
    <t>Finance Charge as per repayment schedule</t>
  </si>
  <si>
    <t>Total days in the month</t>
  </si>
  <si>
    <t>Days in the month of payment for which finance charge is to be apportioned</t>
  </si>
  <si>
    <t>Remaining finance charge for the month of next payment</t>
  </si>
  <si>
    <t>Finance charge for the month of:</t>
  </si>
  <si>
    <t>Carrying value of liability before initial application date</t>
  </si>
  <si>
    <t>Last payment date before initial application</t>
  </si>
  <si>
    <t xml:space="preserve">Charge for the period </t>
  </si>
  <si>
    <t>Initial application date</t>
  </si>
  <si>
    <t>Charge per day</t>
  </si>
  <si>
    <t>Number of days from last payment to initial application date</t>
  </si>
  <si>
    <t>Number of days between last payment and next payment after initial application date</t>
  </si>
  <si>
    <t>Date of next payment</t>
  </si>
  <si>
    <t>Year of initial application</t>
  </si>
  <si>
    <t>Year before initial application</t>
  </si>
  <si>
    <t>Right to use</t>
  </si>
  <si>
    <t>Total days</t>
  </si>
  <si>
    <t>Days till initial application</t>
  </si>
  <si>
    <t>Per day</t>
  </si>
  <si>
    <t>Remaining days</t>
  </si>
  <si>
    <t>Useful life Ending date</t>
  </si>
  <si>
    <t>Initial application</t>
  </si>
  <si>
    <t>Number of days (Initial application date - Commencement days)</t>
  </si>
  <si>
    <t>Depreciation till 1/1/2019</t>
  </si>
  <si>
    <t>Carrying value</t>
  </si>
  <si>
    <t>Retained earnings</t>
  </si>
  <si>
    <t>Note</t>
  </si>
  <si>
    <t>Expense of rent in respect of this lease should be reversed</t>
  </si>
  <si>
    <t>Expense</t>
  </si>
  <si>
    <t>DR</t>
  </si>
  <si>
    <t>CR</t>
  </si>
  <si>
    <t>First 15</t>
  </si>
  <si>
    <t>Retained earning</t>
  </si>
  <si>
    <t>Depreciation till 1/1/2018</t>
  </si>
  <si>
    <t xml:space="preserve">IFRS 16 </t>
  </si>
  <si>
    <t>Cumulative Catchup</t>
  </si>
  <si>
    <t>Opening Journal entry</t>
  </si>
  <si>
    <t>Retrospective</t>
  </si>
  <si>
    <t>Lease liability on initial application date</t>
  </si>
  <si>
    <t>Discount rate for lease liability and asset recognition has to be Commencement date discount rate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</si>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</sst>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#,##0.0000"/>
    <numFmt numFmtId="166" formatCode="#,##0;\(#,##0\);&quot;-&quot;"/>
    <numFmt numFmtId="167" formatCode="_(* #,##0_);_(* \(#,##0\);_(* &quot;-&quot;??_);_(@_)"/>
    <numFmt numFmtId="168" formatCode="mmmm"/>
    <numFmt numFmtId="169" formatCode="mmm"/>
    <numFmt numFmtId="170" formatCode="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7">
    <xf numFmtId="0" fontId="0" fillId="0" borderId="0" xfId="0"/>
    <xf numFmtId="164" fontId="0" fillId="0" borderId="0" xfId="1" applyFont="1"/>
    <xf numFmtId="0" fontId="1" fillId="0" borderId="0" xfId="0" applyFont="1"/>
    <xf numFmtId="167" fontId="0" fillId="0" borderId="1" xfId="1" applyNumberFormat="1" applyFont="1" applyBorder="1"/>
    <xf numFmtId="164" fontId="0" fillId="0" borderId="1" xfId="1" applyFont="1" applyBorder="1"/>
    <xf numFmtId="0" fontId="0" fillId="0" borderId="0" xfId="0" applyFill="1"/>
    <xf numFmtId="164" fontId="0" fillId="0" borderId="0" xfId="1" applyFont="1" applyFill="1"/>
    <xf numFmtId="14" fontId="0" fillId="0" borderId="0" xfId="0" applyNumberFormat="1"/>
    <xf numFmtId="167" fontId="0" fillId="0" borderId="1" xfId="0" applyNumberFormat="1" applyBorder="1"/>
    <xf numFmtId="14" fontId="0" fillId="0" borderId="1" xfId="0" applyNumberFormat="1" applyBorder="1"/>
    <xf numFmtId="1" fontId="0" fillId="0" borderId="1" xfId="1" applyNumberFormat="1" applyFon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165" fontId="0" fillId="0" borderId="1" xfId="0" applyNumberFormat="1" applyFill="1" applyBorder="1"/>
    <xf numFmtId="9" fontId="0" fillId="0" borderId="1" xfId="0" applyNumberFormat="1" applyFill="1" applyBorder="1" applyAlignment="1">
      <alignment horizontal="left"/>
    </xf>
    <xf numFmtId="164" fontId="0" fillId="0" borderId="1" xfId="1" applyFont="1" applyFill="1" applyBorder="1"/>
    <xf numFmtId="164" fontId="0" fillId="0" borderId="1" xfId="1" applyFont="1" applyFill="1" applyBorder="1" applyAlignment="1">
      <alignment horizontal="left"/>
    </xf>
    <xf numFmtId="2" fontId="0" fillId="0" borderId="0" xfId="0" applyNumberFormat="1"/>
    <xf numFmtId="9" fontId="0" fillId="0" borderId="1" xfId="0" applyNumberFormat="1" applyFill="1" applyBorder="1"/>
    <xf numFmtId="169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15" fontId="6" fillId="2" borderId="0" xfId="0" applyNumberFormat="1" applyFont="1" applyFill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164" fontId="6" fillId="2" borderId="1" xfId="0" applyNumberFormat="1" applyFont="1" applyFill="1" applyBorder="1" applyAlignment="1">
      <alignment vertical="center" wrapText="1"/>
    </xf>
    <xf numFmtId="14" fontId="6" fillId="2" borderId="1" xfId="0" applyNumberFormat="1" applyFont="1" applyFill="1" applyBorder="1" applyAlignment="1">
      <alignment vertical="center" wrapText="1"/>
    </xf>
    <xf numFmtId="164" fontId="1" fillId="0" borderId="0" xfId="1" applyFont="1" applyAlignment="1">
      <alignment vertical="center"/>
    </xf>
    <xf numFmtId="168" fontId="6" fillId="2" borderId="1" xfId="0" applyNumberFormat="1" applyFont="1" applyFill="1" applyBorder="1" applyAlignment="1">
      <alignment horizontal="center" vertical="center"/>
    </xf>
    <xf numFmtId="164" fontId="0" fillId="0" borderId="1" xfId="1" applyFont="1" applyBorder="1" applyAlignment="1">
      <alignment horizontal="right"/>
    </xf>
    <xf numFmtId="0" fontId="3" fillId="0" borderId="0" xfId="0" applyFont="1" applyFill="1"/>
    <xf numFmtId="165" fontId="0" fillId="0" borderId="0" xfId="0" applyNumberFormat="1" applyFill="1"/>
    <xf numFmtId="0" fontId="0" fillId="0" borderId="0" xfId="0" applyFont="1" applyFill="1" applyAlignment="1">
      <alignment wrapText="1"/>
    </xf>
    <xf numFmtId="166" fontId="1" fillId="0" borderId="0" xfId="0" applyNumberFormat="1" applyFont="1" applyFill="1"/>
    <xf numFmtId="9" fontId="0" fillId="0" borderId="0" xfId="0" applyNumberFormat="1" applyFill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right"/>
    </xf>
    <xf numFmtId="9" fontId="0" fillId="0" borderId="1" xfId="0" applyNumberFormat="1" applyFill="1" applyBorder="1" applyAlignment="1">
      <alignment horizontal="right"/>
    </xf>
    <xf numFmtId="167" fontId="0" fillId="0" borderId="1" xfId="1" applyNumberFormat="1" applyFont="1" applyFill="1" applyBorder="1"/>
    <xf numFmtId="167" fontId="0" fillId="0" borderId="1" xfId="1" applyNumberFormat="1" applyFont="1" applyFill="1" applyBorder="1" applyAlignment="1">
      <alignment horizontal="right"/>
    </xf>
    <xf numFmtId="166" fontId="0" fillId="0" borderId="1" xfId="0" applyNumberFormat="1" applyFill="1" applyBorder="1"/>
    <xf numFmtId="166" fontId="0" fillId="0" borderId="1" xfId="0" applyNumberFormat="1" applyFont="1" applyFill="1" applyBorder="1"/>
    <xf numFmtId="167" fontId="0" fillId="0" borderId="0" xfId="1" applyNumberFormat="1" applyFont="1" applyFill="1" applyAlignment="1">
      <alignment wrapText="1"/>
    </xf>
    <xf numFmtId="0" fontId="2" fillId="0" borderId="0" xfId="0" applyFont="1" applyFill="1"/>
    <xf numFmtId="0" fontId="1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1" fillId="0" borderId="1" xfId="0" applyNumberFormat="1" applyFont="1" applyFill="1" applyBorder="1"/>
    <xf numFmtId="0" fontId="1" fillId="0" borderId="0" xfId="0" applyFont="1" applyFill="1" applyBorder="1"/>
    <xf numFmtId="0" fontId="0" fillId="0" borderId="1" xfId="0" applyFon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/>
    <xf numFmtId="4" fontId="0" fillId="0" borderId="0" xfId="0" applyNumberFormat="1" applyFill="1" applyBorder="1"/>
    <xf numFmtId="166" fontId="0" fillId="0" borderId="0" xfId="0" applyNumberFormat="1" applyFill="1" applyBorder="1"/>
    <xf numFmtId="170" fontId="0" fillId="0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6" fontId="0" fillId="0" borderId="0" xfId="0" applyNumberFormat="1" applyFill="1"/>
    <xf numFmtId="164" fontId="0" fillId="0" borderId="1" xfId="1" applyFont="1" applyFill="1" applyBorder="1" applyAlignment="1">
      <alignment horizontal="center"/>
    </xf>
    <xf numFmtId="14" fontId="0" fillId="0" borderId="0" xfId="0" applyNumberFormat="1" applyFill="1"/>
    <xf numFmtId="0" fontId="0" fillId="0" borderId="1" xfId="0" applyFont="1" applyFill="1" applyBorder="1"/>
    <xf numFmtId="167" fontId="1" fillId="0" borderId="1" xfId="0" applyNumberFormat="1" applyFont="1" applyFill="1" applyBorder="1"/>
    <xf numFmtId="167" fontId="0" fillId="0" borderId="0" xfId="0" applyNumberFormat="1"/>
    <xf numFmtId="167" fontId="0" fillId="0" borderId="0" xfId="1" applyNumberFormat="1" applyFont="1"/>
    <xf numFmtId="14" fontId="0" fillId="0" borderId="0" xfId="0" applyNumberFormat="1" applyFill="1" applyBorder="1"/>
    <xf numFmtId="1" fontId="0" fillId="0" borderId="0" xfId="0" applyNumberFormat="1"/>
    <xf numFmtId="167" fontId="0" fillId="0" borderId="0" xfId="1" applyNumberFormat="1" applyFont="1" applyAlignment="1">
      <alignment horizontal="right"/>
    </xf>
    <xf numFmtId="15" fontId="0" fillId="0" borderId="0" xfId="0" applyNumberFormat="1"/>
    <xf numFmtId="15" fontId="0" fillId="0" borderId="1" xfId="0" applyNumberFormat="1" applyBorder="1"/>
    <xf numFmtId="0" fontId="3" fillId="0" borderId="0" xfId="0" applyFont="1"/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 applyAlignment="1"/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100"/>
  <sheetViews>
    <sheetView tabSelected="1" zoomScaleNormal="100" workbookViewId="0">
      <selection activeCell="A18" sqref="A18:XFD18"/>
    </sheetView>
  </sheetViews>
  <sheetFormatPr baseColWidth="10" defaultColWidth="8.85546875" defaultRowHeight="15" x14ac:dyDescent="0.25"/>
  <cols>
    <col min="1" max="1" width="17.7109375" style="5" bestFit="1" customWidth="1"/>
    <col min="2" max="2" width="20.42578125" style="5" bestFit="1" customWidth="1"/>
    <col min="3" max="3" width="15.140625" style="5" bestFit="1" customWidth="1"/>
    <col min="4" max="4" width="19.5703125" style="33" bestFit="1" customWidth="1"/>
    <col min="5" max="5" width="19.5703125" style="5" bestFit="1" customWidth="1"/>
    <col min="6" max="6" width="18.42578125" style="5" customWidth="1"/>
    <col min="7" max="7" width="17.28515625" style="5" bestFit="1" customWidth="1"/>
    <col min="8" max="8" width="15.85546875" style="5" bestFit="1" customWidth="1"/>
    <col min="9" max="9" width="20" style="5" bestFit="1" customWidth="1"/>
    <col min="10" max="10" width="16" style="5" bestFit="1" customWidth="1"/>
    <col min="11" max="11" width="19.28515625" style="5" bestFit="1" customWidth="1"/>
    <col min="12" max="13" width="20.5703125" style="5" customWidth="1"/>
    <col min="14" max="14" width="20.28515625" style="5" bestFit="1" customWidth="1"/>
    <col min="15" max="15" width="9.7109375" style="5" bestFit="1" customWidth="1"/>
    <col min="16" max="16" width="19" style="5" bestFit="1" customWidth="1"/>
    <col min="17" max="17" width="12.28515625" style="5" bestFit="1" customWidth="1"/>
    <col min="18" max="19" width="19.28515625" style="5" bestFit="1" customWidth="1"/>
    <col min="20" max="20" width="15.7109375" style="5" customWidth="1"/>
    <col min="21" max="21" width="13.28515625" style="5" bestFit="1" customWidth="1"/>
    <col min="22" max="22" width="9.7109375" style="5" bestFit="1" customWidth="1"/>
    <col min="23" max="23" width="10.5703125" style="5" bestFit="1" customWidth="1"/>
    <col min="24" max="30" width="8.85546875" style="5"/>
    <col min="31" max="31" width="13.28515625" style="6" bestFit="1" customWidth="1"/>
    <col min="32" max="32" width="10.140625" style="5" bestFit="1" customWidth="1"/>
    <col min="33" max="33" width="14" style="5" bestFit="1" customWidth="1"/>
    <col min="34" max="34" width="11.7109375" style="5" bestFit="1" customWidth="1"/>
    <col min="35" max="36" width="11.5703125" style="5" bestFit="1" customWidth="1"/>
    <col min="37" max="16384" width="8.85546875" style="5"/>
  </cols>
  <sheetData>
    <row r="1" spans="1:38" x14ac:dyDescent="0.25">
      <c r="A1" s="32" t="s">
        <v>96</v>
      </c>
    </row>
    <row r="2" spans="1:38" x14ac:dyDescent="0.25">
      <c r="B2" s="34"/>
      <c r="C2" s="35"/>
      <c r="D2" s="5"/>
      <c r="F2" s="36"/>
      <c r="AE2" s="5"/>
      <c r="AF2" s="6"/>
    </row>
    <row r="3" spans="1:38" ht="30" x14ac:dyDescent="0.25">
      <c r="A3" s="72" t="s">
        <v>38</v>
      </c>
      <c r="B3" s="72" t="s">
        <v>6</v>
      </c>
      <c r="C3" s="75" t="s">
        <v>24</v>
      </c>
      <c r="D3" s="72" t="s">
        <v>25</v>
      </c>
      <c r="E3" s="72" t="s">
        <v>26</v>
      </c>
      <c r="F3" s="72" t="s">
        <v>47</v>
      </c>
      <c r="G3" s="72" t="s">
        <v>5</v>
      </c>
      <c r="H3" s="75" t="s">
        <v>27</v>
      </c>
      <c r="I3" s="72" t="s">
        <v>9</v>
      </c>
      <c r="J3" s="73" t="s">
        <v>46</v>
      </c>
      <c r="K3" s="73" t="s">
        <v>28</v>
      </c>
      <c r="L3" s="73" t="s">
        <v>37</v>
      </c>
      <c r="M3" s="76" t="s">
        <v>48</v>
      </c>
      <c r="N3" s="74" t="s">
        <v>49</v>
      </c>
      <c r="AE3" s="5"/>
      <c r="AG3" s="6"/>
    </row>
    <row r="4" spans="1:38" x14ac:dyDescent="0.25">
      <c r="A4" s="13" t="s">
        <v>29</v>
      </c>
      <c r="B4" s="37">
        <v>42809</v>
      </c>
      <c r="C4" s="38" t="s">
        <v>22</v>
      </c>
      <c r="D4" s="39">
        <v>0.05</v>
      </c>
      <c r="E4" s="13">
        <v>16</v>
      </c>
      <c r="F4" s="13">
        <v>16</v>
      </c>
      <c r="G4" s="40">
        <v>100000</v>
      </c>
      <c r="H4" s="41" t="s">
        <v>7</v>
      </c>
      <c r="I4" s="42">
        <v>0</v>
      </c>
      <c r="J4" s="42">
        <v>0</v>
      </c>
      <c r="K4" s="43">
        <f>Lease!J17+I4</f>
        <v>1549564.7513089392</v>
      </c>
      <c r="L4" s="43">
        <v>10</v>
      </c>
      <c r="M4" s="19">
        <v>0.1</v>
      </c>
      <c r="N4" s="43">
        <v>2</v>
      </c>
      <c r="AE4" s="5"/>
      <c r="AG4" s="6"/>
    </row>
    <row r="5" spans="1:38" x14ac:dyDescent="0.25">
      <c r="A5" s="13" t="s">
        <v>30</v>
      </c>
      <c r="B5" s="13"/>
      <c r="C5" s="13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AE5" s="5"/>
      <c r="AG5" s="6"/>
      <c r="AH5" s="5" t="s">
        <v>21</v>
      </c>
      <c r="AJ5" s="5" t="s">
        <v>19</v>
      </c>
    </row>
    <row r="6" spans="1:38" x14ac:dyDescent="0.25">
      <c r="A6" s="13" t="s">
        <v>31</v>
      </c>
      <c r="B6" s="13"/>
      <c r="C6" s="13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AE6" s="5"/>
      <c r="AG6" s="6"/>
      <c r="AH6" s="5" t="s">
        <v>22</v>
      </c>
      <c r="AJ6" s="5" t="s">
        <v>7</v>
      </c>
    </row>
    <row r="7" spans="1:38" x14ac:dyDescent="0.25">
      <c r="A7" s="13" t="s">
        <v>32</v>
      </c>
      <c r="B7" s="13"/>
      <c r="C7" s="13"/>
      <c r="D7" s="14"/>
      <c r="E7" s="15"/>
      <c r="F7" s="15"/>
      <c r="G7" s="15"/>
      <c r="H7" s="13"/>
      <c r="I7" s="13"/>
      <c r="J7" s="13"/>
      <c r="K7" s="13"/>
      <c r="L7" s="13"/>
      <c r="M7" s="13"/>
      <c r="N7" s="13"/>
      <c r="AE7" s="5"/>
      <c r="AG7" s="6"/>
      <c r="AJ7" s="5" t="s">
        <v>23</v>
      </c>
    </row>
    <row r="8" spans="1:38" x14ac:dyDescent="0.25">
      <c r="A8" s="13" t="s">
        <v>33</v>
      </c>
      <c r="B8" s="13"/>
      <c r="C8" s="13"/>
      <c r="D8" s="14"/>
      <c r="E8" s="15"/>
      <c r="F8" s="15"/>
      <c r="G8" s="15"/>
      <c r="H8" s="13"/>
      <c r="I8" s="13"/>
      <c r="J8" s="13"/>
      <c r="K8" s="13"/>
      <c r="L8" s="13"/>
      <c r="M8" s="13"/>
      <c r="N8" s="13"/>
      <c r="AE8" s="5"/>
      <c r="AG8" s="6"/>
    </row>
    <row r="9" spans="1:38" x14ac:dyDescent="0.25">
      <c r="A9" s="13" t="s">
        <v>34</v>
      </c>
      <c r="B9" s="13"/>
      <c r="C9" s="13"/>
      <c r="D9" s="14"/>
      <c r="E9" s="15"/>
      <c r="F9" s="15"/>
      <c r="G9" s="15"/>
      <c r="H9" s="13"/>
      <c r="I9" s="13"/>
      <c r="J9" s="13"/>
      <c r="K9" s="13"/>
      <c r="L9" s="13"/>
      <c r="M9" s="13"/>
      <c r="N9" s="13"/>
      <c r="AE9" s="5"/>
      <c r="AG9" s="6"/>
    </row>
    <row r="10" spans="1:38" x14ac:dyDescent="0.25">
      <c r="A10" s="13" t="s">
        <v>35</v>
      </c>
      <c r="B10" s="13"/>
      <c r="C10" s="13"/>
      <c r="D10" s="14"/>
      <c r="E10" s="15"/>
      <c r="F10" s="15"/>
      <c r="G10" s="15"/>
      <c r="H10" s="13"/>
      <c r="I10" s="13"/>
      <c r="J10" s="13"/>
      <c r="K10" s="16">
        <f>J18*D4</f>
        <v>72478.237565446965</v>
      </c>
      <c r="L10" s="13"/>
      <c r="M10" s="13"/>
      <c r="N10" s="13"/>
      <c r="AE10" s="5"/>
      <c r="AG10" s="6"/>
      <c r="AL10" s="5">
        <v>2019</v>
      </c>
    </row>
    <row r="11" spans="1:38" x14ac:dyDescent="0.25">
      <c r="A11" s="13" t="s">
        <v>36</v>
      </c>
      <c r="B11" s="13"/>
      <c r="C11" s="13"/>
      <c r="D11" s="14"/>
      <c r="E11" s="17"/>
      <c r="F11" s="17"/>
      <c r="G11" s="17"/>
      <c r="H11" s="13"/>
      <c r="I11" s="13"/>
      <c r="J11" s="13"/>
      <c r="K11" s="13"/>
      <c r="L11" s="13"/>
      <c r="M11" s="13"/>
      <c r="N11" s="13"/>
      <c r="AE11" s="5"/>
      <c r="AG11" s="6"/>
    </row>
    <row r="12" spans="1:38" x14ac:dyDescent="0.25">
      <c r="B12" s="34"/>
      <c r="C12" s="35"/>
      <c r="D12" s="5"/>
      <c r="F12" s="36"/>
    </row>
    <row r="13" spans="1:38" x14ac:dyDescent="0.25">
      <c r="B13" s="44"/>
      <c r="C13" s="35"/>
      <c r="D13" s="6"/>
      <c r="F13" s="36"/>
      <c r="R13" s="6"/>
      <c r="AL13" s="5" t="e">
        <f>VLOOKUP(AL10,C17:M100,10,)</f>
        <v>#N/A</v>
      </c>
    </row>
    <row r="14" spans="1:38" x14ac:dyDescent="0.25">
      <c r="B14" s="34"/>
      <c r="C14" s="35"/>
      <c r="D14" s="5"/>
      <c r="F14" s="6"/>
    </row>
    <row r="15" spans="1:38" x14ac:dyDescent="0.25">
      <c r="H15" s="45" t="s">
        <v>18</v>
      </c>
      <c r="K15" s="33"/>
      <c r="O15" s="46" t="s">
        <v>0</v>
      </c>
      <c r="T15" s="61"/>
    </row>
    <row r="16" spans="1:38" x14ac:dyDescent="0.25">
      <c r="A16" s="47" t="s">
        <v>12</v>
      </c>
      <c r="B16" s="47" t="s">
        <v>10</v>
      </c>
      <c r="C16" s="48" t="s">
        <v>11</v>
      </c>
      <c r="D16" s="47" t="s">
        <v>8</v>
      </c>
      <c r="E16" s="49" t="s">
        <v>13</v>
      </c>
      <c r="F16" s="48" t="s">
        <v>14</v>
      </c>
      <c r="G16" s="50"/>
      <c r="H16" s="47" t="s">
        <v>12</v>
      </c>
      <c r="I16" s="47" t="s">
        <v>20</v>
      </c>
      <c r="J16" s="47" t="s">
        <v>17</v>
      </c>
      <c r="K16" s="49" t="s">
        <v>15</v>
      </c>
      <c r="L16" s="48" t="s">
        <v>8</v>
      </c>
      <c r="M16" s="48" t="s">
        <v>16</v>
      </c>
      <c r="N16" s="50"/>
      <c r="O16" s="47" t="s">
        <v>12</v>
      </c>
      <c r="P16" s="48" t="s">
        <v>10</v>
      </c>
      <c r="Q16" s="49" t="s">
        <v>1</v>
      </c>
      <c r="R16" s="48" t="s">
        <v>2</v>
      </c>
      <c r="S16" s="48" t="s">
        <v>3</v>
      </c>
      <c r="AE16" s="5"/>
      <c r="AF16" s="6" t="s">
        <v>39</v>
      </c>
      <c r="AG16" s="5" t="s">
        <v>40</v>
      </c>
      <c r="AH16" s="5" t="s">
        <v>41</v>
      </c>
      <c r="AI16" s="5" t="s">
        <v>42</v>
      </c>
      <c r="AJ16" s="5" t="s">
        <v>44</v>
      </c>
    </row>
    <row r="17" spans="1:39" x14ac:dyDescent="0.25">
      <c r="A17" s="51">
        <v>1</v>
      </c>
      <c r="B17" s="60">
        <f t="shared" ref="B17:B80" si="0">IF(C17="-",0,YEAR(C17))</f>
        <v>2017</v>
      </c>
      <c r="C17" s="37">
        <f>IF(Lease!C4="Beginning",Lease!B4,EDATE(Lease!B4,IF(Lease!H4="Quarterly",3,IF(Lease!H4="Yearly",12,1))))</f>
        <v>42809</v>
      </c>
      <c r="D17" s="52">
        <f>IF(A17&gt;Lease!$E$4,0,Lease!$G$4)+IF(A17=$E$4,$J$4,0)</f>
        <v>100000</v>
      </c>
      <c r="E17" s="14">
        <f>IF(Lease!$C$4="beginning",1,1/(1+IF(Lease!$H$4="Yearly",Lease!$D$4,IF(Lease!$H$4="Quarterly",Lease!$D$4/4,Lease!$D$4/12))^A17))</f>
        <v>1</v>
      </c>
      <c r="F17" s="53">
        <f t="shared" ref="F17:F80" si="1">D17*E17</f>
        <v>100000</v>
      </c>
      <c r="G17" s="54"/>
      <c r="H17" s="13">
        <v>1</v>
      </c>
      <c r="I17" s="37">
        <f t="shared" ref="I17:I80" si="2">C17</f>
        <v>42809</v>
      </c>
      <c r="J17" s="42">
        <f>SUMIF(A17:A100,"&lt;="&amp;Lease!E4,F17:F100)</f>
        <v>1549564.7513089392</v>
      </c>
      <c r="K17" s="42">
        <f>IF(Lease!C4="Beginning",0,IF(Lease!$H$4="Yearly",J17*Lease!$D$4,IF(Lease!$H$4="Quarterly",J17*(Lease!$D$4/4),J17*Lease!$D$4/12)))</f>
        <v>0</v>
      </c>
      <c r="L17" s="42">
        <f t="shared" ref="L17:L80" si="3">-D17</f>
        <v>-100000</v>
      </c>
      <c r="M17" s="42">
        <f t="shared" ref="M17:M80" si="4">J17+K17+L17</f>
        <v>1449564.7513089392</v>
      </c>
      <c r="N17" s="55"/>
      <c r="O17" s="13">
        <v>1</v>
      </c>
      <c r="P17" s="56">
        <f>B4</f>
        <v>42809</v>
      </c>
      <c r="Q17" s="57">
        <f>Lease!K4</f>
        <v>1549564.7513089392</v>
      </c>
      <c r="R17" s="42">
        <f>IF(S16&lt;1,0,-Lease!$K$4/Lease!$L$4)</f>
        <v>-154956.47513089393</v>
      </c>
      <c r="S17" s="42">
        <f>IF(S16&lt;1,0,SUM(Q17:R17))</f>
        <v>1394608.2761780452</v>
      </c>
      <c r="T17" s="58"/>
      <c r="AE17" s="5"/>
      <c r="AF17" s="6">
        <v>1000000</v>
      </c>
      <c r="AG17" s="5">
        <v>10</v>
      </c>
      <c r="AH17" s="6">
        <v>50000</v>
      </c>
      <c r="AI17" s="5" t="s">
        <v>43</v>
      </c>
      <c r="AJ17" s="58">
        <f>(AF17-AH17)/10/12</f>
        <v>7916.666666666667</v>
      </c>
      <c r="AM17" s="5" t="str">
        <f>IFERROR(VLOOKUP(PROPER(TEXT(YEAR(2019),Year)),Lease!C17:M100,10,FALSE),"IOP")</f>
        <v>IOP</v>
      </c>
    </row>
    <row r="18" spans="1:39" x14ac:dyDescent="0.25">
      <c r="A18" s="51">
        <f>A17+1</f>
        <v>2</v>
      </c>
      <c r="B18" s="60">
        <f t="shared" si="0"/>
        <v>2018</v>
      </c>
      <c r="C18" s="37">
        <f>IF(D18=0,"-",IF(Lease!$H$4="Yearly",EDATE(C17,12),IF(Lease!$H$4="Quarterly",EDATE(C17,3),EDATE(C17,1))))</f>
        <v>43174</v>
      </c>
      <c r="D18" s="52">
        <f>IF(A18&gt;Lease!$E$4,0,Lease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100000</v>
      </c>
      <c r="E18" s="14">
        <f>IF(D18=0,0,1/((1+IF(Lease!$H$4="Yearly",Lease!$D$4,IF(Lease!$H$4="Quarterly",Lease!$D$4/4,Lease!$D$4/12)))^IF($E$17=1,A17,A18)))</f>
        <v>0.95238095238095233</v>
      </c>
      <c r="F18" s="53">
        <f t="shared" si="1"/>
        <v>95238.095238095237</v>
      </c>
      <c r="G18" s="54"/>
      <c r="H18" s="13">
        <f>H17+1</f>
        <v>2</v>
      </c>
      <c r="I18" s="37">
        <f t="shared" si="2"/>
        <v>43174</v>
      </c>
      <c r="J18" s="42">
        <f>IF(H18&gt;Lease!$E$4,0,M17)</f>
        <v>1449564.7513089392</v>
      </c>
      <c r="K18" s="42">
        <f>IF(IF(Lease!$H$4="Yearly",J18*Lease!$D$4,IF(Lease!$H$4="Quarterly",J18*(Lease!$D$4/4),J18*Lease!$D$4/12))&gt;0,IF(Lease!$H$4="Yearly",J18*Lease!$D$4,IF(Lease!$H$4="Quarterly",J18*(Lease!$D$4/4),J18*Lease!$D$4/12)),-L18-J18)</f>
        <v>72478.237565446965</v>
      </c>
      <c r="L18" s="42">
        <f t="shared" si="3"/>
        <v>-100000</v>
      </c>
      <c r="M18" s="42">
        <f t="shared" si="4"/>
        <v>1422042.9888743861</v>
      </c>
      <c r="N18" s="55"/>
      <c r="O18" s="13">
        <v>2</v>
      </c>
      <c r="P18" s="56">
        <f>DATE(YEAR(P17)+1,MONTH(P17),DAY(P17))</f>
        <v>43174</v>
      </c>
      <c r="Q18" s="42">
        <f>S17</f>
        <v>1394608.2761780452</v>
      </c>
      <c r="R18" s="42">
        <f>IF(S17&lt;1,0,-Lease!$K$4/Lease!$L$4)</f>
        <v>-154956.47513089393</v>
      </c>
      <c r="S18" s="42">
        <f t="shared" ref="S18:S81" si="5">IF(S17&lt;1,0,SUM(Q18:R18))</f>
        <v>1239651.8010471512</v>
      </c>
      <c r="AE18" s="5"/>
      <c r="AF18" s="6">
        <v>1000000</v>
      </c>
      <c r="AG18" s="5">
        <v>10</v>
      </c>
      <c r="AH18" s="6">
        <v>50000</v>
      </c>
      <c r="AJ18" s="58">
        <f t="shared" ref="AJ18:AJ30" si="6">(AF18-AH18)/10/12</f>
        <v>7916.666666666667</v>
      </c>
    </row>
    <row r="19" spans="1:39" x14ac:dyDescent="0.25">
      <c r="A19" s="51">
        <f t="shared" ref="A19:A82" si="7">A18+1</f>
        <v>3</v>
      </c>
      <c r="B19" s="60">
        <f t="shared" si="0"/>
        <v>2019</v>
      </c>
      <c r="C19" s="37">
        <f>IF(D19=0,"-",IF(Lease!$H$4="Yearly",EDATE(C18,12),IF(Lease!$H$4="Quarterly",EDATE(C18,3),EDATE(C18,1))))</f>
        <v>43539</v>
      </c>
      <c r="D19" s="52">
        <f>IF(A19&gt;Lease!$E$4,0,Lease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110000.00000000001</v>
      </c>
      <c r="E19" s="14">
        <f>IF(D19=0,0,1/((1+IF(Lease!$H$4="Yearly",Lease!$D$4,IF(Lease!$H$4="Quarterly",Lease!$D$4/4,Lease!$D$4/12)))^IF($E$17=1,A18,A19)))</f>
        <v>0.90702947845804982</v>
      </c>
      <c r="F19" s="53">
        <f t="shared" si="1"/>
        <v>99773.242630385488</v>
      </c>
      <c r="G19" s="54"/>
      <c r="H19" s="13">
        <f t="shared" ref="H19:H82" si="8">H18+1</f>
        <v>3</v>
      </c>
      <c r="I19" s="37">
        <f t="shared" si="2"/>
        <v>43539</v>
      </c>
      <c r="J19" s="42">
        <f>IF(H19&gt;Lease!$E$4,0,M18)</f>
        <v>1422042.9888743861</v>
      </c>
      <c r="K19" s="42">
        <f>IF(IF(Lease!$H$4="Yearly",J19*Lease!$D$4,IF(Lease!$H$4="Quarterly",J19*(Lease!$D$4/4),J19*Lease!$D$4/12))&gt;0,IF(Lease!$H$4="Yearly",J19*Lease!$D$4,IF(Lease!$H$4="Quarterly",J19*(Lease!$D$4/4),J19*Lease!$D$4/12)),-L19-J19)</f>
        <v>71102.149443719303</v>
      </c>
      <c r="L19" s="42">
        <f t="shared" si="3"/>
        <v>-110000.00000000001</v>
      </c>
      <c r="M19" s="42">
        <f t="shared" si="4"/>
        <v>1383145.1383181054</v>
      </c>
      <c r="N19" s="55"/>
      <c r="O19" s="13">
        <v>3</v>
      </c>
      <c r="P19" s="56">
        <f t="shared" ref="P19:P82" si="9">DATE(YEAR(P18)+1,MONTH(P18),DAY(P18))</f>
        <v>43539</v>
      </c>
      <c r="Q19" s="42">
        <f t="shared" ref="Q19:Q25" si="10">S18</f>
        <v>1239651.8010471512</v>
      </c>
      <c r="R19" s="42">
        <f>IF(S18&lt;1,0,-Lease!$K$4/Lease!$L$4)</f>
        <v>-154956.47513089393</v>
      </c>
      <c r="S19" s="42">
        <f t="shared" si="5"/>
        <v>1084695.3259162572</v>
      </c>
      <c r="AE19" s="5"/>
      <c r="AF19" s="6">
        <v>1000000</v>
      </c>
      <c r="AG19" s="5">
        <v>10</v>
      </c>
      <c r="AH19" s="6">
        <v>50000</v>
      </c>
      <c r="AJ19" s="58">
        <f t="shared" si="6"/>
        <v>7916.666666666667</v>
      </c>
    </row>
    <row r="20" spans="1:39" x14ac:dyDescent="0.25">
      <c r="A20" s="51">
        <f t="shared" si="7"/>
        <v>4</v>
      </c>
      <c r="B20" s="60">
        <f t="shared" si="0"/>
        <v>2020</v>
      </c>
      <c r="C20" s="37">
        <f>IF(D20=0,"-",IF(Lease!$H$4="Yearly",EDATE(C19,12),IF(Lease!$H$4="Quarterly",EDATE(C19,3),EDATE(C19,1))))</f>
        <v>43905</v>
      </c>
      <c r="D20" s="52">
        <f>IF(A20&gt;Lease!$E$4,0,Lease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110000.00000000001</v>
      </c>
      <c r="E20" s="14">
        <f>IF(D20=0,0,1/((1+IF(Lease!$H$4="Yearly",Lease!$D$4,IF(Lease!$H$4="Quarterly",Lease!$D$4/4,Lease!$D$4/12)))^IF($E$17=1,A19,A20)))</f>
        <v>0.86383759853147601</v>
      </c>
      <c r="F20" s="53">
        <f t="shared" si="1"/>
        <v>95022.135838462375</v>
      </c>
      <c r="G20" s="54"/>
      <c r="H20" s="13">
        <f t="shared" si="8"/>
        <v>4</v>
      </c>
      <c r="I20" s="37">
        <f t="shared" si="2"/>
        <v>43905</v>
      </c>
      <c r="J20" s="42">
        <f>IF(H20&gt;Lease!$E$4,0,M19)</f>
        <v>1383145.1383181054</v>
      </c>
      <c r="K20" s="42">
        <f>IF(IF(Lease!$H$4="Yearly",J20*Lease!$D$4,IF(Lease!$H$4="Quarterly",J20*(Lease!$D$4/4),J20*Lease!$D$4/12))&gt;0,IF(Lease!$H$4="Yearly",J20*Lease!$D$4,IF(Lease!$H$4="Quarterly",J20*(Lease!$D$4/4),J20*Lease!$D$4/12)),-L20-J20)</f>
        <v>69157.256915905265</v>
      </c>
      <c r="L20" s="42">
        <f t="shared" si="3"/>
        <v>-110000.00000000001</v>
      </c>
      <c r="M20" s="42">
        <f t="shared" si="4"/>
        <v>1342302.3952340106</v>
      </c>
      <c r="N20" s="55"/>
      <c r="O20" s="13">
        <v>4</v>
      </c>
      <c r="P20" s="56">
        <f t="shared" si="9"/>
        <v>43905</v>
      </c>
      <c r="Q20" s="42">
        <f t="shared" si="10"/>
        <v>1084695.3259162572</v>
      </c>
      <c r="R20" s="42">
        <f>IF(S19&lt;1,0,-Lease!$K$4/Lease!$L$4)</f>
        <v>-154956.47513089393</v>
      </c>
      <c r="S20" s="42">
        <f t="shared" si="5"/>
        <v>929738.85078536323</v>
      </c>
      <c r="AE20" s="5"/>
      <c r="AF20" s="6">
        <v>1000000</v>
      </c>
      <c r="AG20" s="5">
        <v>10</v>
      </c>
      <c r="AH20" s="6">
        <v>50000</v>
      </c>
      <c r="AJ20" s="58">
        <f t="shared" si="6"/>
        <v>7916.666666666667</v>
      </c>
    </row>
    <row r="21" spans="1:39" x14ac:dyDescent="0.25">
      <c r="A21" s="51">
        <f t="shared" si="7"/>
        <v>5</v>
      </c>
      <c r="B21" s="60">
        <f t="shared" si="0"/>
        <v>2021</v>
      </c>
      <c r="C21" s="37">
        <f>IF(D21=0,"-",IF(Lease!$H$4="Yearly",EDATE(C20,12),IF(Lease!$H$4="Quarterly",EDATE(C20,3),EDATE(C20,1))))</f>
        <v>44270</v>
      </c>
      <c r="D21" s="52">
        <f>IF(A21&gt;Lease!$E$4,0,Lease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121000.00000000001</v>
      </c>
      <c r="E21" s="14">
        <f>IF(D21=0,0,1/((1+IF(Lease!$H$4="Yearly",Lease!$D$4,IF(Lease!$H$4="Quarterly",Lease!$D$4/4,Lease!$D$4/12)))^IF($E$17=1,A20,A21)))</f>
        <v>0.82270247479188197</v>
      </c>
      <c r="F21" s="53">
        <f t="shared" si="1"/>
        <v>99546.999449817726</v>
      </c>
      <c r="G21" s="54"/>
      <c r="H21" s="13">
        <f t="shared" si="8"/>
        <v>5</v>
      </c>
      <c r="I21" s="37">
        <f t="shared" si="2"/>
        <v>44270</v>
      </c>
      <c r="J21" s="42">
        <f>IF(H21&gt;Lease!$E$4,0,M20)</f>
        <v>1342302.3952340106</v>
      </c>
      <c r="K21" s="42">
        <f>IF(IF(Lease!$H$4="Yearly",J21*Lease!$D$4,IF(Lease!$H$4="Quarterly",J21*(Lease!$D$4/4),J21*Lease!$D$4/12))&gt;0,IF(Lease!$H$4="Yearly",J21*Lease!$D$4,IF(Lease!$H$4="Quarterly",J21*(Lease!$D$4/4),J21*Lease!$D$4/12)),-L21-J21)</f>
        <v>67115.119761700538</v>
      </c>
      <c r="L21" s="42">
        <f t="shared" si="3"/>
        <v>-121000.00000000001</v>
      </c>
      <c r="M21" s="42">
        <f t="shared" si="4"/>
        <v>1288417.5149957112</v>
      </c>
      <c r="N21" s="55"/>
      <c r="O21" s="13">
        <v>5</v>
      </c>
      <c r="P21" s="56">
        <f t="shared" si="9"/>
        <v>44270</v>
      </c>
      <c r="Q21" s="42">
        <f t="shared" si="10"/>
        <v>929738.85078536323</v>
      </c>
      <c r="R21" s="42">
        <f>IF(S20&lt;1,0,-Lease!$K$4/Lease!$L$4)</f>
        <v>-154956.47513089393</v>
      </c>
      <c r="S21" s="42">
        <f t="shared" si="5"/>
        <v>774782.37565446924</v>
      </c>
      <c r="AE21" s="5"/>
      <c r="AF21" s="6">
        <v>1000000</v>
      </c>
      <c r="AG21" s="5">
        <v>10</v>
      </c>
      <c r="AH21" s="6">
        <v>50000</v>
      </c>
      <c r="AJ21" s="58">
        <f t="shared" si="6"/>
        <v>7916.666666666667</v>
      </c>
    </row>
    <row r="22" spans="1:39" x14ac:dyDescent="0.25">
      <c r="A22" s="51">
        <f>A21+1</f>
        <v>6</v>
      </c>
      <c r="B22" s="60">
        <f t="shared" si="0"/>
        <v>2022</v>
      </c>
      <c r="C22" s="37">
        <f>IF(D22=0,"-",IF(Lease!$H$4="Yearly",EDATE(C21,12),IF(Lease!$H$4="Quarterly",EDATE(C21,3),EDATE(C21,1))))</f>
        <v>44635</v>
      </c>
      <c r="D22" s="52">
        <f>IF(A22&gt;Lease!$E$4,0,Lease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121000.00000000001</v>
      </c>
      <c r="E22" s="14">
        <f>IF(D22=0,0,1/((1+IF(Lease!$H$4="Yearly",Lease!$D$4,IF(Lease!$H$4="Quarterly",Lease!$D$4/4,Lease!$D$4/12)))^IF($E$17=1,A21,A22)))</f>
        <v>0.78352616646845896</v>
      </c>
      <c r="F22" s="53">
        <f t="shared" si="1"/>
        <v>94806.666142683549</v>
      </c>
      <c r="G22" s="54"/>
      <c r="H22" s="13">
        <f t="shared" si="8"/>
        <v>6</v>
      </c>
      <c r="I22" s="37">
        <f t="shared" si="2"/>
        <v>44635</v>
      </c>
      <c r="J22" s="42">
        <f>IF(H22&gt;Lease!$E$4,0,M21)</f>
        <v>1288417.5149957112</v>
      </c>
      <c r="K22" s="42">
        <f>IF(IF(Lease!$H$4="Yearly",J22*Lease!$D$4,IF(Lease!$H$4="Quarterly",J22*(Lease!$D$4/4),J22*Lease!$D$4/12))&gt;0,IF(Lease!$H$4="Yearly",J22*Lease!$D$4,IF(Lease!$H$4="Quarterly",J22*(Lease!$D$4/4),J22*Lease!$D$4/12)),-L22-J22)</f>
        <v>64420.875749785562</v>
      </c>
      <c r="L22" s="42">
        <f t="shared" si="3"/>
        <v>-121000.00000000001</v>
      </c>
      <c r="M22" s="42">
        <f t="shared" si="4"/>
        <v>1231838.3907454966</v>
      </c>
      <c r="N22" s="55"/>
      <c r="O22" s="13">
        <v>6</v>
      </c>
      <c r="P22" s="56">
        <f t="shared" si="9"/>
        <v>44635</v>
      </c>
      <c r="Q22" s="42">
        <f>S21</f>
        <v>774782.37565446924</v>
      </c>
      <c r="R22" s="42">
        <f>IF(S21&lt;1,0,-Lease!$K$4/Lease!$L$4)</f>
        <v>-154956.47513089393</v>
      </c>
      <c r="S22" s="42">
        <f>IF(S21&lt;1,0,SUM(Q22:R22))</f>
        <v>619825.90052357526</v>
      </c>
      <c r="AE22" s="5"/>
      <c r="AF22" s="6">
        <v>1000000</v>
      </c>
      <c r="AG22" s="5">
        <v>10</v>
      </c>
      <c r="AH22" s="6">
        <v>50000</v>
      </c>
      <c r="AJ22" s="58">
        <f t="shared" si="6"/>
        <v>7916.666666666667</v>
      </c>
    </row>
    <row r="23" spans="1:39" x14ac:dyDescent="0.25">
      <c r="A23" s="51">
        <f t="shared" si="7"/>
        <v>7</v>
      </c>
      <c r="B23" s="60">
        <f t="shared" si="0"/>
        <v>2023</v>
      </c>
      <c r="C23" s="37">
        <f>IF(D23=0,"-",IF(Lease!$H$4="Yearly",EDATE(C22,12),IF(Lease!$H$4="Quarterly",EDATE(C22,3),EDATE(C22,1))))</f>
        <v>45000</v>
      </c>
      <c r="D23" s="52">
        <f>IF(A23&gt;Lease!$E$4,0,Lease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133100.00000000003</v>
      </c>
      <c r="E23" s="14">
        <f>IF(D23=0,0,1/((1+IF(Lease!$H$4="Yearly",Lease!$D$4,IF(Lease!$H$4="Quarterly",Lease!$D$4/4,Lease!$D$4/12)))^IF($E$17=1,A22,A23)))</f>
        <v>0.74621539663662761</v>
      </c>
      <c r="F23" s="53">
        <f t="shared" si="1"/>
        <v>99321.269292335157</v>
      </c>
      <c r="G23" s="54"/>
      <c r="H23" s="13">
        <f t="shared" si="8"/>
        <v>7</v>
      </c>
      <c r="I23" s="37">
        <f t="shared" si="2"/>
        <v>45000</v>
      </c>
      <c r="J23" s="42">
        <f>IF(H23&gt;Lease!$E$4,0,M22)</f>
        <v>1231838.3907454966</v>
      </c>
      <c r="K23" s="42">
        <f>IF(IF(Lease!$H$4="Yearly",J23*Lease!$D$4,IF(Lease!$H$4="Quarterly",J23*(Lease!$D$4/4),J23*Lease!$D$4/12))&gt;0,IF(Lease!$H$4="Yearly",J23*Lease!$D$4,IF(Lease!$H$4="Quarterly",J23*(Lease!$D$4/4),J23*Lease!$D$4/12)),-L23-J23)</f>
        <v>61591.919537274836</v>
      </c>
      <c r="L23" s="42">
        <f t="shared" si="3"/>
        <v>-133100.00000000003</v>
      </c>
      <c r="M23" s="42">
        <f t="shared" si="4"/>
        <v>1160330.3102827715</v>
      </c>
      <c r="N23" s="55"/>
      <c r="O23" s="13">
        <v>7</v>
      </c>
      <c r="P23" s="56">
        <f t="shared" si="9"/>
        <v>45000</v>
      </c>
      <c r="Q23" s="42">
        <f t="shared" si="10"/>
        <v>619825.90052357526</v>
      </c>
      <c r="R23" s="42">
        <f>IF(S22&lt;1,0,-Lease!$K$4/Lease!$L$4)</f>
        <v>-154956.47513089393</v>
      </c>
      <c r="S23" s="42">
        <f t="shared" si="5"/>
        <v>464869.42539268133</v>
      </c>
      <c r="AE23" s="5"/>
      <c r="AF23" s="6">
        <v>1000000</v>
      </c>
      <c r="AG23" s="5">
        <v>10</v>
      </c>
      <c r="AH23" s="6">
        <v>50000</v>
      </c>
      <c r="AJ23" s="58">
        <f t="shared" si="6"/>
        <v>7916.666666666667</v>
      </c>
    </row>
    <row r="24" spans="1:39" x14ac:dyDescent="0.25">
      <c r="A24" s="51">
        <f t="shared" si="7"/>
        <v>8</v>
      </c>
      <c r="B24" s="60">
        <f t="shared" si="0"/>
        <v>2024</v>
      </c>
      <c r="C24" s="37">
        <f>IF(D24=0,"-",IF(Lease!$H$4="Yearly",EDATE(C23,12),IF(Lease!$H$4="Quarterly",EDATE(C23,3),EDATE(C23,1))))</f>
        <v>45366</v>
      </c>
      <c r="D24" s="52">
        <f>IF(A24&gt;Lease!$E$4,0,Lease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133100.00000000003</v>
      </c>
      <c r="E24" s="14">
        <f>IF(D24=0,0,1/((1+IF(Lease!$H$4="Yearly",Lease!$D$4,IF(Lease!$H$4="Quarterly",Lease!$D$4/4,Lease!$D$4/12)))^IF($E$17=1,A23,A24)))</f>
        <v>0.71068133013012147</v>
      </c>
      <c r="F24" s="53">
        <f t="shared" si="1"/>
        <v>94591.685040319193</v>
      </c>
      <c r="G24" s="54"/>
      <c r="H24" s="13">
        <f t="shared" si="8"/>
        <v>8</v>
      </c>
      <c r="I24" s="37">
        <f t="shared" si="2"/>
        <v>45366</v>
      </c>
      <c r="J24" s="42">
        <f>IF(H24&gt;Lease!$E$4,0,M23)</f>
        <v>1160330.3102827715</v>
      </c>
      <c r="K24" s="42">
        <f>IF(IF(Lease!$H$4="Yearly",J24*Lease!$D$4,IF(Lease!$H$4="Quarterly",J24*(Lease!$D$4/4),J24*Lease!$D$4/12))&gt;0,IF(Lease!$H$4="Yearly",J24*Lease!$D$4,IF(Lease!$H$4="Quarterly",J24*(Lease!$D$4/4),J24*Lease!$D$4/12)),-L24-J24)</f>
        <v>58016.515514138577</v>
      </c>
      <c r="L24" s="42">
        <f t="shared" si="3"/>
        <v>-133100.00000000003</v>
      </c>
      <c r="M24" s="42">
        <f t="shared" si="4"/>
        <v>1085246.8257969101</v>
      </c>
      <c r="N24" s="55"/>
      <c r="O24" s="13">
        <v>8</v>
      </c>
      <c r="P24" s="56">
        <f t="shared" si="9"/>
        <v>45366</v>
      </c>
      <c r="Q24" s="42">
        <f t="shared" si="10"/>
        <v>464869.42539268133</v>
      </c>
      <c r="R24" s="42">
        <f>IF(S23&lt;1,0,-Lease!$K$4/Lease!$L$4)</f>
        <v>-154956.47513089393</v>
      </c>
      <c r="S24" s="42">
        <f t="shared" si="5"/>
        <v>309912.95026178739</v>
      </c>
      <c r="AE24" s="5"/>
      <c r="AF24" s="6">
        <v>1000000</v>
      </c>
      <c r="AG24" s="5">
        <v>10</v>
      </c>
      <c r="AH24" s="6">
        <v>50000</v>
      </c>
      <c r="AJ24" s="58">
        <f t="shared" si="6"/>
        <v>7916.666666666667</v>
      </c>
    </row>
    <row r="25" spans="1:39" x14ac:dyDescent="0.25">
      <c r="A25" s="51">
        <f t="shared" si="7"/>
        <v>9</v>
      </c>
      <c r="B25" s="60">
        <f t="shared" si="0"/>
        <v>2025</v>
      </c>
      <c r="C25" s="37">
        <f>IF(D25=0,"-",IF(Lease!$H$4="Yearly",EDATE(C24,12),IF(Lease!$H$4="Quarterly",EDATE(C24,3),EDATE(C24,1))))</f>
        <v>45731</v>
      </c>
      <c r="D25" s="52">
        <f>IF(A25&gt;Lease!$E$4,0,Lease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146410.00000000003</v>
      </c>
      <c r="E25" s="14">
        <f>IF(D25=0,0,1/((1+IF(Lease!$H$4="Yearly",Lease!$D$4,IF(Lease!$H$4="Quarterly",Lease!$D$4/4,Lease!$D$4/12)))^IF($E$17=1,A24,A25)))</f>
        <v>0.67683936202868722</v>
      </c>
      <c r="F25" s="53">
        <f t="shared" si="1"/>
        <v>99096.05099462012</v>
      </c>
      <c r="G25" s="54"/>
      <c r="H25" s="13">
        <f t="shared" si="8"/>
        <v>9</v>
      </c>
      <c r="I25" s="37">
        <f t="shared" si="2"/>
        <v>45731</v>
      </c>
      <c r="J25" s="42">
        <f>IF(H25&gt;Lease!$E$4,0,M24)</f>
        <v>1085246.8257969101</v>
      </c>
      <c r="K25" s="42">
        <f>IF(IF(Lease!$H$4="Yearly",J25*Lease!$D$4,IF(Lease!$H$4="Quarterly",J25*(Lease!$D$4/4),J25*Lease!$D$4/12))&gt;0,IF(Lease!$H$4="Yearly",J25*Lease!$D$4,IF(Lease!$H$4="Quarterly",J25*(Lease!$D$4/4),J25*Lease!$D$4/12)),-L25-J25)</f>
        <v>54262.341289845506</v>
      </c>
      <c r="L25" s="42">
        <f t="shared" si="3"/>
        <v>-146410.00000000003</v>
      </c>
      <c r="M25" s="42">
        <f t="shared" si="4"/>
        <v>993099.16708675562</v>
      </c>
      <c r="N25" s="55"/>
      <c r="O25" s="13">
        <v>9</v>
      </c>
      <c r="P25" s="56">
        <f t="shared" si="9"/>
        <v>45731</v>
      </c>
      <c r="Q25" s="42">
        <f t="shared" si="10"/>
        <v>309912.95026178739</v>
      </c>
      <c r="R25" s="42">
        <f>IF(S24&lt;1,0,-Lease!$K$4/Lease!$L$4)</f>
        <v>-154956.47513089393</v>
      </c>
      <c r="S25" s="42">
        <f t="shared" si="5"/>
        <v>154956.47513089346</v>
      </c>
      <c r="AE25" s="5"/>
      <c r="AF25" s="6">
        <v>1000000</v>
      </c>
      <c r="AG25" s="5">
        <v>10</v>
      </c>
      <c r="AH25" s="6">
        <v>50000</v>
      </c>
      <c r="AJ25" s="58">
        <f t="shared" si="6"/>
        <v>7916.666666666667</v>
      </c>
    </row>
    <row r="26" spans="1:39" x14ac:dyDescent="0.25">
      <c r="A26" s="51">
        <f t="shared" si="7"/>
        <v>10</v>
      </c>
      <c r="B26" s="60">
        <f t="shared" si="0"/>
        <v>2026</v>
      </c>
      <c r="C26" s="37">
        <f>IF(D26=0,"-",IF(Lease!$H$4="Yearly",EDATE(C25,12),IF(Lease!$H$4="Quarterly",EDATE(C25,3),EDATE(C25,1))))</f>
        <v>46096</v>
      </c>
      <c r="D26" s="52">
        <f>IF(A26&gt;Lease!$E$4,0,Lease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146410.00000000003</v>
      </c>
      <c r="E26" s="14">
        <f>IF(D26=0,0,1/((1+IF(Lease!$H$4="Yearly",Lease!$D$4,IF(Lease!$H$4="Quarterly",Lease!$D$4/4,Lease!$D$4/12)))^IF($E$17=1,A25,A26)))</f>
        <v>0.64460891621779726</v>
      </c>
      <c r="F26" s="53">
        <f t="shared" si="1"/>
        <v>94377.191423447715</v>
      </c>
      <c r="G26" s="54"/>
      <c r="H26" s="13">
        <f t="shared" si="8"/>
        <v>10</v>
      </c>
      <c r="I26" s="37">
        <f t="shared" si="2"/>
        <v>46096</v>
      </c>
      <c r="J26" s="42">
        <f>IF(H26&gt;Lease!$E$4,0,M25)</f>
        <v>993099.16708675562</v>
      </c>
      <c r="K26" s="42">
        <f>IF(IF(Lease!$H$4="Yearly",J26*Lease!$D$4,IF(Lease!$H$4="Quarterly",J26*(Lease!$D$4/4),J26*Lease!$D$4/12))&gt;0,IF(Lease!$H$4="Yearly",J26*Lease!$D$4,IF(Lease!$H$4="Quarterly",J26*(Lease!$D$4/4),J26*Lease!$D$4/12)),-L26-J26)</f>
        <v>49654.958354337781</v>
      </c>
      <c r="L26" s="42">
        <f t="shared" si="3"/>
        <v>-146410.00000000003</v>
      </c>
      <c r="M26" s="42">
        <f t="shared" si="4"/>
        <v>896344.12544109346</v>
      </c>
      <c r="N26" s="55"/>
      <c r="O26" s="13">
        <v>10</v>
      </c>
      <c r="P26" s="56">
        <f t="shared" si="9"/>
        <v>46096</v>
      </c>
      <c r="Q26" s="42">
        <f t="shared" ref="Q26:Q89" si="11">S25</f>
        <v>154956.47513089346</v>
      </c>
      <c r="R26" s="42">
        <f>IF(S25&lt;1,0,-Lease!$K$4/Lease!$L$4)</f>
        <v>-154956.47513089393</v>
      </c>
      <c r="S26" s="42">
        <f t="shared" si="5"/>
        <v>-4.6566128730773926E-10</v>
      </c>
      <c r="AE26" s="5"/>
      <c r="AF26" s="6">
        <v>1000000</v>
      </c>
      <c r="AG26" s="5">
        <v>10</v>
      </c>
      <c r="AH26" s="6">
        <v>50000</v>
      </c>
      <c r="AJ26" s="58">
        <f t="shared" si="6"/>
        <v>7916.666666666667</v>
      </c>
    </row>
    <row r="27" spans="1:39" x14ac:dyDescent="0.25">
      <c r="A27" s="51">
        <f t="shared" si="7"/>
        <v>11</v>
      </c>
      <c r="B27" s="60">
        <f t="shared" si="0"/>
        <v>2027</v>
      </c>
      <c r="C27" s="37">
        <f>IF(D27=0,"-",IF(Lease!$H$4="Yearly",EDATE(C26,12),IF(Lease!$H$4="Quarterly",EDATE(C26,3),EDATE(C26,1))))</f>
        <v>46461</v>
      </c>
      <c r="D27" s="52">
        <f>IF(A27&gt;Lease!$E$4,0,Lease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161051.00000000006</v>
      </c>
      <c r="E27" s="14">
        <f>IF(D27=0,0,1/((1+IF(Lease!$H$4="Yearly",Lease!$D$4,IF(Lease!$H$4="Quarterly",Lease!$D$4/4,Lease!$D$4/12)))^IF($E$17=1,A26,A27)))</f>
        <v>0.61391325354075932</v>
      </c>
      <c r="F27" s="53">
        <f t="shared" si="1"/>
        <v>98871.343395992866</v>
      </c>
      <c r="G27" s="54"/>
      <c r="H27" s="13">
        <f t="shared" si="8"/>
        <v>11</v>
      </c>
      <c r="I27" s="37">
        <f t="shared" si="2"/>
        <v>46461</v>
      </c>
      <c r="J27" s="42">
        <f>IF(H27&gt;Lease!$E$4,0,M26)</f>
        <v>896344.12544109346</v>
      </c>
      <c r="K27" s="42">
        <f>IF(IF(Lease!$H$4="Yearly",J27*Lease!$D$4,IF(Lease!$H$4="Quarterly",J27*(Lease!$D$4/4),J27*Lease!$D$4/12))&gt;0,IF(Lease!$H$4="Yearly",J27*Lease!$D$4,IF(Lease!$H$4="Quarterly",J27*(Lease!$D$4/4),J27*Lease!$D$4/12)),-L27-J27)</f>
        <v>44817.206272054675</v>
      </c>
      <c r="L27" s="42">
        <f t="shared" si="3"/>
        <v>-161051.00000000006</v>
      </c>
      <c r="M27" s="42">
        <f t="shared" si="4"/>
        <v>780110.33171314816</v>
      </c>
      <c r="N27" s="55"/>
      <c r="O27" s="13">
        <v>11</v>
      </c>
      <c r="P27" s="56">
        <f t="shared" si="9"/>
        <v>46461</v>
      </c>
      <c r="Q27" s="42">
        <f t="shared" si="11"/>
        <v>-4.6566128730773926E-10</v>
      </c>
      <c r="R27" s="42">
        <f>IF(S26&lt;1,0,-Lease!$K$4/Lease!$L$4)</f>
        <v>0</v>
      </c>
      <c r="S27" s="42">
        <f t="shared" si="5"/>
        <v>0</v>
      </c>
      <c r="AE27" s="5"/>
      <c r="AF27" s="6">
        <v>1000000</v>
      </c>
      <c r="AG27" s="5">
        <v>10</v>
      </c>
      <c r="AH27" s="6">
        <v>50000</v>
      </c>
      <c r="AJ27" s="58">
        <f t="shared" si="6"/>
        <v>7916.666666666667</v>
      </c>
    </row>
    <row r="28" spans="1:39" x14ac:dyDescent="0.25">
      <c r="A28" s="51">
        <f t="shared" si="7"/>
        <v>12</v>
      </c>
      <c r="B28" s="60">
        <f t="shared" si="0"/>
        <v>2028</v>
      </c>
      <c r="C28" s="37">
        <f>IF(D28=0,"-",IF(Lease!$H$4="Yearly",EDATE(C27,12),IF(Lease!$H$4="Quarterly",EDATE(C27,3),EDATE(C27,1))))</f>
        <v>46827</v>
      </c>
      <c r="D28" s="52">
        <f>IF(A28&gt;Lease!$E$4,0,Lease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161051.00000000006</v>
      </c>
      <c r="E28" s="14">
        <f>IF(D28=0,0,1/((1+IF(Lease!$H$4="Yearly",Lease!$D$4,IF(Lease!$H$4="Quarterly",Lease!$D$4/4,Lease!$D$4/12)))^IF($E$17=1,A27,A28)))</f>
        <v>0.5846792890864374</v>
      </c>
      <c r="F28" s="53">
        <f t="shared" si="1"/>
        <v>94163.18418665987</v>
      </c>
      <c r="G28" s="54"/>
      <c r="H28" s="13">
        <f t="shared" si="8"/>
        <v>12</v>
      </c>
      <c r="I28" s="37">
        <f t="shared" si="2"/>
        <v>46827</v>
      </c>
      <c r="J28" s="42">
        <f>IF(H28&gt;Lease!$E$4,0,M27)</f>
        <v>780110.33171314816</v>
      </c>
      <c r="K28" s="42">
        <f>IF(IF(Lease!$H$4="Yearly",J28*Lease!$D$4,IF(Lease!$H$4="Quarterly",J28*(Lease!$D$4/4),J28*Lease!$D$4/12))&gt;0,IF(Lease!$H$4="Yearly",J28*Lease!$D$4,IF(Lease!$H$4="Quarterly",J28*(Lease!$D$4/4),J28*Lease!$D$4/12)),-L28-J28)</f>
        <v>39005.516585657409</v>
      </c>
      <c r="L28" s="42">
        <f t="shared" si="3"/>
        <v>-161051.00000000006</v>
      </c>
      <c r="M28" s="42">
        <f t="shared" si="4"/>
        <v>658064.84829880553</v>
      </c>
      <c r="N28" s="55"/>
      <c r="O28" s="13">
        <v>12</v>
      </c>
      <c r="P28" s="56">
        <f t="shared" si="9"/>
        <v>46827</v>
      </c>
      <c r="Q28" s="42">
        <f t="shared" si="11"/>
        <v>0</v>
      </c>
      <c r="R28" s="42">
        <f>IF(S27&lt;1,0,-Lease!$K$4/Lease!$L$4)</f>
        <v>0</v>
      </c>
      <c r="S28" s="42">
        <f t="shared" si="5"/>
        <v>0</v>
      </c>
      <c r="AE28" s="5"/>
      <c r="AF28" s="6">
        <v>1000000</v>
      </c>
      <c r="AG28" s="5">
        <v>10</v>
      </c>
      <c r="AH28" s="6">
        <v>50000</v>
      </c>
      <c r="AJ28" s="58">
        <f t="shared" si="6"/>
        <v>7916.666666666667</v>
      </c>
    </row>
    <row r="29" spans="1:39" x14ac:dyDescent="0.25">
      <c r="A29" s="51">
        <f t="shared" si="7"/>
        <v>13</v>
      </c>
      <c r="B29" s="60">
        <f t="shared" si="0"/>
        <v>2029</v>
      </c>
      <c r="C29" s="37">
        <f>IF(D29=0,"-",IF(Lease!$H$4="Yearly",EDATE(C28,12),IF(Lease!$H$4="Quarterly",EDATE(C28,3),EDATE(C28,1))))</f>
        <v>47192</v>
      </c>
      <c r="D29" s="52">
        <f>IF(A29&gt;Lease!$E$4,0,Lease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177156.10000000009</v>
      </c>
      <c r="E29" s="14">
        <f>IF(D29=0,0,1/((1+IF(Lease!$H$4="Yearly",Lease!$D$4,IF(Lease!$H$4="Quarterly",Lease!$D$4/4,Lease!$D$4/12)))^IF($E$17=1,A28,A29)))</f>
        <v>0.5568374181775595</v>
      </c>
      <c r="F29" s="53">
        <f t="shared" si="1"/>
        <v>98647.145338405593</v>
      </c>
      <c r="G29" s="54"/>
      <c r="H29" s="13">
        <f t="shared" si="8"/>
        <v>13</v>
      </c>
      <c r="I29" s="37">
        <f t="shared" si="2"/>
        <v>47192</v>
      </c>
      <c r="J29" s="42">
        <f>IF(H29&gt;Lease!$E$4,0,M28)</f>
        <v>658064.84829880553</v>
      </c>
      <c r="K29" s="42">
        <f>IF(IF(Lease!$H$4="Yearly",J29*Lease!$D$4,IF(Lease!$H$4="Quarterly",J29*(Lease!$D$4/4),J29*Lease!$D$4/12))&gt;0,IF(Lease!$H$4="Yearly",J29*Lease!$D$4,IF(Lease!$H$4="Quarterly",J29*(Lease!$D$4/4),J29*Lease!$D$4/12)),-L29-J29)</f>
        <v>32903.24241494028</v>
      </c>
      <c r="L29" s="42">
        <f t="shared" si="3"/>
        <v>-177156.10000000009</v>
      </c>
      <c r="M29" s="42">
        <f t="shared" si="4"/>
        <v>513811.9907137457</v>
      </c>
      <c r="N29" s="55"/>
      <c r="O29" s="13">
        <v>13</v>
      </c>
      <c r="P29" s="56">
        <f t="shared" si="9"/>
        <v>47192</v>
      </c>
      <c r="Q29" s="42">
        <f t="shared" si="11"/>
        <v>0</v>
      </c>
      <c r="R29" s="42">
        <f>IF(S28&lt;1,0,-Lease!$K$4/Lease!$L$4)</f>
        <v>0</v>
      </c>
      <c r="S29" s="42">
        <f t="shared" si="5"/>
        <v>0</v>
      </c>
      <c r="AE29" s="5"/>
      <c r="AF29" s="6">
        <v>1000000</v>
      </c>
      <c r="AG29" s="5">
        <v>10</v>
      </c>
      <c r="AH29" s="6">
        <v>50000</v>
      </c>
      <c r="AJ29" s="58">
        <f t="shared" si="6"/>
        <v>7916.666666666667</v>
      </c>
    </row>
    <row r="30" spans="1:39" x14ac:dyDescent="0.25">
      <c r="A30" s="51">
        <f t="shared" si="7"/>
        <v>14</v>
      </c>
      <c r="B30" s="60">
        <f t="shared" si="0"/>
        <v>2030</v>
      </c>
      <c r="C30" s="37">
        <f>IF(D30=0,"-",IF(Lease!$H$4="Yearly",EDATE(C29,12),IF(Lease!$H$4="Quarterly",EDATE(C29,3),EDATE(C29,1))))</f>
        <v>47557</v>
      </c>
      <c r="D30" s="52">
        <f>IF(A30&gt;Lease!$E$4,0,Lease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177156.10000000009</v>
      </c>
      <c r="E30" s="14">
        <f>IF(D30=0,0,1/((1+IF(Lease!$H$4="Yearly",Lease!$D$4,IF(Lease!$H$4="Quarterly",Lease!$D$4/4,Lease!$D$4/12)))^IF($E$17=1,A29,A30)))</f>
        <v>0.53032135064529462</v>
      </c>
      <c r="F30" s="53">
        <f t="shared" si="1"/>
        <v>93949.662227052933</v>
      </c>
      <c r="G30" s="54"/>
      <c r="H30" s="13">
        <f t="shared" si="8"/>
        <v>14</v>
      </c>
      <c r="I30" s="37">
        <f t="shared" si="2"/>
        <v>47557</v>
      </c>
      <c r="J30" s="42">
        <f>IF(H30&gt;Lease!$E$4,0,M29)</f>
        <v>513811.9907137457</v>
      </c>
      <c r="K30" s="42">
        <f>IF(IF(Lease!$H$4="Yearly",J30*Lease!$D$4,IF(Lease!$H$4="Quarterly",J30*(Lease!$D$4/4),J30*Lease!$D$4/12))&gt;0,IF(Lease!$H$4="Yearly",J30*Lease!$D$4,IF(Lease!$H$4="Quarterly",J30*(Lease!$D$4/4),J30*Lease!$D$4/12)),-L30-J30)</f>
        <v>25690.599535687288</v>
      </c>
      <c r="L30" s="42">
        <f t="shared" si="3"/>
        <v>-177156.10000000009</v>
      </c>
      <c r="M30" s="42">
        <f t="shared" si="4"/>
        <v>362346.49024943286</v>
      </c>
      <c r="N30" s="55"/>
      <c r="O30" s="13">
        <v>14</v>
      </c>
      <c r="P30" s="56">
        <f t="shared" si="9"/>
        <v>47557</v>
      </c>
      <c r="Q30" s="42">
        <f t="shared" si="11"/>
        <v>0</v>
      </c>
      <c r="R30" s="42">
        <f>IF(S29&lt;1,0,-Lease!$K$4/Lease!$L$4)</f>
        <v>0</v>
      </c>
      <c r="S30" s="42">
        <f t="shared" si="5"/>
        <v>0</v>
      </c>
      <c r="AE30" s="5"/>
      <c r="AF30" s="6">
        <v>1000000</v>
      </c>
      <c r="AG30" s="5">
        <v>10</v>
      </c>
      <c r="AH30" s="6">
        <v>50000</v>
      </c>
      <c r="AJ30" s="58">
        <f t="shared" si="6"/>
        <v>7916.666666666667</v>
      </c>
    </row>
    <row r="31" spans="1:39" x14ac:dyDescent="0.25">
      <c r="A31" s="51">
        <f t="shared" si="7"/>
        <v>15</v>
      </c>
      <c r="B31" s="60">
        <f t="shared" si="0"/>
        <v>2031</v>
      </c>
      <c r="C31" s="37">
        <f>IF(D31=0,"-",IF(Lease!$H$4="Yearly",EDATE(C30,12),IF(Lease!$H$4="Quarterly",EDATE(C30,3),EDATE(C30,1))))</f>
        <v>47922</v>
      </c>
      <c r="D31" s="52">
        <f>IF(A31&gt;Lease!$E$4,0,Lease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194871.71000000011</v>
      </c>
      <c r="E31" s="14">
        <f>IF(D31=0,0,1/((1+IF(Lease!$H$4="Yearly",Lease!$D$4,IF(Lease!$H$4="Quarterly",Lease!$D$4/4,Lease!$D$4/12)))^IF($E$17=1,A30,A31)))</f>
        <v>0.50506795299551888</v>
      </c>
      <c r="F31" s="53">
        <f t="shared" si="1"/>
        <v>98423.455666436435</v>
      </c>
      <c r="G31" s="54"/>
      <c r="H31" s="13">
        <f t="shared" si="8"/>
        <v>15</v>
      </c>
      <c r="I31" s="37">
        <f t="shared" si="2"/>
        <v>47922</v>
      </c>
      <c r="J31" s="42">
        <f>IF(H31&gt;Lease!$E$4,0,M30)</f>
        <v>362346.49024943286</v>
      </c>
      <c r="K31" s="42">
        <f>IF(IF(Lease!$H$4="Yearly",J31*Lease!$D$4,IF(Lease!$H$4="Quarterly",J31*(Lease!$D$4/4),J31*Lease!$D$4/12))&gt;0,IF(Lease!$H$4="Yearly",J31*Lease!$D$4,IF(Lease!$H$4="Quarterly",J31*(Lease!$D$4/4),J31*Lease!$D$4/12)),-L31-J31)</f>
        <v>18117.324512471645</v>
      </c>
      <c r="L31" s="42">
        <f t="shared" si="3"/>
        <v>-194871.71000000011</v>
      </c>
      <c r="M31" s="42">
        <f t="shared" si="4"/>
        <v>185592.10476190437</v>
      </c>
      <c r="N31" s="55"/>
      <c r="O31" s="13">
        <v>15</v>
      </c>
      <c r="P31" s="56">
        <f t="shared" si="9"/>
        <v>47922</v>
      </c>
      <c r="Q31" s="42">
        <f t="shared" si="11"/>
        <v>0</v>
      </c>
      <c r="R31" s="42">
        <f>IF(S30&lt;1,0,-Lease!$K$4/Lease!$L$4)</f>
        <v>0</v>
      </c>
      <c r="S31" s="42">
        <f t="shared" si="5"/>
        <v>0</v>
      </c>
      <c r="AE31" s="5"/>
      <c r="AF31" s="6">
        <v>1000000</v>
      </c>
      <c r="AG31" s="5">
        <v>10</v>
      </c>
      <c r="AH31" s="6">
        <v>50000</v>
      </c>
    </row>
    <row r="32" spans="1:39" x14ac:dyDescent="0.25">
      <c r="A32" s="51">
        <f t="shared" si="7"/>
        <v>16</v>
      </c>
      <c r="B32" s="60">
        <f t="shared" si="0"/>
        <v>2032</v>
      </c>
      <c r="C32" s="37">
        <f>IF(D32=0,"-",IF(Lease!$H$4="Yearly",EDATE(C31,12),IF(Lease!$H$4="Quarterly",EDATE(C31,3),EDATE(C31,1))))</f>
        <v>48288</v>
      </c>
      <c r="D32" s="52">
        <f>IF(A32&gt;Lease!$E$4,0,Lease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194871.71000000011</v>
      </c>
      <c r="E32" s="14">
        <f>IF(D32=0,0,1/((1+IF(Lease!$H$4="Yearly",Lease!$D$4,IF(Lease!$H$4="Quarterly",Lease!$D$4/4,Lease!$D$4/12)))^IF($E$17=1,A31,A32)))</f>
        <v>0.48101709809097021</v>
      </c>
      <c r="F32" s="53">
        <f t="shared" si="1"/>
        <v>93736.624444225148</v>
      </c>
      <c r="G32" s="54"/>
      <c r="H32" s="13">
        <f t="shared" si="8"/>
        <v>16</v>
      </c>
      <c r="I32" s="37">
        <f t="shared" si="2"/>
        <v>48288</v>
      </c>
      <c r="J32" s="42">
        <f>IF(H32&gt;Lease!$E$4,0,M31)</f>
        <v>185592.10476190437</v>
      </c>
      <c r="K32" s="42">
        <f>IF(IF(Lease!$H$4="Yearly",J32*Lease!$D$4,IF(Lease!$H$4="Quarterly",J32*(Lease!$D$4/4),J32*Lease!$D$4/12))&gt;0,IF(Lease!$H$4="Yearly",J32*Lease!$D$4,IF(Lease!$H$4="Quarterly",J32*(Lease!$D$4/4),J32*Lease!$D$4/12)),-L32-J32)</f>
        <v>9279.6052380952187</v>
      </c>
      <c r="L32" s="42">
        <f t="shared" si="3"/>
        <v>-194871.71000000011</v>
      </c>
      <c r="M32" s="42">
        <f t="shared" si="4"/>
        <v>-5.2386894822120667E-10</v>
      </c>
      <c r="N32" s="55"/>
      <c r="O32" s="13">
        <v>16</v>
      </c>
      <c r="P32" s="56">
        <f t="shared" si="9"/>
        <v>48288</v>
      </c>
      <c r="Q32" s="42">
        <f t="shared" si="11"/>
        <v>0</v>
      </c>
      <c r="R32" s="42">
        <f>IF(S31&lt;1,0,-Lease!$K$4/Lease!$L$4)</f>
        <v>0</v>
      </c>
      <c r="S32" s="42">
        <f t="shared" si="5"/>
        <v>0</v>
      </c>
      <c r="AE32" s="5"/>
      <c r="AF32" s="6"/>
    </row>
    <row r="33" spans="1:37" x14ac:dyDescent="0.25">
      <c r="A33" s="51">
        <f t="shared" si="7"/>
        <v>17</v>
      </c>
      <c r="B33" s="60">
        <f t="shared" si="0"/>
        <v>0</v>
      </c>
      <c r="C33" s="37" t="str">
        <f>IF(D33=0,"-",IF(Lease!$H$4="Yearly",EDATE(C32,12),IF(Lease!$H$4="Quarterly",EDATE(C32,3),EDATE(C32,1))))</f>
        <v>-</v>
      </c>
      <c r="D33" s="52">
        <f>IF(A33&gt;Lease!$E$4,0,Lease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0</v>
      </c>
      <c r="E33" s="14">
        <f>IF(D33=0,0,1/((1+IF(Lease!$H$4="Yearly",Lease!$D$4,IF(Lease!$H$4="Quarterly",Lease!$D$4/4,Lease!$D$4/12)))^IF($E$17=1,A32,A33)))</f>
        <v>0</v>
      </c>
      <c r="F33" s="53">
        <f t="shared" si="1"/>
        <v>0</v>
      </c>
      <c r="G33" s="54"/>
      <c r="H33" s="13">
        <f t="shared" si="8"/>
        <v>17</v>
      </c>
      <c r="I33" s="37" t="str">
        <f t="shared" si="2"/>
        <v>-</v>
      </c>
      <c r="J33" s="42">
        <f>IF(H33&gt;Lease!$E$4,0,M32)</f>
        <v>0</v>
      </c>
      <c r="K33" s="42">
        <f>IF(IF(Lease!$H$4="Yearly",J33*Lease!$D$4,IF(Lease!$H$4="Quarterly",J33*(Lease!$D$4/4),J33*Lease!$D$4/12))&gt;0,IF(Lease!$H$4="Yearly",J33*Lease!$D$4,IF(Lease!$H$4="Quarterly",J33*(Lease!$D$4/4),J33*Lease!$D$4/12)),-L33-J33)</f>
        <v>0</v>
      </c>
      <c r="L33" s="42">
        <f t="shared" si="3"/>
        <v>0</v>
      </c>
      <c r="M33" s="42">
        <f t="shared" si="4"/>
        <v>0</v>
      </c>
      <c r="N33" s="55"/>
      <c r="O33" s="13">
        <v>17</v>
      </c>
      <c r="P33" s="56">
        <f t="shared" si="9"/>
        <v>48653</v>
      </c>
      <c r="Q33" s="42">
        <f t="shared" si="11"/>
        <v>0</v>
      </c>
      <c r="R33" s="42">
        <f>IF(S32&lt;1,0,-Lease!$K$4/Lease!$L$4)</f>
        <v>0</v>
      </c>
      <c r="S33" s="42">
        <f t="shared" si="5"/>
        <v>0</v>
      </c>
      <c r="AE33" s="5"/>
      <c r="AF33" s="6"/>
      <c r="AI33" s="5" t="s">
        <v>45</v>
      </c>
    </row>
    <row r="34" spans="1:37" x14ac:dyDescent="0.25">
      <c r="A34" s="51">
        <f t="shared" si="7"/>
        <v>18</v>
      </c>
      <c r="B34" s="60">
        <f t="shared" si="0"/>
        <v>0</v>
      </c>
      <c r="C34" s="37" t="str">
        <f>IF(D34=0,"-",IF(Lease!$H$4="Yearly",EDATE(C33,12),IF(Lease!$H$4="Quarterly",EDATE(C33,3),EDATE(C33,1))))</f>
        <v>-</v>
      </c>
      <c r="D34" s="52">
        <f>IF(A34&gt;Lease!$E$4,0,Lease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0</v>
      </c>
      <c r="E34" s="14">
        <f>IF(D34=0,0,1/((1+IF(Lease!$H$4="Yearly",Lease!$D$4,IF(Lease!$H$4="Quarterly",Lease!$D$4/4,Lease!$D$4/12)))^IF($E$17=1,A33,A34)))</f>
        <v>0</v>
      </c>
      <c r="F34" s="53">
        <f t="shared" si="1"/>
        <v>0</v>
      </c>
      <c r="G34" s="54"/>
      <c r="H34" s="13">
        <f t="shared" si="8"/>
        <v>18</v>
      </c>
      <c r="I34" s="37" t="str">
        <f t="shared" si="2"/>
        <v>-</v>
      </c>
      <c r="J34" s="42">
        <f>IF(H34&gt;Lease!$E$4,0,M33)</f>
        <v>0</v>
      </c>
      <c r="K34" s="42">
        <f>IF(IF(Lease!$H$4="Yearly",J34*Lease!$D$4,IF(Lease!$H$4="Quarterly",J34*(Lease!$D$4/4),J34*Lease!$D$4/12))&gt;0,IF(Lease!$H$4="Yearly",J34*Lease!$D$4,IF(Lease!$H$4="Quarterly",J34*(Lease!$D$4/4),J34*Lease!$D$4/12)),-L34-J34)</f>
        <v>0</v>
      </c>
      <c r="L34" s="42">
        <f t="shared" si="3"/>
        <v>0</v>
      </c>
      <c r="M34" s="42">
        <f t="shared" si="4"/>
        <v>0</v>
      </c>
      <c r="N34" s="55"/>
      <c r="O34" s="13">
        <v>18</v>
      </c>
      <c r="P34" s="56">
        <f t="shared" si="9"/>
        <v>49018</v>
      </c>
      <c r="Q34" s="42">
        <f t="shared" si="11"/>
        <v>0</v>
      </c>
      <c r="R34" s="42">
        <f>IF(S33&lt;1,0,-Lease!$K$4/Lease!$L$4)</f>
        <v>0</v>
      </c>
      <c r="S34" s="42">
        <f t="shared" si="5"/>
        <v>0</v>
      </c>
      <c r="AE34" s="5"/>
      <c r="AF34" s="6"/>
    </row>
    <row r="35" spans="1:37" x14ac:dyDescent="0.25">
      <c r="A35" s="51">
        <f t="shared" si="7"/>
        <v>19</v>
      </c>
      <c r="B35" s="60">
        <f t="shared" si="0"/>
        <v>0</v>
      </c>
      <c r="C35" s="37" t="str">
        <f>IF(D35=0,"-",IF(Lease!$H$4="Yearly",EDATE(C34,12),IF(Lease!$H$4="Quarterly",EDATE(C34,3),EDATE(C34,1))))</f>
        <v>-</v>
      </c>
      <c r="D35" s="52">
        <f>IF(A35&gt;Lease!$E$4,0,Lease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0</v>
      </c>
      <c r="E35" s="14">
        <f>IF(D35=0,0,1/((1+IF(Lease!$H$4="Yearly",Lease!$D$4,IF(Lease!$H$4="Quarterly",Lease!$D$4/4,Lease!$D$4/12)))^IF($E$17=1,A34,A35)))</f>
        <v>0</v>
      </c>
      <c r="F35" s="53">
        <f t="shared" si="1"/>
        <v>0</v>
      </c>
      <c r="G35" s="54"/>
      <c r="H35" s="13">
        <f t="shared" si="8"/>
        <v>19</v>
      </c>
      <c r="I35" s="37" t="str">
        <f t="shared" si="2"/>
        <v>-</v>
      </c>
      <c r="J35" s="42">
        <f>IF(H35&gt;Lease!$E$4,0,M34)</f>
        <v>0</v>
      </c>
      <c r="K35" s="42">
        <f>IF(IF(Lease!$H$4="Yearly",J35*Lease!$D$4,IF(Lease!$H$4="Quarterly",J35*(Lease!$D$4/4),J35*Lease!$D$4/12))&gt;0,IF(Lease!$H$4="Yearly",J35*Lease!$D$4,IF(Lease!$H$4="Quarterly",J35*(Lease!$D$4/4),J35*Lease!$D$4/12)),-L35-J35)</f>
        <v>0</v>
      </c>
      <c r="L35" s="42">
        <f t="shared" si="3"/>
        <v>0</v>
      </c>
      <c r="M35" s="42">
        <f t="shared" si="4"/>
        <v>0</v>
      </c>
      <c r="N35" s="55"/>
      <c r="O35" s="13">
        <v>19</v>
      </c>
      <c r="P35" s="56">
        <f t="shared" si="9"/>
        <v>49383</v>
      </c>
      <c r="Q35" s="42">
        <f t="shared" si="11"/>
        <v>0</v>
      </c>
      <c r="R35" s="42">
        <f>IF(S34&lt;1,0,-Lease!$K$4/Lease!$L$4)</f>
        <v>0</v>
      </c>
      <c r="S35" s="42">
        <f t="shared" si="5"/>
        <v>0</v>
      </c>
      <c r="AE35" s="5"/>
      <c r="AF35" s="6">
        <v>1000000</v>
      </c>
      <c r="AG35" s="36">
        <v>0.1</v>
      </c>
      <c r="AJ35" s="58">
        <f>AF35*AG35</f>
        <v>100000</v>
      </c>
      <c r="AK35" s="58">
        <f>AF35-AJ35</f>
        <v>900000</v>
      </c>
    </row>
    <row r="36" spans="1:37" x14ac:dyDescent="0.25">
      <c r="A36" s="51">
        <f t="shared" si="7"/>
        <v>20</v>
      </c>
      <c r="B36" s="60">
        <f t="shared" si="0"/>
        <v>0</v>
      </c>
      <c r="C36" s="37" t="str">
        <f>IF(D36=0,"-",IF(Lease!$H$4="Yearly",EDATE(C35,12),IF(Lease!$H$4="Quarterly",EDATE(C35,3),EDATE(C35,1))))</f>
        <v>-</v>
      </c>
      <c r="D36" s="52">
        <f>IF(A36&gt;Lease!$E$4,0,Lease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0</v>
      </c>
      <c r="E36" s="14">
        <f>IF(D36=0,0,1/((1+IF(Lease!$H$4="Yearly",Lease!$D$4,IF(Lease!$H$4="Quarterly",Lease!$D$4/4,Lease!$D$4/12)))^IF($E$17=1,A35,A36)))</f>
        <v>0</v>
      </c>
      <c r="F36" s="53">
        <f t="shared" si="1"/>
        <v>0</v>
      </c>
      <c r="G36" s="54"/>
      <c r="H36" s="13">
        <f t="shared" si="8"/>
        <v>20</v>
      </c>
      <c r="I36" s="37" t="str">
        <f t="shared" si="2"/>
        <v>-</v>
      </c>
      <c r="J36" s="42">
        <f>IF(H36&gt;Lease!$E$4,0,M35)</f>
        <v>0</v>
      </c>
      <c r="K36" s="42">
        <f>IF(IF(Lease!$H$4="Yearly",J36*Lease!$D$4,IF(Lease!$H$4="Quarterly",J36*(Lease!$D$4/4),J36*Lease!$D$4/12))&gt;0,IF(Lease!$H$4="Yearly",J36*Lease!$D$4,IF(Lease!$H$4="Quarterly",J36*(Lease!$D$4/4),J36*Lease!$D$4/12)),-L36-J36)</f>
        <v>0</v>
      </c>
      <c r="L36" s="42">
        <f t="shared" si="3"/>
        <v>0</v>
      </c>
      <c r="M36" s="42">
        <f t="shared" si="4"/>
        <v>0</v>
      </c>
      <c r="N36" s="55"/>
      <c r="O36" s="13">
        <v>20</v>
      </c>
      <c r="P36" s="56">
        <f t="shared" si="9"/>
        <v>49749</v>
      </c>
      <c r="Q36" s="42">
        <f t="shared" si="11"/>
        <v>0</v>
      </c>
      <c r="R36" s="42">
        <f>IF(S35&lt;1,0,-Lease!$K$4/Lease!$L$4)</f>
        <v>0</v>
      </c>
      <c r="S36" s="42">
        <f t="shared" si="5"/>
        <v>0</v>
      </c>
      <c r="AE36" s="5"/>
      <c r="AF36" s="6">
        <f>AK35</f>
        <v>900000</v>
      </c>
      <c r="AG36" s="36">
        <v>0.1</v>
      </c>
      <c r="AJ36" s="58">
        <f>AF36*AG36</f>
        <v>90000</v>
      </c>
      <c r="AK36" s="58">
        <f>AF36-AJ36</f>
        <v>810000</v>
      </c>
    </row>
    <row r="37" spans="1:37" x14ac:dyDescent="0.25">
      <c r="A37" s="51">
        <f t="shared" si="7"/>
        <v>21</v>
      </c>
      <c r="B37" s="60">
        <f t="shared" si="0"/>
        <v>0</v>
      </c>
      <c r="C37" s="37" t="str">
        <f>IF(D37=0,"-",IF(Lease!$H$4="Yearly",EDATE(C36,12),IF(Lease!$H$4="Quarterly",EDATE(C36,3),EDATE(C36,1))))</f>
        <v>-</v>
      </c>
      <c r="D37" s="52">
        <f>IF(A37&gt;Lease!$E$4,0,Lease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0</v>
      </c>
      <c r="E37" s="14">
        <f>IF(D37=0,0,1/((1+IF(Lease!$H$4="Yearly",Lease!$D$4,IF(Lease!$H$4="Quarterly",Lease!$D$4/4,Lease!$D$4/12)))^IF($E$17=1,A36,A37)))</f>
        <v>0</v>
      </c>
      <c r="F37" s="53">
        <f t="shared" si="1"/>
        <v>0</v>
      </c>
      <c r="G37" s="54"/>
      <c r="H37" s="13">
        <f t="shared" si="8"/>
        <v>21</v>
      </c>
      <c r="I37" s="37" t="str">
        <f t="shared" si="2"/>
        <v>-</v>
      </c>
      <c r="J37" s="42">
        <f>IF(H37&gt;Lease!$E$4,0,M36)</f>
        <v>0</v>
      </c>
      <c r="K37" s="42">
        <f>IF(IF(Lease!$H$4="Yearly",J37*Lease!$D$4,IF(Lease!$H$4="Quarterly",J37*(Lease!$D$4/4),J37*Lease!$D$4/12))&gt;0,IF(Lease!$H$4="Yearly",J37*Lease!$D$4,IF(Lease!$H$4="Quarterly",J37*(Lease!$D$4/4),J37*Lease!$D$4/12)),-L37-J37)</f>
        <v>0</v>
      </c>
      <c r="L37" s="42">
        <f t="shared" si="3"/>
        <v>0</v>
      </c>
      <c r="M37" s="42">
        <f t="shared" si="4"/>
        <v>0</v>
      </c>
      <c r="N37" s="55"/>
      <c r="O37" s="13">
        <v>21</v>
      </c>
      <c r="P37" s="56">
        <f t="shared" si="9"/>
        <v>50114</v>
      </c>
      <c r="Q37" s="42">
        <f t="shared" si="11"/>
        <v>0</v>
      </c>
      <c r="R37" s="42">
        <f>IF(S36&lt;1,0,-Lease!$K$4/Lease!$L$4)</f>
        <v>0</v>
      </c>
      <c r="S37" s="42">
        <f t="shared" si="5"/>
        <v>0</v>
      </c>
      <c r="AE37" s="5"/>
      <c r="AF37" s="6">
        <f t="shared" ref="AF37:AF47" si="12">AK36</f>
        <v>810000</v>
      </c>
      <c r="AG37" s="36">
        <v>0.1</v>
      </c>
      <c r="AJ37" s="58">
        <f t="shared" ref="AJ37:AJ47" si="13">AF37*AG37</f>
        <v>81000</v>
      </c>
      <c r="AK37" s="58">
        <f t="shared" ref="AK37:AK47" si="14">AF37-AJ37</f>
        <v>729000</v>
      </c>
    </row>
    <row r="38" spans="1:37" x14ac:dyDescent="0.25">
      <c r="A38" s="51">
        <f t="shared" si="7"/>
        <v>22</v>
      </c>
      <c r="B38" s="60">
        <f t="shared" si="0"/>
        <v>0</v>
      </c>
      <c r="C38" s="37" t="str">
        <f>IF(D38=0,"-",IF(Lease!$H$4="Yearly",EDATE(C37,12),IF(Lease!$H$4="Quarterly",EDATE(C37,3),EDATE(C37,1))))</f>
        <v>-</v>
      </c>
      <c r="D38" s="52">
        <f>IF(A38&gt;Lease!$E$4,0,Lease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0</v>
      </c>
      <c r="E38" s="14">
        <f>IF(D38=0,0,1/((1+IF(Lease!$H$4="Yearly",Lease!$D$4,IF(Lease!$H$4="Quarterly",Lease!$D$4/4,Lease!$D$4/12)))^IF($E$17=1,A37,A38)))</f>
        <v>0</v>
      </c>
      <c r="F38" s="53">
        <f t="shared" si="1"/>
        <v>0</v>
      </c>
      <c r="G38" s="54"/>
      <c r="H38" s="13">
        <f t="shared" si="8"/>
        <v>22</v>
      </c>
      <c r="I38" s="37" t="str">
        <f t="shared" si="2"/>
        <v>-</v>
      </c>
      <c r="J38" s="42">
        <f>IF(H38&gt;Lease!$E$4,0,M37)</f>
        <v>0</v>
      </c>
      <c r="K38" s="42">
        <f>IF(IF(Lease!$H$4="Yearly",J38*Lease!$D$4,IF(Lease!$H$4="Quarterly",J38*(Lease!$D$4/4),J38*Lease!$D$4/12))&gt;0,IF(Lease!$H$4="Yearly",J38*Lease!$D$4,IF(Lease!$H$4="Quarterly",J38*(Lease!$D$4/4),J38*Lease!$D$4/12)),-L38-J38)</f>
        <v>0</v>
      </c>
      <c r="L38" s="42">
        <f t="shared" si="3"/>
        <v>0</v>
      </c>
      <c r="M38" s="42">
        <f t="shared" si="4"/>
        <v>0</v>
      </c>
      <c r="N38" s="55"/>
      <c r="O38" s="13">
        <v>22</v>
      </c>
      <c r="P38" s="56">
        <f t="shared" si="9"/>
        <v>50479</v>
      </c>
      <c r="Q38" s="42">
        <f t="shared" si="11"/>
        <v>0</v>
      </c>
      <c r="R38" s="42">
        <f>IF(S37&lt;1,0,-Lease!$K$4/Lease!$L$4)</f>
        <v>0</v>
      </c>
      <c r="S38" s="42">
        <f t="shared" si="5"/>
        <v>0</v>
      </c>
      <c r="AE38" s="5"/>
      <c r="AF38" s="6">
        <f t="shared" si="12"/>
        <v>729000</v>
      </c>
      <c r="AG38" s="36">
        <v>0.1</v>
      </c>
      <c r="AJ38" s="58">
        <f t="shared" si="13"/>
        <v>72900</v>
      </c>
      <c r="AK38" s="58">
        <f t="shared" si="14"/>
        <v>656100</v>
      </c>
    </row>
    <row r="39" spans="1:37" x14ac:dyDescent="0.25">
      <c r="A39" s="51">
        <f t="shared" si="7"/>
        <v>23</v>
      </c>
      <c r="B39" s="60">
        <f t="shared" si="0"/>
        <v>0</v>
      </c>
      <c r="C39" s="37" t="str">
        <f>IF(D39=0,"-",IF(Lease!$H$4="Yearly",EDATE(C38,12),IF(Lease!$H$4="Quarterly",EDATE(C38,3),EDATE(C38,1))))</f>
        <v>-</v>
      </c>
      <c r="D39" s="52">
        <f>IF(A39&gt;Lease!$E$4,0,Lease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0</v>
      </c>
      <c r="E39" s="14">
        <f>IF(D39=0,0,1/((1+IF(Lease!$H$4="Yearly",Lease!$D$4,IF(Lease!$H$4="Quarterly",Lease!$D$4/4,Lease!$D$4/12)))^IF($E$17=1,A38,A39)))</f>
        <v>0</v>
      </c>
      <c r="F39" s="53">
        <f t="shared" si="1"/>
        <v>0</v>
      </c>
      <c r="G39" s="54"/>
      <c r="H39" s="13">
        <f t="shared" si="8"/>
        <v>23</v>
      </c>
      <c r="I39" s="37" t="str">
        <f t="shared" si="2"/>
        <v>-</v>
      </c>
      <c r="J39" s="42">
        <f>IF(H39&gt;Lease!$E$4,0,M38)</f>
        <v>0</v>
      </c>
      <c r="K39" s="42">
        <f>IF(IF(Lease!$H$4="Yearly",J39*Lease!$D$4,IF(Lease!$H$4="Quarterly",J39*(Lease!$D$4/4),J39*Lease!$D$4/12))&gt;0,IF(Lease!$H$4="Yearly",J39*Lease!$D$4,IF(Lease!$H$4="Quarterly",J39*(Lease!$D$4/4),J39*Lease!$D$4/12)),-L39-J39)</f>
        <v>0</v>
      </c>
      <c r="L39" s="42">
        <f t="shared" si="3"/>
        <v>0</v>
      </c>
      <c r="M39" s="42">
        <f t="shared" si="4"/>
        <v>0</v>
      </c>
      <c r="N39" s="55"/>
      <c r="O39" s="13">
        <v>23</v>
      </c>
      <c r="P39" s="56">
        <f t="shared" si="9"/>
        <v>50844</v>
      </c>
      <c r="Q39" s="42">
        <f t="shared" si="11"/>
        <v>0</v>
      </c>
      <c r="R39" s="42">
        <f>IF(S38&lt;1,0,-Lease!$K$4/Lease!$L$4)</f>
        <v>0</v>
      </c>
      <c r="S39" s="42">
        <f t="shared" si="5"/>
        <v>0</v>
      </c>
      <c r="AE39" s="5"/>
      <c r="AF39" s="6">
        <f t="shared" si="12"/>
        <v>656100</v>
      </c>
      <c r="AG39" s="36">
        <v>0.1</v>
      </c>
      <c r="AJ39" s="58">
        <f t="shared" si="13"/>
        <v>65610</v>
      </c>
      <c r="AK39" s="58">
        <f t="shared" si="14"/>
        <v>590490</v>
      </c>
    </row>
    <row r="40" spans="1:37" x14ac:dyDescent="0.25">
      <c r="A40" s="51">
        <f t="shared" si="7"/>
        <v>24</v>
      </c>
      <c r="B40" s="60">
        <f t="shared" si="0"/>
        <v>0</v>
      </c>
      <c r="C40" s="37" t="str">
        <f>IF(D40=0,"-",IF(Lease!$H$4="Yearly",EDATE(C39,12),IF(Lease!$H$4="Quarterly",EDATE(C39,3),EDATE(C39,1))))</f>
        <v>-</v>
      </c>
      <c r="D40" s="52">
        <f>IF(A40&gt;Lease!$E$4,0,Lease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0</v>
      </c>
      <c r="E40" s="14">
        <f>IF(D40=0,0,1/((1+IF(Lease!$H$4="Yearly",Lease!$D$4,IF(Lease!$H$4="Quarterly",Lease!$D$4/4,Lease!$D$4/12)))^IF($E$17=1,A39,A40)))</f>
        <v>0</v>
      </c>
      <c r="F40" s="53">
        <f t="shared" si="1"/>
        <v>0</v>
      </c>
      <c r="G40" s="54"/>
      <c r="H40" s="13">
        <f t="shared" si="8"/>
        <v>24</v>
      </c>
      <c r="I40" s="37" t="str">
        <f t="shared" si="2"/>
        <v>-</v>
      </c>
      <c r="J40" s="42">
        <f>IF(H40&gt;Lease!$E$4,0,M39)</f>
        <v>0</v>
      </c>
      <c r="K40" s="42">
        <f>IF(IF(Lease!$H$4="Yearly",J40*Lease!$D$4,IF(Lease!$H$4="Quarterly",J40*(Lease!$D$4/4),J40*Lease!$D$4/12))&gt;0,IF(Lease!$H$4="Yearly",J40*Lease!$D$4,IF(Lease!$H$4="Quarterly",J40*(Lease!$D$4/4),J40*Lease!$D$4/12)),-L40-J40)</f>
        <v>0</v>
      </c>
      <c r="L40" s="42">
        <f t="shared" si="3"/>
        <v>0</v>
      </c>
      <c r="M40" s="42">
        <f t="shared" si="4"/>
        <v>0</v>
      </c>
      <c r="N40" s="55"/>
      <c r="O40" s="13">
        <v>24</v>
      </c>
      <c r="P40" s="56">
        <f t="shared" si="9"/>
        <v>51210</v>
      </c>
      <c r="Q40" s="42">
        <f t="shared" si="11"/>
        <v>0</v>
      </c>
      <c r="R40" s="42">
        <f>IF(S39&lt;1,0,-Lease!$K$4/Lease!$L$4)</f>
        <v>0</v>
      </c>
      <c r="S40" s="42">
        <f t="shared" si="5"/>
        <v>0</v>
      </c>
      <c r="AE40" s="5"/>
      <c r="AF40" s="6">
        <f t="shared" si="12"/>
        <v>590490</v>
      </c>
      <c r="AG40" s="36">
        <v>0.1</v>
      </c>
      <c r="AJ40" s="58">
        <f t="shared" si="13"/>
        <v>59049</v>
      </c>
      <c r="AK40" s="58">
        <f t="shared" si="14"/>
        <v>531441</v>
      </c>
    </row>
    <row r="41" spans="1:37" x14ac:dyDescent="0.25">
      <c r="A41" s="51">
        <f t="shared" si="7"/>
        <v>25</v>
      </c>
      <c r="B41" s="60">
        <f t="shared" si="0"/>
        <v>0</v>
      </c>
      <c r="C41" s="37" t="str">
        <f>IF(D41=0,"-",IF(Lease!$H$4="Yearly",EDATE(C40,12),IF(Lease!$H$4="Quarterly",EDATE(C40,3),EDATE(C40,1))))</f>
        <v>-</v>
      </c>
      <c r="D41" s="52">
        <f>IF(A41&gt;Lease!$E$4,0,Lease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0</v>
      </c>
      <c r="E41" s="14">
        <f>IF(D41=0,0,1/((1+IF(Lease!$H$4="Yearly",Lease!$D$4,IF(Lease!$H$4="Quarterly",Lease!$D$4/4,Lease!$D$4/12)))^IF($E$17=1,A40,A41)))</f>
        <v>0</v>
      </c>
      <c r="F41" s="53">
        <f t="shared" si="1"/>
        <v>0</v>
      </c>
      <c r="G41" s="54"/>
      <c r="H41" s="13">
        <f t="shared" si="8"/>
        <v>25</v>
      </c>
      <c r="I41" s="37" t="str">
        <f t="shared" si="2"/>
        <v>-</v>
      </c>
      <c r="J41" s="42">
        <f>IF(H41&gt;Lease!$E$4,0,M40)</f>
        <v>0</v>
      </c>
      <c r="K41" s="42">
        <f>IF(IF(Lease!$H$4="Yearly",J41*Lease!$D$4,IF(Lease!$H$4="Quarterly",J41*(Lease!$D$4/4),J41*Lease!$D$4/12))&gt;0,IF(Lease!$H$4="Yearly",J41*Lease!$D$4,IF(Lease!$H$4="Quarterly",J41*(Lease!$D$4/4),J41*Lease!$D$4/12)),-L41-J41)</f>
        <v>0</v>
      </c>
      <c r="L41" s="42">
        <f t="shared" si="3"/>
        <v>0</v>
      </c>
      <c r="M41" s="42">
        <f t="shared" si="4"/>
        <v>0</v>
      </c>
      <c r="N41" s="55"/>
      <c r="O41" s="13">
        <v>25</v>
      </c>
      <c r="P41" s="56">
        <f t="shared" si="9"/>
        <v>51575</v>
      </c>
      <c r="Q41" s="42">
        <f t="shared" si="11"/>
        <v>0</v>
      </c>
      <c r="R41" s="42">
        <f>IF(S40&lt;1,0,-Lease!$K$4/Lease!$L$4)</f>
        <v>0</v>
      </c>
      <c r="S41" s="42">
        <f t="shared" si="5"/>
        <v>0</v>
      </c>
      <c r="AE41" s="5"/>
      <c r="AF41" s="6">
        <f t="shared" si="12"/>
        <v>531441</v>
      </c>
      <c r="AG41" s="36">
        <v>0.1</v>
      </c>
      <c r="AJ41" s="58">
        <f t="shared" si="13"/>
        <v>53144.100000000006</v>
      </c>
      <c r="AK41" s="58">
        <f t="shared" si="14"/>
        <v>478296.9</v>
      </c>
    </row>
    <row r="42" spans="1:37" x14ac:dyDescent="0.25">
      <c r="A42" s="51">
        <f t="shared" si="7"/>
        <v>26</v>
      </c>
      <c r="B42" s="60">
        <f t="shared" si="0"/>
        <v>0</v>
      </c>
      <c r="C42" s="37" t="str">
        <f>IF(D42=0,"-",IF(Lease!$H$4="Yearly",EDATE(C41,12),IF(Lease!$H$4="Quarterly",EDATE(C41,3),EDATE(C41,1))))</f>
        <v>-</v>
      </c>
      <c r="D42" s="52">
        <f>IF(A42&gt;Lease!$E$4,0,Lease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0</v>
      </c>
      <c r="E42" s="14">
        <f>IF(D42=0,0,1/((1+IF(Lease!$H$4="Yearly",Lease!$D$4,IF(Lease!$H$4="Quarterly",Lease!$D$4/4,Lease!$D$4/12)))^IF($E$17=1,A41,A42)))</f>
        <v>0</v>
      </c>
      <c r="F42" s="53">
        <f t="shared" si="1"/>
        <v>0</v>
      </c>
      <c r="G42" s="54"/>
      <c r="H42" s="13">
        <f t="shared" si="8"/>
        <v>26</v>
      </c>
      <c r="I42" s="37" t="str">
        <f t="shared" si="2"/>
        <v>-</v>
      </c>
      <c r="J42" s="42">
        <f>IF(H42&gt;Lease!$E$4,0,M41)</f>
        <v>0</v>
      </c>
      <c r="K42" s="42">
        <f>IF(IF(Lease!$H$4="Yearly",J42*Lease!$D$4,IF(Lease!$H$4="Quarterly",J42*(Lease!$D$4/4),J42*Lease!$D$4/12))&gt;0,IF(Lease!$H$4="Yearly",J42*Lease!$D$4,IF(Lease!$H$4="Quarterly",J42*(Lease!$D$4/4),J42*Lease!$D$4/12)),-L42-J42)</f>
        <v>0</v>
      </c>
      <c r="L42" s="42">
        <f t="shared" si="3"/>
        <v>0</v>
      </c>
      <c r="M42" s="42">
        <f t="shared" si="4"/>
        <v>0</v>
      </c>
      <c r="N42" s="55"/>
      <c r="O42" s="13">
        <v>26</v>
      </c>
      <c r="P42" s="56">
        <f t="shared" si="9"/>
        <v>51940</v>
      </c>
      <c r="Q42" s="42">
        <f t="shared" si="11"/>
        <v>0</v>
      </c>
      <c r="R42" s="42">
        <f>IF(S41&lt;1,0,-Lease!$K$4/Lease!$L$4)</f>
        <v>0</v>
      </c>
      <c r="S42" s="42">
        <f t="shared" si="5"/>
        <v>0</v>
      </c>
      <c r="AE42" s="5"/>
      <c r="AF42" s="6">
        <f t="shared" si="12"/>
        <v>478296.9</v>
      </c>
      <c r="AG42" s="36">
        <v>0.1</v>
      </c>
      <c r="AJ42" s="58">
        <f t="shared" si="13"/>
        <v>47829.69</v>
      </c>
      <c r="AK42" s="58">
        <f t="shared" si="14"/>
        <v>430467.21</v>
      </c>
    </row>
    <row r="43" spans="1:37" x14ac:dyDescent="0.25">
      <c r="A43" s="51">
        <f>A42+1</f>
        <v>27</v>
      </c>
      <c r="B43" s="60">
        <f t="shared" si="0"/>
        <v>0</v>
      </c>
      <c r="C43" s="37" t="str">
        <f>IF(D43=0,"-",IF(Lease!$H$4="Yearly",EDATE(C42,12),IF(Lease!$H$4="Quarterly",EDATE(C42,3),EDATE(C42,1))))</f>
        <v>-</v>
      </c>
      <c r="D43" s="52">
        <f>IF(A43&gt;Lease!$E$4,0,Lease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0</v>
      </c>
      <c r="E43" s="14">
        <f>IF(D43=0,0,1/((1+IF(Lease!$H$4="Yearly",Lease!$D$4,IF(Lease!$H$4="Quarterly",Lease!$D$4/4,Lease!$D$4/12)))^IF($E$17=1,A42,A43)))</f>
        <v>0</v>
      </c>
      <c r="F43" s="53">
        <f t="shared" si="1"/>
        <v>0</v>
      </c>
      <c r="G43" s="54"/>
      <c r="H43" s="13">
        <f>H42+1</f>
        <v>27</v>
      </c>
      <c r="I43" s="37" t="str">
        <f t="shared" si="2"/>
        <v>-</v>
      </c>
      <c r="J43" s="42">
        <f>IF(H43&gt;Lease!$E$4,0,M42)</f>
        <v>0</v>
      </c>
      <c r="K43" s="42">
        <f>IF(IF(Lease!$H$4="Yearly",J43*Lease!$D$4,IF(Lease!$H$4="Quarterly",J43*(Lease!$D$4/4),J43*Lease!$D$4/12))&gt;0,IF(Lease!$H$4="Yearly",J43*Lease!$D$4,IF(Lease!$H$4="Quarterly",J43*(Lease!$D$4/4),J43*Lease!$D$4/12)),-L43-J43)</f>
        <v>0</v>
      </c>
      <c r="L43" s="42">
        <f t="shared" si="3"/>
        <v>0</v>
      </c>
      <c r="M43" s="42">
        <f t="shared" si="4"/>
        <v>0</v>
      </c>
      <c r="N43" s="55"/>
      <c r="O43" s="13">
        <v>27</v>
      </c>
      <c r="P43" s="56">
        <f>DATE(YEAR(P42)+1,MONTH(P42),DAY(P42))</f>
        <v>52305</v>
      </c>
      <c r="Q43" s="42">
        <f>S42</f>
        <v>0</v>
      </c>
      <c r="R43" s="42">
        <f>IF(S42&lt;1,0,-Lease!$K$4/Lease!$L$4)</f>
        <v>0</v>
      </c>
      <c r="S43" s="42">
        <f>IF(S42&lt;1,0,SUM(Q43:R43))</f>
        <v>0</v>
      </c>
      <c r="AE43" s="5"/>
      <c r="AF43" s="6">
        <f>AK42</f>
        <v>430467.21</v>
      </c>
      <c r="AG43" s="36">
        <v>0.1</v>
      </c>
      <c r="AJ43" s="58">
        <f t="shared" si="13"/>
        <v>43046.721000000005</v>
      </c>
      <c r="AK43" s="58">
        <f t="shared" si="14"/>
        <v>387420.489</v>
      </c>
    </row>
    <row r="44" spans="1:37" x14ac:dyDescent="0.25">
      <c r="A44" s="51">
        <f t="shared" si="7"/>
        <v>28</v>
      </c>
      <c r="B44" s="60">
        <f t="shared" si="0"/>
        <v>0</v>
      </c>
      <c r="C44" s="37" t="str">
        <f>IF(D44=0,"-",IF(Lease!$H$4="Yearly",EDATE(C43,12),IF(Lease!$H$4="Quarterly",EDATE(C43,3),EDATE(C43,1))))</f>
        <v>-</v>
      </c>
      <c r="D44" s="52">
        <f>IF(A44&gt;Lease!$E$4,0,Lease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0</v>
      </c>
      <c r="E44" s="14">
        <f>IF(D44=0,0,1/((1+IF(Lease!$H$4="Yearly",Lease!$D$4,IF(Lease!$H$4="Quarterly",Lease!$D$4/4,Lease!$D$4/12)))^IF($E$17=1,A43,A44)))</f>
        <v>0</v>
      </c>
      <c r="F44" s="53">
        <f t="shared" si="1"/>
        <v>0</v>
      </c>
      <c r="G44" s="54"/>
      <c r="H44" s="13">
        <f t="shared" si="8"/>
        <v>28</v>
      </c>
      <c r="I44" s="37" t="str">
        <f t="shared" si="2"/>
        <v>-</v>
      </c>
      <c r="J44" s="42">
        <f>IF(H44&gt;Lease!$E$4,0,M43)</f>
        <v>0</v>
      </c>
      <c r="K44" s="42">
        <f>IF(IF(Lease!$H$4="Yearly",J44*Lease!$D$4,IF(Lease!$H$4="Quarterly",J44*(Lease!$D$4/4),J44*Lease!$D$4/12))&gt;0,IF(Lease!$H$4="Yearly",J44*Lease!$D$4,IF(Lease!$H$4="Quarterly",J44*(Lease!$D$4/4),J44*Lease!$D$4/12)),-L44-J44)</f>
        <v>0</v>
      </c>
      <c r="L44" s="42">
        <f t="shared" si="3"/>
        <v>0</v>
      </c>
      <c r="M44" s="42">
        <f t="shared" si="4"/>
        <v>0</v>
      </c>
      <c r="N44" s="55"/>
      <c r="O44" s="13">
        <v>28</v>
      </c>
      <c r="P44" s="56">
        <f t="shared" si="9"/>
        <v>52671</v>
      </c>
      <c r="Q44" s="42">
        <f t="shared" si="11"/>
        <v>0</v>
      </c>
      <c r="R44" s="42">
        <f>IF(S43&lt;1,0,-Lease!$K$4/Lease!$L$4)</f>
        <v>0</v>
      </c>
      <c r="S44" s="42">
        <f t="shared" si="5"/>
        <v>0</v>
      </c>
      <c r="AE44" s="5"/>
      <c r="AF44" s="6">
        <f t="shared" si="12"/>
        <v>387420.489</v>
      </c>
      <c r="AG44" s="36">
        <v>0.1</v>
      </c>
      <c r="AJ44" s="58">
        <f t="shared" si="13"/>
        <v>38742.048900000002</v>
      </c>
      <c r="AK44" s="58">
        <f t="shared" si="14"/>
        <v>348678.44010000001</v>
      </c>
    </row>
    <row r="45" spans="1:37" x14ac:dyDescent="0.25">
      <c r="A45" s="51">
        <f t="shared" si="7"/>
        <v>29</v>
      </c>
      <c r="B45" s="60">
        <f t="shared" si="0"/>
        <v>0</v>
      </c>
      <c r="C45" s="37" t="str">
        <f>IF(D45=0,"-",IF(Lease!$H$4="Yearly",EDATE(C44,12),IF(Lease!$H$4="Quarterly",EDATE(C44,3),EDATE(C44,1))))</f>
        <v>-</v>
      </c>
      <c r="D45" s="52">
        <f>IF(A45&gt;Lease!$E$4,0,Lease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0</v>
      </c>
      <c r="E45" s="14">
        <f>IF(D45=0,0,1/((1+IF(Lease!$H$4="Yearly",Lease!$D$4,IF(Lease!$H$4="Quarterly",Lease!$D$4/4,Lease!$D$4/12)))^IF($E$17=1,A44,A45)))</f>
        <v>0</v>
      </c>
      <c r="F45" s="53">
        <f t="shared" si="1"/>
        <v>0</v>
      </c>
      <c r="G45" s="54"/>
      <c r="H45" s="13">
        <f t="shared" si="8"/>
        <v>29</v>
      </c>
      <c r="I45" s="37" t="str">
        <f t="shared" si="2"/>
        <v>-</v>
      </c>
      <c r="J45" s="42">
        <f>IF(H45&gt;Lease!$E$4,0,M44)</f>
        <v>0</v>
      </c>
      <c r="K45" s="42">
        <f>IF(IF(Lease!$H$4="Yearly",J45*Lease!$D$4,IF(Lease!$H$4="Quarterly",J45*(Lease!$D$4/4),J45*Lease!$D$4/12))&gt;0,IF(Lease!$H$4="Yearly",J45*Lease!$D$4,IF(Lease!$H$4="Quarterly",J45*(Lease!$D$4/4),J45*Lease!$D$4/12)),-L45-J45)</f>
        <v>0</v>
      </c>
      <c r="L45" s="42">
        <f t="shared" si="3"/>
        <v>0</v>
      </c>
      <c r="M45" s="42">
        <f t="shared" si="4"/>
        <v>0</v>
      </c>
      <c r="N45" s="55"/>
      <c r="O45" s="13">
        <v>29</v>
      </c>
      <c r="P45" s="56">
        <f t="shared" si="9"/>
        <v>53036</v>
      </c>
      <c r="Q45" s="42">
        <f t="shared" si="11"/>
        <v>0</v>
      </c>
      <c r="R45" s="42">
        <f>IF(S44&lt;1,0,-Lease!$K$4/Lease!$L$4)</f>
        <v>0</v>
      </c>
      <c r="S45" s="42">
        <f t="shared" si="5"/>
        <v>0</v>
      </c>
      <c r="AE45" s="5"/>
      <c r="AF45" s="6">
        <f t="shared" si="12"/>
        <v>348678.44010000001</v>
      </c>
      <c r="AG45" s="36">
        <v>0.1</v>
      </c>
      <c r="AJ45" s="58">
        <f t="shared" si="13"/>
        <v>34867.844010000001</v>
      </c>
      <c r="AK45" s="58">
        <f t="shared" si="14"/>
        <v>313810.59609000001</v>
      </c>
    </row>
    <row r="46" spans="1:37" x14ac:dyDescent="0.25">
      <c r="A46" s="51">
        <f t="shared" si="7"/>
        <v>30</v>
      </c>
      <c r="B46" s="60">
        <f t="shared" si="0"/>
        <v>0</v>
      </c>
      <c r="C46" s="37" t="str">
        <f>IF(D46=0,"-",IF(Lease!$H$4="Yearly",EDATE(C45,12),IF(Lease!$H$4="Quarterly",EDATE(C45,3),EDATE(C45,1))))</f>
        <v>-</v>
      </c>
      <c r="D46" s="52">
        <f>IF(A46&gt;Lease!$E$4,0,Lease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0</v>
      </c>
      <c r="E46" s="14">
        <f>IF(D46=0,0,1/((1+IF(Lease!$H$4="Yearly",Lease!$D$4,IF(Lease!$H$4="Quarterly",Lease!$D$4/4,Lease!$D$4/12)))^IF($E$17=1,A45,A46)))</f>
        <v>0</v>
      </c>
      <c r="F46" s="53">
        <f t="shared" si="1"/>
        <v>0</v>
      </c>
      <c r="G46" s="54"/>
      <c r="H46" s="13">
        <f t="shared" si="8"/>
        <v>30</v>
      </c>
      <c r="I46" s="37" t="str">
        <f t="shared" si="2"/>
        <v>-</v>
      </c>
      <c r="J46" s="42">
        <f>IF(H46&gt;Lease!$E$4,0,M45)</f>
        <v>0</v>
      </c>
      <c r="K46" s="42">
        <f>IF(IF(Lease!$H$4="Yearly",J46*Lease!$D$4,IF(Lease!$H$4="Quarterly",J46*(Lease!$D$4/4),J46*Lease!$D$4/12))&gt;0,IF(Lease!$H$4="Yearly",J46*Lease!$D$4,IF(Lease!$H$4="Quarterly",J46*(Lease!$D$4/4),J46*Lease!$D$4/12)),-L46-J46)</f>
        <v>0</v>
      </c>
      <c r="L46" s="42">
        <f t="shared" si="3"/>
        <v>0</v>
      </c>
      <c r="M46" s="42">
        <f t="shared" si="4"/>
        <v>0</v>
      </c>
      <c r="N46" s="55"/>
      <c r="O46" s="13">
        <v>30</v>
      </c>
      <c r="P46" s="56">
        <f t="shared" si="9"/>
        <v>53401</v>
      </c>
      <c r="Q46" s="42">
        <f t="shared" si="11"/>
        <v>0</v>
      </c>
      <c r="R46" s="42">
        <f>IF(S45&lt;1,0,-Lease!$K$4/Lease!$L$4)</f>
        <v>0</v>
      </c>
      <c r="S46" s="42">
        <f t="shared" si="5"/>
        <v>0</v>
      </c>
      <c r="AE46" s="5"/>
      <c r="AF46" s="6">
        <f t="shared" si="12"/>
        <v>313810.59609000001</v>
      </c>
      <c r="AG46" s="36">
        <v>0.1</v>
      </c>
      <c r="AJ46" s="58">
        <f t="shared" si="13"/>
        <v>31381.059609000004</v>
      </c>
      <c r="AK46" s="58">
        <f t="shared" si="14"/>
        <v>282429.53648100002</v>
      </c>
    </row>
    <row r="47" spans="1:37" x14ac:dyDescent="0.25">
      <c r="A47" s="51">
        <f t="shared" si="7"/>
        <v>31</v>
      </c>
      <c r="B47" s="60">
        <f t="shared" si="0"/>
        <v>0</v>
      </c>
      <c r="C47" s="37" t="str">
        <f>IF(D47=0,"-",IF(Lease!$H$4="Yearly",EDATE(C46,12),IF(Lease!$H$4="Quarterly",EDATE(C46,3),EDATE(C46,1))))</f>
        <v>-</v>
      </c>
      <c r="D47" s="52">
        <f>IF(A47&gt;Lease!$E$4,0,Lease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0</v>
      </c>
      <c r="E47" s="14">
        <f>IF(D47=0,0,1/((1+IF(Lease!$H$4="Yearly",Lease!$D$4,IF(Lease!$H$4="Quarterly",Lease!$D$4/4,Lease!$D$4/12)))^IF($E$17=1,A46,A47)))</f>
        <v>0</v>
      </c>
      <c r="F47" s="53">
        <f t="shared" si="1"/>
        <v>0</v>
      </c>
      <c r="G47" s="54"/>
      <c r="H47" s="13">
        <f t="shared" si="8"/>
        <v>31</v>
      </c>
      <c r="I47" s="37" t="str">
        <f t="shared" si="2"/>
        <v>-</v>
      </c>
      <c r="J47" s="42">
        <f>IF(H47&gt;Lease!$E$4,0,M46)</f>
        <v>0</v>
      </c>
      <c r="K47" s="42">
        <f>IF(IF(Lease!$H$4="Yearly",J47*Lease!$D$4,IF(Lease!$H$4="Quarterly",J47*(Lease!$D$4/4),J47*Lease!$D$4/12))&gt;0,IF(Lease!$H$4="Yearly",J47*Lease!$D$4,IF(Lease!$H$4="Quarterly",J47*(Lease!$D$4/4),J47*Lease!$D$4/12)),-L47-J47)</f>
        <v>0</v>
      </c>
      <c r="L47" s="42">
        <f t="shared" si="3"/>
        <v>0</v>
      </c>
      <c r="M47" s="42">
        <f t="shared" si="4"/>
        <v>0</v>
      </c>
      <c r="N47" s="55"/>
      <c r="O47" s="13">
        <v>31</v>
      </c>
      <c r="P47" s="56">
        <f t="shared" si="9"/>
        <v>53766</v>
      </c>
      <c r="Q47" s="42">
        <f t="shared" si="11"/>
        <v>0</v>
      </c>
      <c r="R47" s="42">
        <f>IF(S46&lt;1,0,-Lease!$K$4/Lease!$L$4)</f>
        <v>0</v>
      </c>
      <c r="S47" s="42">
        <f t="shared" si="5"/>
        <v>0</v>
      </c>
      <c r="AE47" s="5"/>
      <c r="AF47" s="6">
        <f t="shared" si="12"/>
        <v>282429.53648100002</v>
      </c>
      <c r="AG47" s="36">
        <v>0.1</v>
      </c>
      <c r="AJ47" s="58">
        <f t="shared" si="13"/>
        <v>28242.953648100003</v>
      </c>
      <c r="AK47" s="58">
        <f t="shared" si="14"/>
        <v>254186.58283290002</v>
      </c>
    </row>
    <row r="48" spans="1:37" x14ac:dyDescent="0.25">
      <c r="A48" s="51">
        <f t="shared" si="7"/>
        <v>32</v>
      </c>
      <c r="B48" s="60">
        <f t="shared" si="0"/>
        <v>0</v>
      </c>
      <c r="C48" s="37" t="str">
        <f>IF(D48=0,"-",IF(Lease!$H$4="Yearly",EDATE(C47,12),IF(Lease!$H$4="Quarterly",EDATE(C47,3),EDATE(C47,1))))</f>
        <v>-</v>
      </c>
      <c r="D48" s="52">
        <f>IF(A48&gt;Lease!$E$4,0,Lease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0</v>
      </c>
      <c r="E48" s="14">
        <f>IF(D48=0,0,1/((1+IF(Lease!$H$4="Yearly",Lease!$D$4,IF(Lease!$H$4="Quarterly",Lease!$D$4/4,Lease!$D$4/12)))^IF($E$17=1,A47,A48)))</f>
        <v>0</v>
      </c>
      <c r="F48" s="53">
        <f t="shared" si="1"/>
        <v>0</v>
      </c>
      <c r="G48" s="54"/>
      <c r="H48" s="13">
        <f t="shared" si="8"/>
        <v>32</v>
      </c>
      <c r="I48" s="37" t="str">
        <f t="shared" si="2"/>
        <v>-</v>
      </c>
      <c r="J48" s="42">
        <f>IF(H48&gt;Lease!$E$4,0,M47)</f>
        <v>0</v>
      </c>
      <c r="K48" s="42">
        <f>IF(IF(Lease!$H$4="Yearly",J48*Lease!$D$4,IF(Lease!$H$4="Quarterly",J48*(Lease!$D$4/4),J48*Lease!$D$4/12))&gt;0,IF(Lease!$H$4="Yearly",J48*Lease!$D$4,IF(Lease!$H$4="Quarterly",J48*(Lease!$D$4/4),J48*Lease!$D$4/12)),-L48-J48)</f>
        <v>0</v>
      </c>
      <c r="L48" s="42">
        <f t="shared" si="3"/>
        <v>0</v>
      </c>
      <c r="M48" s="42">
        <f t="shared" si="4"/>
        <v>0</v>
      </c>
      <c r="N48" s="55"/>
      <c r="O48" s="13">
        <v>32</v>
      </c>
      <c r="P48" s="56">
        <f t="shared" si="9"/>
        <v>54132</v>
      </c>
      <c r="Q48" s="42">
        <f t="shared" si="11"/>
        <v>0</v>
      </c>
      <c r="R48" s="42">
        <f>IF(S47&lt;1,0,-Lease!$K$4/Lease!$L$4)</f>
        <v>0</v>
      </c>
      <c r="S48" s="42">
        <f t="shared" si="5"/>
        <v>0</v>
      </c>
      <c r="AE48" s="5"/>
      <c r="AF48" s="6"/>
    </row>
    <row r="49" spans="1:32" x14ac:dyDescent="0.25">
      <c r="A49" s="51">
        <f t="shared" si="7"/>
        <v>33</v>
      </c>
      <c r="B49" s="60">
        <f t="shared" si="0"/>
        <v>0</v>
      </c>
      <c r="C49" s="37" t="str">
        <f>IF(D49=0,"-",IF(Lease!$H$4="Yearly",EDATE(C48,12),IF(Lease!$H$4="Quarterly",EDATE(C48,3),EDATE(C48,1))))</f>
        <v>-</v>
      </c>
      <c r="D49" s="52">
        <f>IF(A49&gt;Lease!$E$4,0,Lease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0</v>
      </c>
      <c r="E49" s="14">
        <f>IF(D49=0,0,1/((1+IF(Lease!$H$4="Yearly",Lease!$D$4,IF(Lease!$H$4="Quarterly",Lease!$D$4/4,Lease!$D$4/12)))^IF($E$17=1,A48,A49)))</f>
        <v>0</v>
      </c>
      <c r="F49" s="53">
        <f t="shared" si="1"/>
        <v>0</v>
      </c>
      <c r="G49" s="54"/>
      <c r="H49" s="13">
        <f t="shared" si="8"/>
        <v>33</v>
      </c>
      <c r="I49" s="37" t="str">
        <f t="shared" si="2"/>
        <v>-</v>
      </c>
      <c r="J49" s="42">
        <f>IF(H49&gt;Lease!$E$4,0,M48)</f>
        <v>0</v>
      </c>
      <c r="K49" s="42">
        <f>IF(IF(Lease!$H$4="Yearly",J49*Lease!$D$4,IF(Lease!$H$4="Quarterly",J49*(Lease!$D$4/4),J49*Lease!$D$4/12))&gt;0,IF(Lease!$H$4="Yearly",J49*Lease!$D$4,IF(Lease!$H$4="Quarterly",J49*(Lease!$D$4/4),J49*Lease!$D$4/12)),-L49-J49)</f>
        <v>0</v>
      </c>
      <c r="L49" s="42">
        <f t="shared" si="3"/>
        <v>0</v>
      </c>
      <c r="M49" s="42">
        <f t="shared" si="4"/>
        <v>0</v>
      </c>
      <c r="N49" s="55"/>
      <c r="O49" s="13">
        <v>33</v>
      </c>
      <c r="P49" s="56">
        <f t="shared" si="9"/>
        <v>54497</v>
      </c>
      <c r="Q49" s="42">
        <f t="shared" si="11"/>
        <v>0</v>
      </c>
      <c r="R49" s="42">
        <f>IF(S48&lt;1,0,-Lease!$K$4/Lease!$L$4)</f>
        <v>0</v>
      </c>
      <c r="S49" s="42">
        <f t="shared" si="5"/>
        <v>0</v>
      </c>
      <c r="AE49" s="5"/>
      <c r="AF49" s="6"/>
    </row>
    <row r="50" spans="1:32" x14ac:dyDescent="0.25">
      <c r="A50" s="51">
        <f t="shared" si="7"/>
        <v>34</v>
      </c>
      <c r="B50" s="60">
        <f t="shared" si="0"/>
        <v>0</v>
      </c>
      <c r="C50" s="37" t="str">
        <f>IF(D50=0,"-",IF(Lease!$H$4="Yearly",EDATE(C49,12),IF(Lease!$H$4="Quarterly",EDATE(C49,3),EDATE(C49,1))))</f>
        <v>-</v>
      </c>
      <c r="D50" s="52">
        <f>IF(A50&gt;Lease!$E$4,0,Lease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0</v>
      </c>
      <c r="E50" s="14">
        <f>IF(D50=0,0,1/((1+IF(Lease!$H$4="Yearly",Lease!$D$4,IF(Lease!$H$4="Quarterly",Lease!$D$4/4,Lease!$D$4/12)))^IF($E$17=1,A49,A50)))</f>
        <v>0</v>
      </c>
      <c r="F50" s="53">
        <f t="shared" si="1"/>
        <v>0</v>
      </c>
      <c r="G50" s="54"/>
      <c r="H50" s="13">
        <f t="shared" si="8"/>
        <v>34</v>
      </c>
      <c r="I50" s="37" t="str">
        <f t="shared" si="2"/>
        <v>-</v>
      </c>
      <c r="J50" s="42">
        <f>IF(H50&gt;Lease!$E$4,0,M49)</f>
        <v>0</v>
      </c>
      <c r="K50" s="42">
        <f>IF(IF(Lease!$H$4="Yearly",J50*Lease!$D$4,IF(Lease!$H$4="Quarterly",J50*(Lease!$D$4/4),J50*Lease!$D$4/12))&gt;0,IF(Lease!$H$4="Yearly",J50*Lease!$D$4,IF(Lease!$H$4="Quarterly",J50*(Lease!$D$4/4),J50*Lease!$D$4/12)),-L50-J50)</f>
        <v>0</v>
      </c>
      <c r="L50" s="42">
        <f t="shared" si="3"/>
        <v>0</v>
      </c>
      <c r="M50" s="42">
        <f t="shared" si="4"/>
        <v>0</v>
      </c>
      <c r="N50" s="55"/>
      <c r="O50" s="13">
        <v>34</v>
      </c>
      <c r="P50" s="56">
        <f t="shared" si="9"/>
        <v>54862</v>
      </c>
      <c r="Q50" s="42">
        <f t="shared" si="11"/>
        <v>0</v>
      </c>
      <c r="R50" s="42">
        <f>IF(S49&lt;1,0,-Lease!$K$4/Lease!$L$4)</f>
        <v>0</v>
      </c>
      <c r="S50" s="42">
        <f t="shared" si="5"/>
        <v>0</v>
      </c>
      <c r="AE50" s="5"/>
      <c r="AF50" s="6"/>
    </row>
    <row r="51" spans="1:32" x14ac:dyDescent="0.25">
      <c r="A51" s="51">
        <f t="shared" si="7"/>
        <v>35</v>
      </c>
      <c r="B51" s="60">
        <f t="shared" si="0"/>
        <v>0</v>
      </c>
      <c r="C51" s="37" t="str">
        <f>IF(D51=0,"-",IF(Lease!$H$4="Yearly",EDATE(C50,12),IF(Lease!$H$4="Quarterly",EDATE(C50,3),EDATE(C50,1))))</f>
        <v>-</v>
      </c>
      <c r="D51" s="52">
        <f>IF(A51&gt;Lease!$E$4,0,Lease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0</v>
      </c>
      <c r="E51" s="14">
        <f>IF(D51=0,0,1/((1+IF(Lease!$H$4="Yearly",Lease!$D$4,IF(Lease!$H$4="Quarterly",Lease!$D$4/4,Lease!$D$4/12)))^IF($E$17=1,A50,A51)))</f>
        <v>0</v>
      </c>
      <c r="F51" s="53">
        <f t="shared" si="1"/>
        <v>0</v>
      </c>
      <c r="G51" s="54"/>
      <c r="H51" s="13">
        <f t="shared" si="8"/>
        <v>35</v>
      </c>
      <c r="I51" s="37" t="str">
        <f t="shared" si="2"/>
        <v>-</v>
      </c>
      <c r="J51" s="42">
        <f>IF(H51&gt;Lease!$E$4,0,M50)</f>
        <v>0</v>
      </c>
      <c r="K51" s="42">
        <f>IF(IF(Lease!$H$4="Yearly",J51*Lease!$D$4,IF(Lease!$H$4="Quarterly",J51*(Lease!$D$4/4),J51*Lease!$D$4/12))&gt;0,IF(Lease!$H$4="Yearly",J51*Lease!$D$4,IF(Lease!$H$4="Quarterly",J51*(Lease!$D$4/4),J51*Lease!$D$4/12)),-L51-J51)</f>
        <v>0</v>
      </c>
      <c r="L51" s="42">
        <f t="shared" si="3"/>
        <v>0</v>
      </c>
      <c r="M51" s="42">
        <f t="shared" si="4"/>
        <v>0</v>
      </c>
      <c r="N51" s="55"/>
      <c r="O51" s="13">
        <v>35</v>
      </c>
      <c r="P51" s="56">
        <f t="shared" si="9"/>
        <v>55227</v>
      </c>
      <c r="Q51" s="42">
        <f t="shared" si="11"/>
        <v>0</v>
      </c>
      <c r="R51" s="42">
        <f>IF(S50&lt;1,0,-Lease!$K$4/Lease!$L$4)</f>
        <v>0</v>
      </c>
      <c r="S51" s="42">
        <f t="shared" si="5"/>
        <v>0</v>
      </c>
      <c r="AE51" s="5"/>
      <c r="AF51" s="6"/>
    </row>
    <row r="52" spans="1:32" x14ac:dyDescent="0.25">
      <c r="A52" s="51">
        <f t="shared" si="7"/>
        <v>36</v>
      </c>
      <c r="B52" s="60">
        <f t="shared" si="0"/>
        <v>0</v>
      </c>
      <c r="C52" s="37" t="str">
        <f>IF(D52=0,"-",IF(Lease!$H$4="Yearly",EDATE(C51,12),IF(Lease!$H$4="Quarterly",EDATE(C51,3),EDATE(C51,1))))</f>
        <v>-</v>
      </c>
      <c r="D52" s="52">
        <f>IF(A52&gt;Lease!$E$4,0,Lease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0</v>
      </c>
      <c r="E52" s="14">
        <f>IF(D52=0,0,1/((1+IF(Lease!$H$4="Yearly",Lease!$D$4,IF(Lease!$H$4="Quarterly",Lease!$D$4/4,Lease!$D$4/12)))^IF($E$17=1,A51,A52)))</f>
        <v>0</v>
      </c>
      <c r="F52" s="53">
        <f t="shared" si="1"/>
        <v>0</v>
      </c>
      <c r="G52" s="54"/>
      <c r="H52" s="13">
        <f t="shared" si="8"/>
        <v>36</v>
      </c>
      <c r="I52" s="37" t="str">
        <f t="shared" si="2"/>
        <v>-</v>
      </c>
      <c r="J52" s="42">
        <f>IF(H52&gt;Lease!$E$4,0,M51)</f>
        <v>0</v>
      </c>
      <c r="K52" s="42">
        <f>IF(IF(Lease!$H$4="Yearly",J52*Lease!$D$4,IF(Lease!$H$4="Quarterly",J52*(Lease!$D$4/4),J52*Lease!$D$4/12))&gt;0,IF(Lease!$H$4="Yearly",J52*Lease!$D$4,IF(Lease!$H$4="Quarterly",J52*(Lease!$D$4/4),J52*Lease!$D$4/12)),-L52-J52)</f>
        <v>0</v>
      </c>
      <c r="L52" s="42">
        <f t="shared" si="3"/>
        <v>0</v>
      </c>
      <c r="M52" s="42">
        <f t="shared" si="4"/>
        <v>0</v>
      </c>
      <c r="N52" s="55"/>
      <c r="O52" s="13">
        <v>36</v>
      </c>
      <c r="P52" s="56">
        <f t="shared" si="9"/>
        <v>55593</v>
      </c>
      <c r="Q52" s="42">
        <f t="shared" si="11"/>
        <v>0</v>
      </c>
      <c r="R52" s="42">
        <f>IF(S51&lt;1,0,-Lease!$K$4/Lease!$L$4)</f>
        <v>0</v>
      </c>
      <c r="S52" s="42">
        <f t="shared" si="5"/>
        <v>0</v>
      </c>
      <c r="AE52" s="5"/>
      <c r="AF52" s="6"/>
    </row>
    <row r="53" spans="1:32" x14ac:dyDescent="0.25">
      <c r="A53" s="51">
        <f t="shared" si="7"/>
        <v>37</v>
      </c>
      <c r="B53" s="60">
        <f t="shared" si="0"/>
        <v>0</v>
      </c>
      <c r="C53" s="37" t="str">
        <f>IF(D53=0,"-",IF(Lease!$H$4="Yearly",EDATE(C52,12),IF(Lease!$H$4="Quarterly",EDATE(C52,3),EDATE(C52,1))))</f>
        <v>-</v>
      </c>
      <c r="D53" s="52">
        <f>IF(A53&gt;Lease!$E$4,0,Lease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0</v>
      </c>
      <c r="E53" s="14">
        <f>IF(D53=0,0,1/((1+IF(Lease!$H$4="Yearly",Lease!$D$4,IF(Lease!$H$4="Quarterly",Lease!$D$4/4,Lease!$D$4/12)))^IF($E$17=1,A52,A53)))</f>
        <v>0</v>
      </c>
      <c r="F53" s="53">
        <f t="shared" si="1"/>
        <v>0</v>
      </c>
      <c r="G53" s="54"/>
      <c r="H53" s="13">
        <f t="shared" si="8"/>
        <v>37</v>
      </c>
      <c r="I53" s="37" t="str">
        <f t="shared" si="2"/>
        <v>-</v>
      </c>
      <c r="J53" s="42">
        <f>IF(H53&gt;Lease!$E$4,0,M52)</f>
        <v>0</v>
      </c>
      <c r="K53" s="42">
        <f>IF(IF(Lease!$H$4="Yearly",J53*Lease!$D$4,IF(Lease!$H$4="Quarterly",J53*(Lease!$D$4/4),J53*Lease!$D$4/12))&gt;0,IF(Lease!$H$4="Yearly",J53*Lease!$D$4,IF(Lease!$H$4="Quarterly",J53*(Lease!$D$4/4),J53*Lease!$D$4/12)),-L53-J53)</f>
        <v>0</v>
      </c>
      <c r="L53" s="42">
        <f t="shared" si="3"/>
        <v>0</v>
      </c>
      <c r="M53" s="42">
        <f t="shared" si="4"/>
        <v>0</v>
      </c>
      <c r="N53" s="55"/>
      <c r="O53" s="13">
        <v>37</v>
      </c>
      <c r="P53" s="56">
        <f t="shared" si="9"/>
        <v>55958</v>
      </c>
      <c r="Q53" s="42">
        <f t="shared" si="11"/>
        <v>0</v>
      </c>
      <c r="R53" s="42">
        <f>IF(S52&lt;1,0,-Lease!$K$4/Lease!$L$4)</f>
        <v>0</v>
      </c>
      <c r="S53" s="42">
        <f t="shared" si="5"/>
        <v>0</v>
      </c>
      <c r="AE53" s="5"/>
      <c r="AF53" s="6"/>
    </row>
    <row r="54" spans="1:32" x14ac:dyDescent="0.25">
      <c r="A54" s="51">
        <f t="shared" si="7"/>
        <v>38</v>
      </c>
      <c r="B54" s="60">
        <f t="shared" si="0"/>
        <v>0</v>
      </c>
      <c r="C54" s="37" t="str">
        <f>IF(D54=0,"-",IF(Lease!$H$4="Yearly",EDATE(C53,12),IF(Lease!$H$4="Quarterly",EDATE(C53,3),EDATE(C53,1))))</f>
        <v>-</v>
      </c>
      <c r="D54" s="52">
        <f>IF(A54&gt;Lease!$E$4,0,Lease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0</v>
      </c>
      <c r="E54" s="14">
        <f>IF(D54=0,0,1/((1+IF(Lease!$H$4="Yearly",Lease!$D$4,IF(Lease!$H$4="Quarterly",Lease!$D$4/4,Lease!$D$4/12)))^IF($E$17=1,A53,A54)))</f>
        <v>0</v>
      </c>
      <c r="F54" s="53">
        <f t="shared" si="1"/>
        <v>0</v>
      </c>
      <c r="G54" s="54"/>
      <c r="H54" s="13">
        <f t="shared" si="8"/>
        <v>38</v>
      </c>
      <c r="I54" s="37" t="str">
        <f t="shared" si="2"/>
        <v>-</v>
      </c>
      <c r="J54" s="42">
        <f>IF(H54&gt;Lease!$E$4,0,M53)</f>
        <v>0</v>
      </c>
      <c r="K54" s="42">
        <f>IF(IF(Lease!$H$4="Yearly",J54*Lease!$D$4,IF(Lease!$H$4="Quarterly",J54*(Lease!$D$4/4),J54*Lease!$D$4/12))&gt;0,IF(Lease!$H$4="Yearly",J54*Lease!$D$4,IF(Lease!$H$4="Quarterly",J54*(Lease!$D$4/4),J54*Lease!$D$4/12)),-L54-J54)</f>
        <v>0</v>
      </c>
      <c r="L54" s="42">
        <f t="shared" si="3"/>
        <v>0</v>
      </c>
      <c r="M54" s="42">
        <f t="shared" si="4"/>
        <v>0</v>
      </c>
      <c r="N54" s="55"/>
      <c r="O54" s="13">
        <v>38</v>
      </c>
      <c r="P54" s="56">
        <f t="shared" si="9"/>
        <v>56323</v>
      </c>
      <c r="Q54" s="42">
        <f t="shared" si="11"/>
        <v>0</v>
      </c>
      <c r="R54" s="42">
        <f>IF(S53&lt;1,0,-Lease!$K$4/Lease!$L$4)</f>
        <v>0</v>
      </c>
      <c r="S54" s="42">
        <f t="shared" si="5"/>
        <v>0</v>
      </c>
      <c r="AE54" s="5"/>
      <c r="AF54" s="6"/>
    </row>
    <row r="55" spans="1:32" x14ac:dyDescent="0.25">
      <c r="A55" s="51">
        <f t="shared" si="7"/>
        <v>39</v>
      </c>
      <c r="B55" s="60">
        <f t="shared" si="0"/>
        <v>0</v>
      </c>
      <c r="C55" s="37" t="str">
        <f>IF(D55=0,"-",IF(Lease!$H$4="Yearly",EDATE(C54,12),IF(Lease!$H$4="Quarterly",EDATE(C54,3),EDATE(C54,1))))</f>
        <v>-</v>
      </c>
      <c r="D55" s="52">
        <f>IF(A55&gt;Lease!$E$4,0,Lease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0</v>
      </c>
      <c r="E55" s="14">
        <f>IF(D55=0,0,1/((1+IF(Lease!$H$4="Yearly",Lease!$D$4,IF(Lease!$H$4="Quarterly",Lease!$D$4/4,Lease!$D$4/12)))^IF($E$17=1,A54,A55)))</f>
        <v>0</v>
      </c>
      <c r="F55" s="53">
        <f t="shared" si="1"/>
        <v>0</v>
      </c>
      <c r="G55" s="54"/>
      <c r="H55" s="13">
        <f t="shared" si="8"/>
        <v>39</v>
      </c>
      <c r="I55" s="37" t="str">
        <f t="shared" si="2"/>
        <v>-</v>
      </c>
      <c r="J55" s="42">
        <f>IF(H55&gt;Lease!$E$4,0,M54)</f>
        <v>0</v>
      </c>
      <c r="K55" s="42">
        <f>IF(IF(Lease!$H$4="Yearly",J55*Lease!$D$4,IF(Lease!$H$4="Quarterly",J55*(Lease!$D$4/4),J55*Lease!$D$4/12))&gt;0,IF(Lease!$H$4="Yearly",J55*Lease!$D$4,IF(Lease!$H$4="Quarterly",J55*(Lease!$D$4/4),J55*Lease!$D$4/12)),-L55-J55)</f>
        <v>0</v>
      </c>
      <c r="L55" s="42">
        <f t="shared" si="3"/>
        <v>0</v>
      </c>
      <c r="M55" s="42">
        <f t="shared" si="4"/>
        <v>0</v>
      </c>
      <c r="N55" s="55"/>
      <c r="O55" s="13">
        <v>39</v>
      </c>
      <c r="P55" s="56">
        <f t="shared" si="9"/>
        <v>56688</v>
      </c>
      <c r="Q55" s="42">
        <f t="shared" si="11"/>
        <v>0</v>
      </c>
      <c r="R55" s="42">
        <f>IF(S54&lt;1,0,-Lease!$K$4/Lease!$L$4)</f>
        <v>0</v>
      </c>
      <c r="S55" s="42">
        <f t="shared" si="5"/>
        <v>0</v>
      </c>
      <c r="AE55" s="5"/>
      <c r="AF55" s="6"/>
    </row>
    <row r="56" spans="1:32" x14ac:dyDescent="0.25">
      <c r="A56" s="51">
        <f t="shared" si="7"/>
        <v>40</v>
      </c>
      <c r="B56" s="60">
        <f t="shared" si="0"/>
        <v>0</v>
      </c>
      <c r="C56" s="37" t="str">
        <f>IF(D56=0,"-",IF(Lease!$H$4="Yearly",EDATE(C55,12),IF(Lease!$H$4="Quarterly",EDATE(C55,3),EDATE(C55,1))))</f>
        <v>-</v>
      </c>
      <c r="D56" s="52">
        <f>IF(A56&gt;Lease!$E$4,0,Lease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0</v>
      </c>
      <c r="E56" s="14">
        <f>IF(D56=0,0,1/((1+IF(Lease!$H$4="Yearly",Lease!$D$4,IF(Lease!$H$4="Quarterly",Lease!$D$4/4,Lease!$D$4/12)))^IF($E$17=1,A55,A56)))</f>
        <v>0</v>
      </c>
      <c r="F56" s="53">
        <f t="shared" si="1"/>
        <v>0</v>
      </c>
      <c r="G56" s="54"/>
      <c r="H56" s="13">
        <f t="shared" si="8"/>
        <v>40</v>
      </c>
      <c r="I56" s="37" t="str">
        <f t="shared" si="2"/>
        <v>-</v>
      </c>
      <c r="J56" s="42">
        <f>IF(H56&gt;Lease!$E$4,0,M55)</f>
        <v>0</v>
      </c>
      <c r="K56" s="42">
        <f>IF(IF(Lease!$H$4="Yearly",J56*Lease!$D$4,IF(Lease!$H$4="Quarterly",J56*(Lease!$D$4/4),J56*Lease!$D$4/12))&gt;0,IF(Lease!$H$4="Yearly",J56*Lease!$D$4,IF(Lease!$H$4="Quarterly",J56*(Lease!$D$4/4),J56*Lease!$D$4/12)),-L56-J56)</f>
        <v>0</v>
      </c>
      <c r="L56" s="42">
        <f t="shared" si="3"/>
        <v>0</v>
      </c>
      <c r="M56" s="42">
        <f t="shared" si="4"/>
        <v>0</v>
      </c>
      <c r="N56" s="55"/>
      <c r="O56" s="13">
        <v>40</v>
      </c>
      <c r="P56" s="56">
        <f t="shared" si="9"/>
        <v>57054</v>
      </c>
      <c r="Q56" s="42">
        <f t="shared" si="11"/>
        <v>0</v>
      </c>
      <c r="R56" s="42">
        <f>IF(S55&lt;1,0,-Lease!$K$4/Lease!$L$4)</f>
        <v>0</v>
      </c>
      <c r="S56" s="42">
        <f t="shared" si="5"/>
        <v>0</v>
      </c>
      <c r="AE56" s="5"/>
      <c r="AF56" s="6"/>
    </row>
    <row r="57" spans="1:32" x14ac:dyDescent="0.25">
      <c r="A57" s="51">
        <f t="shared" si="7"/>
        <v>41</v>
      </c>
      <c r="B57" s="60">
        <f t="shared" si="0"/>
        <v>0</v>
      </c>
      <c r="C57" s="37" t="str">
        <f>IF(D57=0,"-",IF(Lease!$H$4="Yearly",EDATE(C56,12),IF(Lease!$H$4="Quarterly",EDATE(C56,3),EDATE(C56,1))))</f>
        <v>-</v>
      </c>
      <c r="D57" s="52">
        <f>IF(A57&gt;Lease!$E$4,0,Lease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0</v>
      </c>
      <c r="E57" s="14">
        <f>IF(D57=0,0,1/((1+IF(Lease!$H$4="Yearly",Lease!$D$4,IF(Lease!$H$4="Quarterly",Lease!$D$4/4,Lease!$D$4/12)))^IF($E$17=1,A56,A57)))</f>
        <v>0</v>
      </c>
      <c r="F57" s="53">
        <f t="shared" si="1"/>
        <v>0</v>
      </c>
      <c r="G57" s="54"/>
      <c r="H57" s="13">
        <f t="shared" si="8"/>
        <v>41</v>
      </c>
      <c r="I57" s="37" t="str">
        <f t="shared" si="2"/>
        <v>-</v>
      </c>
      <c r="J57" s="42">
        <f>IF(H57&gt;Lease!$E$4,0,M56)</f>
        <v>0</v>
      </c>
      <c r="K57" s="42">
        <f>IF(IF(Lease!$H$4="Yearly",J57*Lease!$D$4,IF(Lease!$H$4="Quarterly",J57*(Lease!$D$4/4),J57*Lease!$D$4/12))&gt;0,IF(Lease!$H$4="Yearly",J57*Lease!$D$4,IF(Lease!$H$4="Quarterly",J57*(Lease!$D$4/4),J57*Lease!$D$4/12)),-L57-J57)</f>
        <v>0</v>
      </c>
      <c r="L57" s="42">
        <f t="shared" si="3"/>
        <v>0</v>
      </c>
      <c r="M57" s="42">
        <f t="shared" si="4"/>
        <v>0</v>
      </c>
      <c r="N57" s="55"/>
      <c r="O57" s="13">
        <v>41</v>
      </c>
      <c r="P57" s="56">
        <f t="shared" si="9"/>
        <v>57419</v>
      </c>
      <c r="Q57" s="42">
        <f t="shared" si="11"/>
        <v>0</v>
      </c>
      <c r="R57" s="42">
        <f>IF(S56&lt;1,0,-Lease!$K$4/Lease!$L$4)</f>
        <v>0</v>
      </c>
      <c r="S57" s="42">
        <f t="shared" si="5"/>
        <v>0</v>
      </c>
      <c r="AE57" s="5"/>
      <c r="AF57" s="6"/>
    </row>
    <row r="58" spans="1:32" x14ac:dyDescent="0.25">
      <c r="A58" s="51">
        <f t="shared" si="7"/>
        <v>42</v>
      </c>
      <c r="B58" s="60">
        <f t="shared" si="0"/>
        <v>0</v>
      </c>
      <c r="C58" s="37" t="str">
        <f>IF(D58=0,"-",IF(Lease!$H$4="Yearly",EDATE(C57,12),IF(Lease!$H$4="Quarterly",EDATE(C57,3),EDATE(C57,1))))</f>
        <v>-</v>
      </c>
      <c r="D58" s="52">
        <f>IF(A58&gt;Lease!$E$4,0,Lease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0</v>
      </c>
      <c r="E58" s="14">
        <f>IF(D58=0,0,1/((1+IF(Lease!$H$4="Yearly",Lease!$D$4,IF(Lease!$H$4="Quarterly",Lease!$D$4/4,Lease!$D$4/12)))^IF($E$17=1,A57,A58)))</f>
        <v>0</v>
      </c>
      <c r="F58" s="53">
        <f t="shared" si="1"/>
        <v>0</v>
      </c>
      <c r="G58" s="54"/>
      <c r="H58" s="13">
        <f t="shared" si="8"/>
        <v>42</v>
      </c>
      <c r="I58" s="37" t="str">
        <f t="shared" si="2"/>
        <v>-</v>
      </c>
      <c r="J58" s="42">
        <f>IF(H58&gt;Lease!$E$4,0,M57)</f>
        <v>0</v>
      </c>
      <c r="K58" s="42">
        <f>IF(IF(Lease!$H$4="Yearly",J58*Lease!$D$4,IF(Lease!$H$4="Quarterly",J58*(Lease!$D$4/4),J58*Lease!$D$4/12))&gt;0,IF(Lease!$H$4="Yearly",J58*Lease!$D$4,IF(Lease!$H$4="Quarterly",J58*(Lease!$D$4/4),J58*Lease!$D$4/12)),-L58-J58)</f>
        <v>0</v>
      </c>
      <c r="L58" s="42">
        <f t="shared" si="3"/>
        <v>0</v>
      </c>
      <c r="M58" s="42">
        <f t="shared" si="4"/>
        <v>0</v>
      </c>
      <c r="N58" s="55"/>
      <c r="O58" s="13">
        <v>42</v>
      </c>
      <c r="P58" s="56">
        <f t="shared" si="9"/>
        <v>57784</v>
      </c>
      <c r="Q58" s="42">
        <f t="shared" si="11"/>
        <v>0</v>
      </c>
      <c r="R58" s="42">
        <f>IF(S57&lt;1,0,-Lease!$K$4/Lease!$L$4)</f>
        <v>0</v>
      </c>
      <c r="S58" s="42">
        <f t="shared" si="5"/>
        <v>0</v>
      </c>
      <c r="AE58" s="5"/>
      <c r="AF58" s="6"/>
    </row>
    <row r="59" spans="1:32" x14ac:dyDescent="0.25">
      <c r="A59" s="51">
        <f t="shared" si="7"/>
        <v>43</v>
      </c>
      <c r="B59" s="60">
        <f t="shared" si="0"/>
        <v>0</v>
      </c>
      <c r="C59" s="37" t="str">
        <f>IF(D59=0,"-",IF(Lease!$H$4="Yearly",EDATE(C58,12),IF(Lease!$H$4="Quarterly",EDATE(C58,3),EDATE(C58,1))))</f>
        <v>-</v>
      </c>
      <c r="D59" s="52">
        <f>IF(A59&gt;Lease!$E$4,0,Lease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0</v>
      </c>
      <c r="E59" s="14">
        <f>IF(D59=0,0,1/((1+IF(Lease!$H$4="Yearly",Lease!$D$4,IF(Lease!$H$4="Quarterly",Lease!$D$4/4,Lease!$D$4/12)))^IF($E$17=1,A58,A59)))</f>
        <v>0</v>
      </c>
      <c r="F59" s="53">
        <f t="shared" si="1"/>
        <v>0</v>
      </c>
      <c r="G59" s="54"/>
      <c r="H59" s="13">
        <f t="shared" si="8"/>
        <v>43</v>
      </c>
      <c r="I59" s="37" t="str">
        <f t="shared" si="2"/>
        <v>-</v>
      </c>
      <c r="J59" s="42">
        <f>IF(H59&gt;Lease!$E$4,0,M58)</f>
        <v>0</v>
      </c>
      <c r="K59" s="42">
        <f>IF(IF(Lease!$H$4="Yearly",J59*Lease!$D$4,IF(Lease!$H$4="Quarterly",J59*(Lease!$D$4/4),J59*Lease!$D$4/12))&gt;0,IF(Lease!$H$4="Yearly",J59*Lease!$D$4,IF(Lease!$H$4="Quarterly",J59*(Lease!$D$4/4),J59*Lease!$D$4/12)),-L59-J59)</f>
        <v>0</v>
      </c>
      <c r="L59" s="42">
        <f t="shared" si="3"/>
        <v>0</v>
      </c>
      <c r="M59" s="42">
        <f t="shared" si="4"/>
        <v>0</v>
      </c>
      <c r="N59" s="55"/>
      <c r="O59" s="13">
        <v>43</v>
      </c>
      <c r="P59" s="56">
        <f t="shared" si="9"/>
        <v>58149</v>
      </c>
      <c r="Q59" s="42">
        <f t="shared" si="11"/>
        <v>0</v>
      </c>
      <c r="R59" s="42">
        <f>IF(S58&lt;1,0,-Lease!$K$4/Lease!$L$4)</f>
        <v>0</v>
      </c>
      <c r="S59" s="42">
        <f t="shared" si="5"/>
        <v>0</v>
      </c>
      <c r="AE59" s="5"/>
      <c r="AF59" s="6"/>
    </row>
    <row r="60" spans="1:32" x14ac:dyDescent="0.25">
      <c r="A60" s="51">
        <f t="shared" si="7"/>
        <v>44</v>
      </c>
      <c r="B60" s="60">
        <f t="shared" si="0"/>
        <v>0</v>
      </c>
      <c r="C60" s="37" t="str">
        <f>IF(D60=0,"-",IF(Lease!$H$4="Yearly",EDATE(C59,12),IF(Lease!$H$4="Quarterly",EDATE(C59,3),EDATE(C59,1))))</f>
        <v>-</v>
      </c>
      <c r="D60" s="52">
        <f>IF(A60&gt;Lease!$E$4,0,Lease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0</v>
      </c>
      <c r="E60" s="14">
        <f>IF(D60=0,0,1/((1+IF(Lease!$H$4="Yearly",Lease!$D$4,IF(Lease!$H$4="Quarterly",Lease!$D$4/4,Lease!$D$4/12)))^IF($E$17=1,A59,A60)))</f>
        <v>0</v>
      </c>
      <c r="F60" s="53">
        <f t="shared" si="1"/>
        <v>0</v>
      </c>
      <c r="G60" s="54"/>
      <c r="H60" s="13">
        <f t="shared" si="8"/>
        <v>44</v>
      </c>
      <c r="I60" s="37" t="str">
        <f t="shared" si="2"/>
        <v>-</v>
      </c>
      <c r="J60" s="42">
        <f>IF(H60&gt;Lease!$E$4,0,M59)</f>
        <v>0</v>
      </c>
      <c r="K60" s="42">
        <f>IF(IF(Lease!$H$4="Yearly",J60*Lease!$D$4,IF(Lease!$H$4="Quarterly",J60*(Lease!$D$4/4),J60*Lease!$D$4/12))&gt;0,IF(Lease!$H$4="Yearly",J60*Lease!$D$4,IF(Lease!$H$4="Quarterly",J60*(Lease!$D$4/4),J60*Lease!$D$4/12)),-L60-J60)</f>
        <v>0</v>
      </c>
      <c r="L60" s="42">
        <f t="shared" si="3"/>
        <v>0</v>
      </c>
      <c r="M60" s="42">
        <f t="shared" si="4"/>
        <v>0</v>
      </c>
      <c r="N60" s="55"/>
      <c r="O60" s="13">
        <v>44</v>
      </c>
      <c r="P60" s="56">
        <f t="shared" si="9"/>
        <v>58515</v>
      </c>
      <c r="Q60" s="42">
        <f t="shared" si="11"/>
        <v>0</v>
      </c>
      <c r="R60" s="42">
        <f>IF(S59&lt;1,0,-Lease!$K$4/Lease!$L$4)</f>
        <v>0</v>
      </c>
      <c r="S60" s="42">
        <f t="shared" si="5"/>
        <v>0</v>
      </c>
      <c r="AE60" s="5"/>
      <c r="AF60" s="6"/>
    </row>
    <row r="61" spans="1:32" x14ac:dyDescent="0.25">
      <c r="A61" s="51">
        <f t="shared" si="7"/>
        <v>45</v>
      </c>
      <c r="B61" s="60">
        <f t="shared" si="0"/>
        <v>0</v>
      </c>
      <c r="C61" s="37" t="str">
        <f>IF(D61=0,"-",IF(Lease!$H$4="Yearly",EDATE(C60,12),IF(Lease!$H$4="Quarterly",EDATE(C60,3),EDATE(C60,1))))</f>
        <v>-</v>
      </c>
      <c r="D61" s="52">
        <f>IF(A61&gt;Lease!$E$4,0,Lease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0</v>
      </c>
      <c r="E61" s="14">
        <f>IF(D61=0,0,1/((1+IF(Lease!$H$4="Yearly",Lease!$D$4,IF(Lease!$H$4="Quarterly",Lease!$D$4/4,Lease!$D$4/12)))^IF($E$17=1,A60,A61)))</f>
        <v>0</v>
      </c>
      <c r="F61" s="53">
        <f t="shared" si="1"/>
        <v>0</v>
      </c>
      <c r="G61" s="54"/>
      <c r="H61" s="13">
        <f t="shared" si="8"/>
        <v>45</v>
      </c>
      <c r="I61" s="37" t="str">
        <f t="shared" si="2"/>
        <v>-</v>
      </c>
      <c r="J61" s="42">
        <f>IF(H61&gt;Lease!$E$4,0,M60)</f>
        <v>0</v>
      </c>
      <c r="K61" s="42">
        <f>IF(IF(Lease!$H$4="Yearly",J61*Lease!$D$4,IF(Lease!$H$4="Quarterly",J61*(Lease!$D$4/4),J61*Lease!$D$4/12))&gt;0,IF(Lease!$H$4="Yearly",J61*Lease!$D$4,IF(Lease!$H$4="Quarterly",J61*(Lease!$D$4/4),J61*Lease!$D$4/12)),-L61-J61)</f>
        <v>0</v>
      </c>
      <c r="L61" s="42">
        <f t="shared" si="3"/>
        <v>0</v>
      </c>
      <c r="M61" s="42">
        <f t="shared" si="4"/>
        <v>0</v>
      </c>
      <c r="N61" s="55"/>
      <c r="O61" s="13">
        <v>45</v>
      </c>
      <c r="P61" s="56">
        <f t="shared" si="9"/>
        <v>58880</v>
      </c>
      <c r="Q61" s="42">
        <f t="shared" si="11"/>
        <v>0</v>
      </c>
      <c r="R61" s="42">
        <f>IF(S60&lt;1,0,-Lease!$K$4/Lease!$L$4)</f>
        <v>0</v>
      </c>
      <c r="S61" s="42">
        <f t="shared" si="5"/>
        <v>0</v>
      </c>
      <c r="AE61" s="5"/>
      <c r="AF61" s="6"/>
    </row>
    <row r="62" spans="1:32" x14ac:dyDescent="0.25">
      <c r="A62" s="51">
        <f t="shared" si="7"/>
        <v>46</v>
      </c>
      <c r="B62" s="60">
        <f t="shared" si="0"/>
        <v>0</v>
      </c>
      <c r="C62" s="37" t="str">
        <f>IF(D62=0,"-",IF(Lease!$H$4="Yearly",EDATE(C61,12),IF(Lease!$H$4="Quarterly",EDATE(C61,3),EDATE(C61,1))))</f>
        <v>-</v>
      </c>
      <c r="D62" s="52">
        <f>IF(A62&gt;Lease!$E$4,0,Lease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0</v>
      </c>
      <c r="E62" s="14">
        <f>IF(D62=0,0,1/((1+IF(Lease!$H$4="Yearly",Lease!$D$4,IF(Lease!$H$4="Quarterly",Lease!$D$4/4,Lease!$D$4/12)))^IF($E$17=1,A61,A62)))</f>
        <v>0</v>
      </c>
      <c r="F62" s="53">
        <f t="shared" si="1"/>
        <v>0</v>
      </c>
      <c r="G62" s="54"/>
      <c r="H62" s="13">
        <f t="shared" si="8"/>
        <v>46</v>
      </c>
      <c r="I62" s="37" t="str">
        <f t="shared" si="2"/>
        <v>-</v>
      </c>
      <c r="J62" s="42">
        <f>IF(H62&gt;Lease!$E$4,0,M61)</f>
        <v>0</v>
      </c>
      <c r="K62" s="42">
        <f>IF(IF(Lease!$H$4="Yearly",J62*Lease!$D$4,IF(Lease!$H$4="Quarterly",J62*(Lease!$D$4/4),J62*Lease!$D$4/12))&gt;0,IF(Lease!$H$4="Yearly",J62*Lease!$D$4,IF(Lease!$H$4="Quarterly",J62*(Lease!$D$4/4),J62*Lease!$D$4/12)),-L62-J62)</f>
        <v>0</v>
      </c>
      <c r="L62" s="42">
        <f t="shared" si="3"/>
        <v>0</v>
      </c>
      <c r="M62" s="42">
        <f t="shared" si="4"/>
        <v>0</v>
      </c>
      <c r="N62" s="55"/>
      <c r="O62" s="13">
        <v>46</v>
      </c>
      <c r="P62" s="56">
        <f t="shared" si="9"/>
        <v>59245</v>
      </c>
      <c r="Q62" s="42">
        <f t="shared" si="11"/>
        <v>0</v>
      </c>
      <c r="R62" s="42">
        <f>IF(S61&lt;1,0,-Lease!$K$4/Lease!$L$4)</f>
        <v>0</v>
      </c>
      <c r="S62" s="42">
        <f t="shared" si="5"/>
        <v>0</v>
      </c>
      <c r="AE62" s="5"/>
      <c r="AF62" s="6"/>
    </row>
    <row r="63" spans="1:32" x14ac:dyDescent="0.25">
      <c r="A63" s="51">
        <f t="shared" si="7"/>
        <v>47</v>
      </c>
      <c r="B63" s="60">
        <f t="shared" si="0"/>
        <v>0</v>
      </c>
      <c r="C63" s="37" t="str">
        <f>IF(D63=0,"-",IF(Lease!$H$4="Yearly",EDATE(C62,12),IF(Lease!$H$4="Quarterly",EDATE(C62,3),EDATE(C62,1))))</f>
        <v>-</v>
      </c>
      <c r="D63" s="52">
        <f>IF(A63&gt;Lease!$E$4,0,Lease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0</v>
      </c>
      <c r="E63" s="14">
        <f>IF(D63=0,0,1/((1+IF(Lease!$H$4="Yearly",Lease!$D$4,IF(Lease!$H$4="Quarterly",Lease!$D$4/4,Lease!$D$4/12)))^IF($E$17=1,A62,A63)))</f>
        <v>0</v>
      </c>
      <c r="F63" s="53">
        <f t="shared" si="1"/>
        <v>0</v>
      </c>
      <c r="G63" s="54"/>
      <c r="H63" s="13">
        <f t="shared" si="8"/>
        <v>47</v>
      </c>
      <c r="I63" s="37" t="str">
        <f t="shared" si="2"/>
        <v>-</v>
      </c>
      <c r="J63" s="42">
        <f>IF(H63&gt;Lease!$E$4,0,M62)</f>
        <v>0</v>
      </c>
      <c r="K63" s="42">
        <f>IF(IF(Lease!$H$4="Yearly",J63*Lease!$D$4,IF(Lease!$H$4="Quarterly",J63*(Lease!$D$4/4),J63*Lease!$D$4/12))&gt;0,IF(Lease!$H$4="Yearly",J63*Lease!$D$4,IF(Lease!$H$4="Quarterly",J63*(Lease!$D$4/4),J63*Lease!$D$4/12)),-L63-J63)</f>
        <v>0</v>
      </c>
      <c r="L63" s="42">
        <f t="shared" si="3"/>
        <v>0</v>
      </c>
      <c r="M63" s="42">
        <f t="shared" si="4"/>
        <v>0</v>
      </c>
      <c r="N63" s="55"/>
      <c r="O63" s="13">
        <v>47</v>
      </c>
      <c r="P63" s="56">
        <f t="shared" si="9"/>
        <v>59610</v>
      </c>
      <c r="Q63" s="42">
        <f t="shared" si="11"/>
        <v>0</v>
      </c>
      <c r="R63" s="42">
        <f>IF(S62&lt;1,0,-Lease!$K$4/Lease!$L$4)</f>
        <v>0</v>
      </c>
      <c r="S63" s="42">
        <f t="shared" si="5"/>
        <v>0</v>
      </c>
      <c r="AE63" s="5"/>
      <c r="AF63" s="6"/>
    </row>
    <row r="64" spans="1:32" x14ac:dyDescent="0.25">
      <c r="A64" s="51">
        <f t="shared" si="7"/>
        <v>48</v>
      </c>
      <c r="B64" s="60">
        <f t="shared" si="0"/>
        <v>0</v>
      </c>
      <c r="C64" s="37" t="str">
        <f>IF(D64=0,"-",IF(Lease!$H$4="Yearly",EDATE(C63,12),IF(Lease!$H$4="Quarterly",EDATE(C63,3),EDATE(C63,1))))</f>
        <v>-</v>
      </c>
      <c r="D64" s="52">
        <f>IF(A64&gt;Lease!$E$4,0,Lease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E64" s="14">
        <f>IF(D64=0,0,1/((1+IF(Lease!$H$4="Yearly",Lease!$D$4,IF(Lease!$H$4="Quarterly",Lease!$D$4/4,Lease!$D$4/12)))^IF($E$17=1,A63,A64)))</f>
        <v>0</v>
      </c>
      <c r="F64" s="53">
        <f t="shared" si="1"/>
        <v>0</v>
      </c>
      <c r="G64" s="54"/>
      <c r="H64" s="13">
        <f t="shared" si="8"/>
        <v>48</v>
      </c>
      <c r="I64" s="37" t="str">
        <f t="shared" si="2"/>
        <v>-</v>
      </c>
      <c r="J64" s="42">
        <f>IF(H64&gt;Lease!$E$4,0,M63)</f>
        <v>0</v>
      </c>
      <c r="K64" s="42">
        <f>IF(IF(Lease!$H$4="Yearly",J64*Lease!$D$4,IF(Lease!$H$4="Quarterly",J64*(Lease!$D$4/4),J64*Lease!$D$4/12))&gt;0,IF(Lease!$H$4="Yearly",J64*Lease!$D$4,IF(Lease!$H$4="Quarterly",J64*(Lease!$D$4/4),J64*Lease!$D$4/12)),-L64-J64)</f>
        <v>0</v>
      </c>
      <c r="L64" s="42">
        <f t="shared" si="3"/>
        <v>0</v>
      </c>
      <c r="M64" s="42">
        <f t="shared" si="4"/>
        <v>0</v>
      </c>
      <c r="N64" s="55"/>
      <c r="O64" s="13">
        <v>48</v>
      </c>
      <c r="P64" s="56">
        <f t="shared" si="9"/>
        <v>59976</v>
      </c>
      <c r="Q64" s="42">
        <f t="shared" si="11"/>
        <v>0</v>
      </c>
      <c r="R64" s="42">
        <f>IF(S63&lt;1,0,-Lease!$K$4/Lease!$L$4)</f>
        <v>0</v>
      </c>
      <c r="S64" s="42">
        <f t="shared" si="5"/>
        <v>0</v>
      </c>
      <c r="AE64" s="5"/>
      <c r="AF64" s="6"/>
    </row>
    <row r="65" spans="1:32" x14ac:dyDescent="0.25">
      <c r="A65" s="51">
        <f t="shared" si="7"/>
        <v>49</v>
      </c>
      <c r="B65" s="60">
        <f t="shared" si="0"/>
        <v>0</v>
      </c>
      <c r="C65" s="37" t="str">
        <f>IF(D65=0,"-",IF(Lease!$H$4="Yearly",EDATE(C64,12),IF(Lease!$H$4="Quarterly",EDATE(C64,3),EDATE(C64,1))))</f>
        <v>-</v>
      </c>
      <c r="D65" s="52">
        <f>IF(A65&gt;Lease!$E$4,0,Lease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E65" s="14">
        <f>IF(D65=0,0,1/((1+IF(Lease!$H$4="Yearly",Lease!$D$4,IF(Lease!$H$4="Quarterly",Lease!$D$4/4,Lease!$D$4/12)))^IF($E$17=1,A64,A65)))</f>
        <v>0</v>
      </c>
      <c r="F65" s="53">
        <f t="shared" si="1"/>
        <v>0</v>
      </c>
      <c r="G65" s="54"/>
      <c r="H65" s="13">
        <f t="shared" si="8"/>
        <v>49</v>
      </c>
      <c r="I65" s="37" t="str">
        <f t="shared" si="2"/>
        <v>-</v>
      </c>
      <c r="J65" s="42">
        <f>IF(H65&gt;Lease!$E$4,0,M64)</f>
        <v>0</v>
      </c>
      <c r="K65" s="42">
        <f>IF(IF(Lease!$H$4="Yearly",J65*Lease!$D$4,IF(Lease!$H$4="Quarterly",J65*(Lease!$D$4/4),J65*Lease!$D$4/12))&gt;0,IF(Lease!$H$4="Yearly",J65*Lease!$D$4,IF(Lease!$H$4="Quarterly",J65*(Lease!$D$4/4),J65*Lease!$D$4/12)),-L65-J65)</f>
        <v>0</v>
      </c>
      <c r="L65" s="42">
        <f t="shared" si="3"/>
        <v>0</v>
      </c>
      <c r="M65" s="42">
        <f t="shared" si="4"/>
        <v>0</v>
      </c>
      <c r="N65" s="55"/>
      <c r="O65" s="13">
        <v>49</v>
      </c>
      <c r="P65" s="56">
        <f t="shared" si="9"/>
        <v>60341</v>
      </c>
      <c r="Q65" s="42">
        <f t="shared" si="11"/>
        <v>0</v>
      </c>
      <c r="R65" s="42">
        <f>IF(S64&lt;1,0,-Lease!$K$4/Lease!$L$4)</f>
        <v>0</v>
      </c>
      <c r="S65" s="42">
        <f t="shared" si="5"/>
        <v>0</v>
      </c>
      <c r="AE65" s="5"/>
      <c r="AF65" s="6"/>
    </row>
    <row r="66" spans="1:32" x14ac:dyDescent="0.25">
      <c r="A66" s="51">
        <f t="shared" si="7"/>
        <v>50</v>
      </c>
      <c r="B66" s="60">
        <f t="shared" si="0"/>
        <v>0</v>
      </c>
      <c r="C66" s="37" t="str">
        <f>IF(D66=0,"-",IF(Lease!$H$4="Yearly",EDATE(C65,12),IF(Lease!$H$4="Quarterly",EDATE(C65,3),EDATE(C65,1))))</f>
        <v>-</v>
      </c>
      <c r="D66" s="52">
        <f>IF(A66&gt;Lease!$E$4,0,Lease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E66" s="14">
        <f>IF(D66=0,0,1/((1+IF(Lease!$H$4="Yearly",Lease!$D$4,IF(Lease!$H$4="Quarterly",Lease!$D$4/4,Lease!$D$4/12)))^IF($E$17=1,A65,A66)))</f>
        <v>0</v>
      </c>
      <c r="F66" s="53">
        <f t="shared" si="1"/>
        <v>0</v>
      </c>
      <c r="G66" s="54"/>
      <c r="H66" s="13">
        <f t="shared" si="8"/>
        <v>50</v>
      </c>
      <c r="I66" s="37" t="str">
        <f t="shared" si="2"/>
        <v>-</v>
      </c>
      <c r="J66" s="42">
        <f>IF(H66&gt;Lease!$E$4,0,M65)</f>
        <v>0</v>
      </c>
      <c r="K66" s="42">
        <f>IF(IF(Lease!$H$4="Yearly",J66*Lease!$D$4,IF(Lease!$H$4="Quarterly",J66*(Lease!$D$4/4),J66*Lease!$D$4/12))&gt;0,IF(Lease!$H$4="Yearly",J66*Lease!$D$4,IF(Lease!$H$4="Quarterly",J66*(Lease!$D$4/4),J66*Lease!$D$4/12)),-L66-J66)</f>
        <v>0</v>
      </c>
      <c r="L66" s="42">
        <f t="shared" si="3"/>
        <v>0</v>
      </c>
      <c r="M66" s="42">
        <f t="shared" si="4"/>
        <v>0</v>
      </c>
      <c r="N66" s="55"/>
      <c r="O66" s="13">
        <v>50</v>
      </c>
      <c r="P66" s="56">
        <f t="shared" si="9"/>
        <v>60706</v>
      </c>
      <c r="Q66" s="42">
        <f t="shared" si="11"/>
        <v>0</v>
      </c>
      <c r="R66" s="42">
        <f>IF(S65&lt;1,0,-Lease!$K$4/Lease!$L$4)</f>
        <v>0</v>
      </c>
      <c r="S66" s="42">
        <f t="shared" si="5"/>
        <v>0</v>
      </c>
      <c r="AE66" s="5"/>
      <c r="AF66" s="6"/>
    </row>
    <row r="67" spans="1:32" x14ac:dyDescent="0.25">
      <c r="A67" s="51">
        <f t="shared" si="7"/>
        <v>51</v>
      </c>
      <c r="B67" s="60">
        <f t="shared" si="0"/>
        <v>0</v>
      </c>
      <c r="C67" s="37" t="str">
        <f>IF(D67=0,"-",IF(Lease!$H$4="Yearly",EDATE(C66,12),IF(Lease!$H$4="Quarterly",EDATE(C66,3),EDATE(C66,1))))</f>
        <v>-</v>
      </c>
      <c r="D67" s="52">
        <f>IF(A67&gt;Lease!$E$4,0,Lease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E67" s="14">
        <f>IF(D67=0,0,1/((1+IF(Lease!$H$4="Yearly",Lease!$D$4,IF(Lease!$H$4="Quarterly",Lease!$D$4/4,Lease!$D$4/12)))^IF($E$17=1,A66,A67)))</f>
        <v>0</v>
      </c>
      <c r="F67" s="53">
        <f t="shared" si="1"/>
        <v>0</v>
      </c>
      <c r="G67" s="54"/>
      <c r="H67" s="13">
        <f t="shared" si="8"/>
        <v>51</v>
      </c>
      <c r="I67" s="37" t="str">
        <f t="shared" si="2"/>
        <v>-</v>
      </c>
      <c r="J67" s="42">
        <f>IF(H67&gt;Lease!$E$4,0,M66)</f>
        <v>0</v>
      </c>
      <c r="K67" s="42">
        <f>IF(IF(Lease!$H$4="Yearly",J67*Lease!$D$4,IF(Lease!$H$4="Quarterly",J67*(Lease!$D$4/4),J67*Lease!$D$4/12))&gt;0,IF(Lease!$H$4="Yearly",J67*Lease!$D$4,IF(Lease!$H$4="Quarterly",J67*(Lease!$D$4/4),J67*Lease!$D$4/12)),-L67-J67)</f>
        <v>0</v>
      </c>
      <c r="L67" s="42">
        <f t="shared" si="3"/>
        <v>0</v>
      </c>
      <c r="M67" s="42">
        <f t="shared" si="4"/>
        <v>0</v>
      </c>
      <c r="N67" s="55"/>
      <c r="O67" s="13">
        <v>51</v>
      </c>
      <c r="P67" s="56">
        <f t="shared" si="9"/>
        <v>61071</v>
      </c>
      <c r="Q67" s="42">
        <f t="shared" si="11"/>
        <v>0</v>
      </c>
      <c r="R67" s="42">
        <f>IF(S66&lt;1,0,-Lease!$K$4/Lease!$L$4)</f>
        <v>0</v>
      </c>
      <c r="S67" s="42">
        <f t="shared" si="5"/>
        <v>0</v>
      </c>
      <c r="AE67" s="5"/>
      <c r="AF67" s="6"/>
    </row>
    <row r="68" spans="1:32" x14ac:dyDescent="0.25">
      <c r="A68" s="51">
        <f t="shared" si="7"/>
        <v>52</v>
      </c>
      <c r="B68" s="60">
        <f t="shared" si="0"/>
        <v>0</v>
      </c>
      <c r="C68" s="37" t="str">
        <f>IF(D68=0,"-",IF(Lease!$H$4="Yearly",EDATE(C67,12),IF(Lease!$H$4="Quarterly",EDATE(C67,3),EDATE(C67,1))))</f>
        <v>-</v>
      </c>
      <c r="D68" s="52">
        <f>IF(A68&gt;Lease!$E$4,0,Lease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E68" s="14">
        <f>IF(D68=0,0,1/((1+IF(Lease!$H$4="Yearly",Lease!$D$4,IF(Lease!$H$4="Quarterly",Lease!$D$4/4,Lease!$D$4/12)))^IF($E$17=1,A67,A68)))</f>
        <v>0</v>
      </c>
      <c r="F68" s="53">
        <f t="shared" si="1"/>
        <v>0</v>
      </c>
      <c r="G68" s="54"/>
      <c r="H68" s="13">
        <f t="shared" si="8"/>
        <v>52</v>
      </c>
      <c r="I68" s="37" t="str">
        <f t="shared" si="2"/>
        <v>-</v>
      </c>
      <c r="J68" s="42">
        <f>IF(H68&gt;Lease!$E$4,0,M67)</f>
        <v>0</v>
      </c>
      <c r="K68" s="42">
        <f>IF(IF(Lease!$H$4="Yearly",J68*Lease!$D$4,IF(Lease!$H$4="Quarterly",J68*(Lease!$D$4/4),J68*Lease!$D$4/12))&gt;0,IF(Lease!$H$4="Yearly",J68*Lease!$D$4,IF(Lease!$H$4="Quarterly",J68*(Lease!$D$4/4),J68*Lease!$D$4/12)),-L68-J68)</f>
        <v>0</v>
      </c>
      <c r="L68" s="42">
        <f t="shared" si="3"/>
        <v>0</v>
      </c>
      <c r="M68" s="42">
        <f t="shared" si="4"/>
        <v>0</v>
      </c>
      <c r="N68" s="55"/>
      <c r="O68" s="13">
        <v>52</v>
      </c>
      <c r="P68" s="56">
        <f t="shared" si="9"/>
        <v>61437</v>
      </c>
      <c r="Q68" s="42">
        <f t="shared" si="11"/>
        <v>0</v>
      </c>
      <c r="R68" s="42">
        <f>IF(S67&lt;1,0,-Lease!$K$4/Lease!$L$4)</f>
        <v>0</v>
      </c>
      <c r="S68" s="42">
        <f t="shared" si="5"/>
        <v>0</v>
      </c>
      <c r="AE68" s="5"/>
      <c r="AF68" s="6"/>
    </row>
    <row r="69" spans="1:32" x14ac:dyDescent="0.25">
      <c r="A69" s="51">
        <f t="shared" si="7"/>
        <v>53</v>
      </c>
      <c r="B69" s="60">
        <f t="shared" si="0"/>
        <v>0</v>
      </c>
      <c r="C69" s="37" t="str">
        <f>IF(D69=0,"-",IF(Lease!$H$4="Yearly",EDATE(C68,12),IF(Lease!$H$4="Quarterly",EDATE(C68,3),EDATE(C68,1))))</f>
        <v>-</v>
      </c>
      <c r="D69" s="52">
        <f>IF(A69&gt;Lease!$E$4,0,Lease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E69" s="14">
        <f>IF(D69=0,0,1/((1+IF(Lease!$H$4="Yearly",Lease!$D$4,IF(Lease!$H$4="Quarterly",Lease!$D$4/4,Lease!$D$4/12)))^IF($E$17=1,A68,A69)))</f>
        <v>0</v>
      </c>
      <c r="F69" s="53">
        <f t="shared" si="1"/>
        <v>0</v>
      </c>
      <c r="G69" s="54"/>
      <c r="H69" s="13">
        <f t="shared" si="8"/>
        <v>53</v>
      </c>
      <c r="I69" s="37" t="str">
        <f t="shared" si="2"/>
        <v>-</v>
      </c>
      <c r="J69" s="42">
        <f>IF(H69&gt;Lease!$E$4,0,M68)</f>
        <v>0</v>
      </c>
      <c r="K69" s="42">
        <f>IF(IF(Lease!$H$4="Yearly",J69*Lease!$D$4,IF(Lease!$H$4="Quarterly",J69*(Lease!$D$4/4),J69*Lease!$D$4/12))&gt;0,IF(Lease!$H$4="Yearly",J69*Lease!$D$4,IF(Lease!$H$4="Quarterly",J69*(Lease!$D$4/4),J69*Lease!$D$4/12)),-L69-J69)</f>
        <v>0</v>
      </c>
      <c r="L69" s="42">
        <f t="shared" si="3"/>
        <v>0</v>
      </c>
      <c r="M69" s="42">
        <f t="shared" si="4"/>
        <v>0</v>
      </c>
      <c r="N69" s="55"/>
      <c r="O69" s="13">
        <v>53</v>
      </c>
      <c r="P69" s="56">
        <f t="shared" si="9"/>
        <v>61802</v>
      </c>
      <c r="Q69" s="42">
        <f t="shared" si="11"/>
        <v>0</v>
      </c>
      <c r="R69" s="42">
        <f>IF(S68&lt;1,0,-Lease!$K$4/Lease!$L$4)</f>
        <v>0</v>
      </c>
      <c r="S69" s="42">
        <f t="shared" si="5"/>
        <v>0</v>
      </c>
      <c r="AE69" s="5"/>
      <c r="AF69" s="6"/>
    </row>
    <row r="70" spans="1:32" x14ac:dyDescent="0.25">
      <c r="A70" s="51">
        <f t="shared" si="7"/>
        <v>54</v>
      </c>
      <c r="B70" s="60">
        <f t="shared" si="0"/>
        <v>0</v>
      </c>
      <c r="C70" s="37" t="str">
        <f>IF(D70=0,"-",IF(Lease!$H$4="Yearly",EDATE(C69,12),IF(Lease!$H$4="Quarterly",EDATE(C69,3),EDATE(C69,1))))</f>
        <v>-</v>
      </c>
      <c r="D70" s="52">
        <f>IF(A70&gt;Lease!$E$4,0,Lease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E70" s="14">
        <f>IF(D70=0,0,1/((1+IF(Lease!$H$4="Yearly",Lease!$D$4,IF(Lease!$H$4="Quarterly",Lease!$D$4/4,Lease!$D$4/12)))^IF($E$17=1,A69,A70)))</f>
        <v>0</v>
      </c>
      <c r="F70" s="53">
        <f t="shared" si="1"/>
        <v>0</v>
      </c>
      <c r="G70" s="54"/>
      <c r="H70" s="13">
        <f t="shared" si="8"/>
        <v>54</v>
      </c>
      <c r="I70" s="37" t="str">
        <f t="shared" si="2"/>
        <v>-</v>
      </c>
      <c r="J70" s="42">
        <f>IF(H70&gt;Lease!$E$4,0,M69)</f>
        <v>0</v>
      </c>
      <c r="K70" s="42">
        <f>IF(IF(Lease!$H$4="Yearly",J70*Lease!$D$4,IF(Lease!$H$4="Quarterly",J70*(Lease!$D$4/4),J70*Lease!$D$4/12))&gt;0,IF(Lease!$H$4="Yearly",J70*Lease!$D$4,IF(Lease!$H$4="Quarterly",J70*(Lease!$D$4/4),J70*Lease!$D$4/12)),-L70-J70)</f>
        <v>0</v>
      </c>
      <c r="L70" s="42">
        <f t="shared" si="3"/>
        <v>0</v>
      </c>
      <c r="M70" s="42">
        <f t="shared" si="4"/>
        <v>0</v>
      </c>
      <c r="N70" s="55"/>
      <c r="O70" s="13">
        <v>54</v>
      </c>
      <c r="P70" s="56">
        <f t="shared" si="9"/>
        <v>62167</v>
      </c>
      <c r="Q70" s="42">
        <f t="shared" si="11"/>
        <v>0</v>
      </c>
      <c r="R70" s="42">
        <f>IF(S69&lt;1,0,-Lease!$K$4/Lease!$L$4)</f>
        <v>0</v>
      </c>
      <c r="S70" s="42">
        <f t="shared" si="5"/>
        <v>0</v>
      </c>
      <c r="AE70" s="5"/>
      <c r="AF70" s="6"/>
    </row>
    <row r="71" spans="1:32" x14ac:dyDescent="0.25">
      <c r="A71" s="51">
        <f t="shared" si="7"/>
        <v>55</v>
      </c>
      <c r="B71" s="60">
        <f t="shared" si="0"/>
        <v>0</v>
      </c>
      <c r="C71" s="37" t="str">
        <f>IF(D71=0,"-",IF(Lease!$H$4="Yearly",EDATE(C70,12),IF(Lease!$H$4="Quarterly",EDATE(C70,3),EDATE(C70,1))))</f>
        <v>-</v>
      </c>
      <c r="D71" s="52">
        <f>IF(A71&gt;Lease!$E$4,0,Lease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E71" s="14">
        <f>IF(D71=0,0,1/((1+IF(Lease!$H$4="Yearly",Lease!$D$4,IF(Lease!$H$4="Quarterly",Lease!$D$4/4,Lease!$D$4/12)))^IF($E$17=1,A70,A71)))</f>
        <v>0</v>
      </c>
      <c r="F71" s="53">
        <f t="shared" si="1"/>
        <v>0</v>
      </c>
      <c r="G71" s="54"/>
      <c r="H71" s="13">
        <f t="shared" si="8"/>
        <v>55</v>
      </c>
      <c r="I71" s="37" t="str">
        <f t="shared" si="2"/>
        <v>-</v>
      </c>
      <c r="J71" s="42">
        <f>IF(H71&gt;Lease!$E$4,0,M70)</f>
        <v>0</v>
      </c>
      <c r="K71" s="42">
        <f>IF(IF(Lease!$H$4="Yearly",J71*Lease!$D$4,IF(Lease!$H$4="Quarterly",J71*(Lease!$D$4/4),J71*Lease!$D$4/12))&gt;0,IF(Lease!$H$4="Yearly",J71*Lease!$D$4,IF(Lease!$H$4="Quarterly",J71*(Lease!$D$4/4),J71*Lease!$D$4/12)),-L71-J71)</f>
        <v>0</v>
      </c>
      <c r="L71" s="42">
        <f t="shared" si="3"/>
        <v>0</v>
      </c>
      <c r="M71" s="42">
        <f t="shared" si="4"/>
        <v>0</v>
      </c>
      <c r="N71" s="55"/>
      <c r="O71" s="13">
        <v>55</v>
      </c>
      <c r="P71" s="56">
        <f t="shared" si="9"/>
        <v>62532</v>
      </c>
      <c r="Q71" s="42">
        <f t="shared" si="11"/>
        <v>0</v>
      </c>
      <c r="R71" s="42">
        <f>IF(S70&lt;1,0,-Lease!$K$4/Lease!$L$4)</f>
        <v>0</v>
      </c>
      <c r="S71" s="42">
        <f t="shared" si="5"/>
        <v>0</v>
      </c>
      <c r="AE71" s="5"/>
      <c r="AF71" s="6"/>
    </row>
    <row r="72" spans="1:32" x14ac:dyDescent="0.25">
      <c r="A72" s="51">
        <f t="shared" si="7"/>
        <v>56</v>
      </c>
      <c r="B72" s="60">
        <f t="shared" si="0"/>
        <v>0</v>
      </c>
      <c r="C72" s="37" t="str">
        <f>IF(D72=0,"-",IF(Lease!$H$4="Yearly",EDATE(C71,12),IF(Lease!$H$4="Quarterly",EDATE(C71,3),EDATE(C71,1))))</f>
        <v>-</v>
      </c>
      <c r="D72" s="52">
        <f>IF(A72&gt;Lease!$E$4,0,Lease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E72" s="14">
        <f>IF(D72=0,0,1/((1+IF(Lease!$H$4="Yearly",Lease!$D$4,IF(Lease!$H$4="Quarterly",Lease!$D$4/4,Lease!$D$4/12)))^IF($E$17=1,A71,A72)))</f>
        <v>0</v>
      </c>
      <c r="F72" s="53">
        <f t="shared" si="1"/>
        <v>0</v>
      </c>
      <c r="G72" s="54"/>
      <c r="H72" s="13">
        <f t="shared" si="8"/>
        <v>56</v>
      </c>
      <c r="I72" s="37" t="str">
        <f t="shared" si="2"/>
        <v>-</v>
      </c>
      <c r="J72" s="42">
        <f>IF(H72&gt;Lease!$E$4,0,M71)</f>
        <v>0</v>
      </c>
      <c r="K72" s="42">
        <f>IF(IF(Lease!$H$4="Yearly",J72*Lease!$D$4,IF(Lease!$H$4="Quarterly",J72*(Lease!$D$4/4),J72*Lease!$D$4/12))&gt;0,IF(Lease!$H$4="Yearly",J72*Lease!$D$4,IF(Lease!$H$4="Quarterly",J72*(Lease!$D$4/4),J72*Lease!$D$4/12)),-L72-J72)</f>
        <v>0</v>
      </c>
      <c r="L72" s="42">
        <f t="shared" si="3"/>
        <v>0</v>
      </c>
      <c r="M72" s="42">
        <f t="shared" si="4"/>
        <v>0</v>
      </c>
      <c r="N72" s="55"/>
      <c r="O72" s="13">
        <v>56</v>
      </c>
      <c r="P72" s="56">
        <f t="shared" si="9"/>
        <v>62898</v>
      </c>
      <c r="Q72" s="42">
        <f t="shared" si="11"/>
        <v>0</v>
      </c>
      <c r="R72" s="42">
        <f>IF(S71&lt;1,0,-Lease!$K$4/Lease!$L$4)</f>
        <v>0</v>
      </c>
      <c r="S72" s="42">
        <f t="shared" si="5"/>
        <v>0</v>
      </c>
      <c r="AE72" s="5"/>
      <c r="AF72" s="6"/>
    </row>
    <row r="73" spans="1:32" x14ac:dyDescent="0.25">
      <c r="A73" s="51">
        <f t="shared" si="7"/>
        <v>57</v>
      </c>
      <c r="B73" s="60">
        <f t="shared" si="0"/>
        <v>0</v>
      </c>
      <c r="C73" s="37" t="str">
        <f>IF(D73=0,"-",IF(Lease!$H$4="Yearly",EDATE(C72,12),IF(Lease!$H$4="Quarterly",EDATE(C72,3),EDATE(C72,1))))</f>
        <v>-</v>
      </c>
      <c r="D73" s="52">
        <f>IF(A73&gt;Lease!$E$4,0,Lease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E73" s="14">
        <f>IF(D73=0,0,1/((1+IF(Lease!$H$4="Yearly",Lease!$D$4,IF(Lease!$H$4="Quarterly",Lease!$D$4/4,Lease!$D$4/12)))^IF($E$17=1,A72,A73)))</f>
        <v>0</v>
      </c>
      <c r="F73" s="53">
        <f t="shared" si="1"/>
        <v>0</v>
      </c>
      <c r="G73" s="54"/>
      <c r="H73" s="13">
        <f t="shared" si="8"/>
        <v>57</v>
      </c>
      <c r="I73" s="37" t="str">
        <f t="shared" si="2"/>
        <v>-</v>
      </c>
      <c r="J73" s="42">
        <f>IF(H73&gt;Lease!$E$4,0,M72)</f>
        <v>0</v>
      </c>
      <c r="K73" s="42">
        <f>IF(IF(Lease!$H$4="Yearly",J73*Lease!$D$4,IF(Lease!$H$4="Quarterly",J73*(Lease!$D$4/4),J73*Lease!$D$4/12))&gt;0,IF(Lease!$H$4="Yearly",J73*Lease!$D$4,IF(Lease!$H$4="Quarterly",J73*(Lease!$D$4/4),J73*Lease!$D$4/12)),-L73-J73)</f>
        <v>0</v>
      </c>
      <c r="L73" s="42">
        <f t="shared" si="3"/>
        <v>0</v>
      </c>
      <c r="M73" s="42">
        <f t="shared" si="4"/>
        <v>0</v>
      </c>
      <c r="N73" s="55"/>
      <c r="O73" s="13">
        <v>57</v>
      </c>
      <c r="P73" s="56">
        <f t="shared" si="9"/>
        <v>63263</v>
      </c>
      <c r="Q73" s="42">
        <f t="shared" si="11"/>
        <v>0</v>
      </c>
      <c r="R73" s="42">
        <f>IF(S72&lt;1,0,-Lease!$K$4/Lease!$L$4)</f>
        <v>0</v>
      </c>
      <c r="S73" s="42">
        <f t="shared" si="5"/>
        <v>0</v>
      </c>
      <c r="AE73" s="5"/>
      <c r="AF73" s="6"/>
    </row>
    <row r="74" spans="1:32" x14ac:dyDescent="0.25">
      <c r="A74" s="51">
        <f t="shared" si="7"/>
        <v>58</v>
      </c>
      <c r="B74" s="60">
        <f t="shared" si="0"/>
        <v>0</v>
      </c>
      <c r="C74" s="37" t="str">
        <f>IF(D74=0,"-",IF(Lease!$H$4="Yearly",EDATE(C73,12),IF(Lease!$H$4="Quarterly",EDATE(C73,3),EDATE(C73,1))))</f>
        <v>-</v>
      </c>
      <c r="D74" s="52">
        <f>IF(A74&gt;Lease!$E$4,0,Lease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E74" s="14">
        <f>IF(D74=0,0,1/((1+IF(Lease!$H$4="Yearly",Lease!$D$4,IF(Lease!$H$4="Quarterly",Lease!$D$4/4,Lease!$D$4/12)))^IF($E$17=1,A73,A74)))</f>
        <v>0</v>
      </c>
      <c r="F74" s="53">
        <f t="shared" si="1"/>
        <v>0</v>
      </c>
      <c r="G74" s="54"/>
      <c r="H74" s="13">
        <f t="shared" si="8"/>
        <v>58</v>
      </c>
      <c r="I74" s="37" t="str">
        <f t="shared" si="2"/>
        <v>-</v>
      </c>
      <c r="J74" s="42">
        <f>IF(H74&gt;Lease!$E$4,0,M73)</f>
        <v>0</v>
      </c>
      <c r="K74" s="42">
        <f>IF(IF(Lease!$H$4="Yearly",J74*Lease!$D$4,IF(Lease!$H$4="Quarterly",J74*(Lease!$D$4/4),J74*Lease!$D$4/12))&gt;0,IF(Lease!$H$4="Yearly",J74*Lease!$D$4,IF(Lease!$H$4="Quarterly",J74*(Lease!$D$4/4),J74*Lease!$D$4/12)),-L74-J74)</f>
        <v>0</v>
      </c>
      <c r="L74" s="42">
        <f t="shared" si="3"/>
        <v>0</v>
      </c>
      <c r="M74" s="42">
        <f t="shared" si="4"/>
        <v>0</v>
      </c>
      <c r="N74" s="55"/>
      <c r="O74" s="13">
        <v>58</v>
      </c>
      <c r="P74" s="56">
        <f t="shared" si="9"/>
        <v>63628</v>
      </c>
      <c r="Q74" s="42">
        <f t="shared" si="11"/>
        <v>0</v>
      </c>
      <c r="R74" s="42">
        <f>IF(S73&lt;1,0,-Lease!$K$4/Lease!$L$4)</f>
        <v>0</v>
      </c>
      <c r="S74" s="42">
        <f t="shared" si="5"/>
        <v>0</v>
      </c>
      <c r="AE74" s="5"/>
      <c r="AF74" s="6"/>
    </row>
    <row r="75" spans="1:32" x14ac:dyDescent="0.25">
      <c r="A75" s="51">
        <f t="shared" si="7"/>
        <v>59</v>
      </c>
      <c r="B75" s="60">
        <f t="shared" si="0"/>
        <v>0</v>
      </c>
      <c r="C75" s="37" t="str">
        <f>IF(D75=0,"-",IF(Lease!$H$4="Yearly",EDATE(C74,12),IF(Lease!$H$4="Quarterly",EDATE(C74,3),EDATE(C74,1))))</f>
        <v>-</v>
      </c>
      <c r="D75" s="52">
        <f>IF(A75&gt;Lease!$E$4,0,Lease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E75" s="14">
        <f>IF(D75=0,0,1/((1+IF(Lease!$H$4="Yearly",Lease!$D$4,IF(Lease!$H$4="Quarterly",Lease!$D$4/4,Lease!$D$4/12)))^IF($E$17=1,A74,A75)))</f>
        <v>0</v>
      </c>
      <c r="F75" s="53">
        <f t="shared" si="1"/>
        <v>0</v>
      </c>
      <c r="G75" s="54"/>
      <c r="H75" s="13">
        <f t="shared" si="8"/>
        <v>59</v>
      </c>
      <c r="I75" s="37" t="str">
        <f t="shared" si="2"/>
        <v>-</v>
      </c>
      <c r="J75" s="42">
        <f>IF(H75&gt;Lease!$E$4,0,M74)</f>
        <v>0</v>
      </c>
      <c r="K75" s="42">
        <f>IF(IF(Lease!$H$4="Yearly",J75*Lease!$D$4,IF(Lease!$H$4="Quarterly",J75*(Lease!$D$4/4),J75*Lease!$D$4/12))&gt;0,IF(Lease!$H$4="Yearly",J75*Lease!$D$4,IF(Lease!$H$4="Quarterly",J75*(Lease!$D$4/4),J75*Lease!$D$4/12)),-L75-J75)</f>
        <v>0</v>
      </c>
      <c r="L75" s="42">
        <f t="shared" si="3"/>
        <v>0</v>
      </c>
      <c r="M75" s="42">
        <f t="shared" si="4"/>
        <v>0</v>
      </c>
      <c r="N75" s="55"/>
      <c r="O75" s="13">
        <v>59</v>
      </c>
      <c r="P75" s="56">
        <f t="shared" si="9"/>
        <v>63993</v>
      </c>
      <c r="Q75" s="42">
        <f t="shared" si="11"/>
        <v>0</v>
      </c>
      <c r="R75" s="42">
        <f>IF(S74&lt;1,0,-Lease!$K$4/Lease!$L$4)</f>
        <v>0</v>
      </c>
      <c r="S75" s="42">
        <f t="shared" si="5"/>
        <v>0</v>
      </c>
      <c r="AE75" s="5"/>
      <c r="AF75" s="6"/>
    </row>
    <row r="76" spans="1:32" x14ac:dyDescent="0.25">
      <c r="A76" s="51">
        <f t="shared" si="7"/>
        <v>60</v>
      </c>
      <c r="B76" s="60">
        <f t="shared" si="0"/>
        <v>0</v>
      </c>
      <c r="C76" s="37" t="str">
        <f>IF(D76=0,"-",IF(Lease!$H$4="Yearly",EDATE(C75,12),IF(Lease!$H$4="Quarterly",EDATE(C75,3),EDATE(C75,1))))</f>
        <v>-</v>
      </c>
      <c r="D76" s="52">
        <f>IF(A76&gt;Lease!$E$4,0,Lease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E76" s="14">
        <f>IF(D76=0,0,1/((1+IF(Lease!$H$4="Yearly",Lease!$D$4,IF(Lease!$H$4="Quarterly",Lease!$D$4/4,Lease!$D$4/12)))^IF($E$17=1,A75,A76)))</f>
        <v>0</v>
      </c>
      <c r="F76" s="53">
        <f t="shared" si="1"/>
        <v>0</v>
      </c>
      <c r="G76" s="54"/>
      <c r="H76" s="13">
        <f t="shared" si="8"/>
        <v>60</v>
      </c>
      <c r="I76" s="37" t="str">
        <f t="shared" si="2"/>
        <v>-</v>
      </c>
      <c r="J76" s="42">
        <f>IF(H76&gt;Lease!$E$4,0,M75)</f>
        <v>0</v>
      </c>
      <c r="K76" s="42">
        <f>IF(IF(Lease!$H$4="Yearly",J76*Lease!$D$4,IF(Lease!$H$4="Quarterly",J76*(Lease!$D$4/4),J76*Lease!$D$4/12))&gt;0,IF(Lease!$H$4="Yearly",J76*Lease!$D$4,IF(Lease!$H$4="Quarterly",J76*(Lease!$D$4/4),J76*Lease!$D$4/12)),-L76-J76)</f>
        <v>0</v>
      </c>
      <c r="L76" s="42">
        <f t="shared" si="3"/>
        <v>0</v>
      </c>
      <c r="M76" s="42">
        <f t="shared" si="4"/>
        <v>0</v>
      </c>
      <c r="N76" s="55"/>
      <c r="O76" s="13">
        <v>60</v>
      </c>
      <c r="P76" s="56">
        <f t="shared" si="9"/>
        <v>64359</v>
      </c>
      <c r="Q76" s="42">
        <f t="shared" si="11"/>
        <v>0</v>
      </c>
      <c r="R76" s="42">
        <f>IF(S75&lt;1,0,-Lease!$K$4/Lease!$L$4)</f>
        <v>0</v>
      </c>
      <c r="S76" s="42">
        <f t="shared" si="5"/>
        <v>0</v>
      </c>
      <c r="AE76" s="5"/>
      <c r="AF76" s="6"/>
    </row>
    <row r="77" spans="1:32" x14ac:dyDescent="0.25">
      <c r="A77" s="51">
        <f t="shared" si="7"/>
        <v>61</v>
      </c>
      <c r="B77" s="60">
        <f t="shared" si="0"/>
        <v>0</v>
      </c>
      <c r="C77" s="37" t="str">
        <f>IF(D77=0,"-",IF(Lease!$H$4="Yearly",EDATE(C76,12),IF(Lease!$H$4="Quarterly",EDATE(C76,3),EDATE(C76,1))))</f>
        <v>-</v>
      </c>
      <c r="D77" s="52">
        <f>IF(A77&gt;Lease!$E$4,0,Lease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E77" s="14">
        <f>IF(D77=0,0,1/((1+IF(Lease!$H$4="Yearly",Lease!$D$4,IF(Lease!$H$4="Quarterly",Lease!$D$4/4,Lease!$D$4/12)))^IF($E$17=1,A76,A77)))</f>
        <v>0</v>
      </c>
      <c r="F77" s="53">
        <f t="shared" si="1"/>
        <v>0</v>
      </c>
      <c r="G77" s="54"/>
      <c r="H77" s="13">
        <f t="shared" si="8"/>
        <v>61</v>
      </c>
      <c r="I77" s="37" t="str">
        <f t="shared" si="2"/>
        <v>-</v>
      </c>
      <c r="J77" s="42">
        <f>IF(H77&gt;Lease!$E$4,0,M76)</f>
        <v>0</v>
      </c>
      <c r="K77" s="42">
        <f>IF(IF(Lease!$H$4="Yearly",J77*Lease!$D$4,IF(Lease!$H$4="Quarterly",J77*(Lease!$D$4/4),J77*Lease!$D$4/12))&gt;0,IF(Lease!$H$4="Yearly",J77*Lease!$D$4,IF(Lease!$H$4="Quarterly",J77*(Lease!$D$4/4),J77*Lease!$D$4/12)),-L77-J77)</f>
        <v>0</v>
      </c>
      <c r="L77" s="42">
        <f t="shared" si="3"/>
        <v>0</v>
      </c>
      <c r="M77" s="42">
        <f t="shared" si="4"/>
        <v>0</v>
      </c>
      <c r="N77" s="55"/>
      <c r="O77" s="13">
        <v>61</v>
      </c>
      <c r="P77" s="56">
        <f t="shared" si="9"/>
        <v>64724</v>
      </c>
      <c r="Q77" s="42">
        <f t="shared" si="11"/>
        <v>0</v>
      </c>
      <c r="R77" s="42">
        <f>IF(S76&lt;1,0,-Lease!$K$4/Lease!$L$4)</f>
        <v>0</v>
      </c>
      <c r="S77" s="42">
        <f t="shared" si="5"/>
        <v>0</v>
      </c>
      <c r="AE77" s="5"/>
      <c r="AF77" s="6"/>
    </row>
    <row r="78" spans="1:32" x14ac:dyDescent="0.25">
      <c r="A78" s="51">
        <f t="shared" si="7"/>
        <v>62</v>
      </c>
      <c r="B78" s="60">
        <f t="shared" si="0"/>
        <v>0</v>
      </c>
      <c r="C78" s="37" t="str">
        <f>IF(D78=0,"-",IF(Lease!$H$4="Yearly",EDATE(C77,12),IF(Lease!$H$4="Quarterly",EDATE(C77,3),EDATE(C77,1))))</f>
        <v>-</v>
      </c>
      <c r="D78" s="52">
        <f>IF(A78&gt;Lease!$E$4,0,Lease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E78" s="14">
        <f>IF(D78=0,0,1/((1+IF(Lease!$H$4="Yearly",Lease!$D$4,IF(Lease!$H$4="Quarterly",Lease!$D$4/4,Lease!$D$4/12)))^IF($E$17=1,A77,A78)))</f>
        <v>0</v>
      </c>
      <c r="F78" s="53">
        <f t="shared" si="1"/>
        <v>0</v>
      </c>
      <c r="G78" s="54"/>
      <c r="H78" s="13">
        <f t="shared" si="8"/>
        <v>62</v>
      </c>
      <c r="I78" s="37" t="str">
        <f t="shared" si="2"/>
        <v>-</v>
      </c>
      <c r="J78" s="42">
        <f>IF(H78&gt;Lease!$E$4,0,M77)</f>
        <v>0</v>
      </c>
      <c r="K78" s="42">
        <f>IF(IF(Lease!$H$4="Yearly",J78*Lease!$D$4,IF(Lease!$H$4="Quarterly",J78*(Lease!$D$4/4),J78*Lease!$D$4/12))&gt;0,IF(Lease!$H$4="Yearly",J78*Lease!$D$4,IF(Lease!$H$4="Quarterly",J78*(Lease!$D$4/4),J78*Lease!$D$4/12)),-L78-J78)</f>
        <v>0</v>
      </c>
      <c r="L78" s="42">
        <f t="shared" si="3"/>
        <v>0</v>
      </c>
      <c r="M78" s="42">
        <f t="shared" si="4"/>
        <v>0</v>
      </c>
      <c r="N78" s="55"/>
      <c r="O78" s="13">
        <v>62</v>
      </c>
      <c r="P78" s="56">
        <f t="shared" si="9"/>
        <v>65089</v>
      </c>
      <c r="Q78" s="42">
        <f t="shared" si="11"/>
        <v>0</v>
      </c>
      <c r="R78" s="42">
        <f>IF(S77&lt;1,0,-Lease!$K$4/Lease!$L$4)</f>
        <v>0</v>
      </c>
      <c r="S78" s="42">
        <f t="shared" si="5"/>
        <v>0</v>
      </c>
      <c r="AE78" s="5"/>
      <c r="AF78" s="6"/>
    </row>
    <row r="79" spans="1:32" x14ac:dyDescent="0.25">
      <c r="A79" s="51">
        <f t="shared" si="7"/>
        <v>63</v>
      </c>
      <c r="B79" s="60">
        <f t="shared" si="0"/>
        <v>0</v>
      </c>
      <c r="C79" s="37" t="str">
        <f>IF(D79=0,"-",IF(Lease!$H$4="Yearly",EDATE(C78,12),IF(Lease!$H$4="Quarterly",EDATE(C78,3),EDATE(C78,1))))</f>
        <v>-</v>
      </c>
      <c r="D79" s="52">
        <f>IF(A79&gt;Lease!$E$4,0,Lease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E79" s="14">
        <f>IF(D79=0,0,1/((1+IF(Lease!$H$4="Yearly",Lease!$D$4,IF(Lease!$H$4="Quarterly",Lease!$D$4/4,Lease!$D$4/12)))^IF($E$17=1,A78,A79)))</f>
        <v>0</v>
      </c>
      <c r="F79" s="53">
        <f t="shared" si="1"/>
        <v>0</v>
      </c>
      <c r="G79" s="54"/>
      <c r="H79" s="13">
        <f t="shared" si="8"/>
        <v>63</v>
      </c>
      <c r="I79" s="37" t="str">
        <f t="shared" si="2"/>
        <v>-</v>
      </c>
      <c r="J79" s="42">
        <f>IF(H79&gt;Lease!$E$4,0,M78)</f>
        <v>0</v>
      </c>
      <c r="K79" s="42">
        <f>IF(IF(Lease!$H$4="Yearly",J79*Lease!$D$4,IF(Lease!$H$4="Quarterly",J79*(Lease!$D$4/4),J79*Lease!$D$4/12))&gt;0,IF(Lease!$H$4="Yearly",J79*Lease!$D$4,IF(Lease!$H$4="Quarterly",J79*(Lease!$D$4/4),J79*Lease!$D$4/12)),-L79-J79)</f>
        <v>0</v>
      </c>
      <c r="L79" s="42">
        <f t="shared" si="3"/>
        <v>0</v>
      </c>
      <c r="M79" s="42">
        <f t="shared" si="4"/>
        <v>0</v>
      </c>
      <c r="N79" s="55"/>
      <c r="O79" s="13">
        <v>63</v>
      </c>
      <c r="P79" s="56">
        <f t="shared" si="9"/>
        <v>65454</v>
      </c>
      <c r="Q79" s="42">
        <f t="shared" si="11"/>
        <v>0</v>
      </c>
      <c r="R79" s="42">
        <f>IF(S78&lt;1,0,-Lease!$K$4/Lease!$L$4)</f>
        <v>0</v>
      </c>
      <c r="S79" s="42">
        <f t="shared" si="5"/>
        <v>0</v>
      </c>
      <c r="AE79" s="5"/>
      <c r="AF79" s="6"/>
    </row>
    <row r="80" spans="1:32" x14ac:dyDescent="0.25">
      <c r="A80" s="51">
        <f t="shared" si="7"/>
        <v>64</v>
      </c>
      <c r="B80" s="60">
        <f t="shared" si="0"/>
        <v>0</v>
      </c>
      <c r="C80" s="37" t="str">
        <f>IF(D80=0,"-",IF(Lease!$H$4="Yearly",EDATE(C79,12),IF(Lease!$H$4="Quarterly",EDATE(C79,3),EDATE(C79,1))))</f>
        <v>-</v>
      </c>
      <c r="D80" s="52">
        <f>IF(A80&gt;Lease!$E$4,0,Lease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E80" s="14">
        <f>IF(D80=0,0,1/((1+IF(Lease!$H$4="Yearly",Lease!$D$4,IF(Lease!$H$4="Quarterly",Lease!$D$4/4,Lease!$D$4/12)))^IF($E$17=1,A79,A80)))</f>
        <v>0</v>
      </c>
      <c r="F80" s="53">
        <f t="shared" si="1"/>
        <v>0</v>
      </c>
      <c r="G80" s="54"/>
      <c r="H80" s="13">
        <f t="shared" si="8"/>
        <v>64</v>
      </c>
      <c r="I80" s="37" t="str">
        <f t="shared" si="2"/>
        <v>-</v>
      </c>
      <c r="J80" s="42">
        <f>IF(H80&gt;Lease!$E$4,0,M79)</f>
        <v>0</v>
      </c>
      <c r="K80" s="42">
        <f>IF(IF(Lease!$H$4="Yearly",J80*Lease!$D$4,IF(Lease!$H$4="Quarterly",J80*(Lease!$D$4/4),J80*Lease!$D$4/12))&gt;0,IF(Lease!$H$4="Yearly",J80*Lease!$D$4,IF(Lease!$H$4="Quarterly",J80*(Lease!$D$4/4),J80*Lease!$D$4/12)),-L80-J80)</f>
        <v>0</v>
      </c>
      <c r="L80" s="42">
        <f t="shared" si="3"/>
        <v>0</v>
      </c>
      <c r="M80" s="42">
        <f t="shared" si="4"/>
        <v>0</v>
      </c>
      <c r="N80" s="55"/>
      <c r="O80" s="13">
        <v>64</v>
      </c>
      <c r="P80" s="56">
        <f t="shared" si="9"/>
        <v>65820</v>
      </c>
      <c r="Q80" s="42">
        <f t="shared" si="11"/>
        <v>0</v>
      </c>
      <c r="R80" s="42">
        <f>IF(S79&lt;1,0,-Lease!$K$4/Lease!$L$4)</f>
        <v>0</v>
      </c>
      <c r="S80" s="42">
        <f t="shared" si="5"/>
        <v>0</v>
      </c>
      <c r="AE80" s="5"/>
      <c r="AF80" s="6"/>
    </row>
    <row r="81" spans="1:32" x14ac:dyDescent="0.25">
      <c r="A81" s="51">
        <f t="shared" si="7"/>
        <v>65</v>
      </c>
      <c r="B81" s="60">
        <f t="shared" ref="B81:B100" si="15">IF(C81="-",0,YEAR(C81))</f>
        <v>0</v>
      </c>
      <c r="C81" s="37" t="str">
        <f>IF(D81=0,"-",IF(Lease!$H$4="Yearly",EDATE(C80,12),IF(Lease!$H$4="Quarterly",EDATE(C80,3),EDATE(C80,1))))</f>
        <v>-</v>
      </c>
      <c r="D81" s="52">
        <f>IF(A81&gt;Lease!$E$4,0,Lease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E81" s="14">
        <f>IF(D81=0,0,1/((1+IF(Lease!$H$4="Yearly",Lease!$D$4,IF(Lease!$H$4="Quarterly",Lease!$D$4/4,Lease!$D$4/12)))^IF($E$17=1,A80,A81)))</f>
        <v>0</v>
      </c>
      <c r="F81" s="53">
        <f t="shared" ref="F81:F100" si="16">D81*E81</f>
        <v>0</v>
      </c>
      <c r="G81" s="54"/>
      <c r="H81" s="13">
        <f t="shared" si="8"/>
        <v>65</v>
      </c>
      <c r="I81" s="37" t="str">
        <f t="shared" ref="I81:I100" si="17">C81</f>
        <v>-</v>
      </c>
      <c r="J81" s="42">
        <f>IF(H81&gt;Lease!$E$4,0,M80)</f>
        <v>0</v>
      </c>
      <c r="K81" s="42">
        <f>IF(IF(Lease!$H$4="Yearly",J81*Lease!$D$4,IF(Lease!$H$4="Quarterly",J81*(Lease!$D$4/4),J81*Lease!$D$4/12))&gt;0,IF(Lease!$H$4="Yearly",J81*Lease!$D$4,IF(Lease!$H$4="Quarterly",J81*(Lease!$D$4/4),J81*Lease!$D$4/12)),-L81-J81)</f>
        <v>0</v>
      </c>
      <c r="L81" s="42">
        <f t="shared" ref="L81:L100" si="18">-D81</f>
        <v>0</v>
      </c>
      <c r="M81" s="42">
        <f t="shared" ref="M81:M100" si="19">J81+K81+L81</f>
        <v>0</v>
      </c>
      <c r="N81" s="55"/>
      <c r="O81" s="13">
        <v>65</v>
      </c>
      <c r="P81" s="56">
        <f t="shared" si="9"/>
        <v>66185</v>
      </c>
      <c r="Q81" s="42">
        <f t="shared" si="11"/>
        <v>0</v>
      </c>
      <c r="R81" s="42">
        <f>IF(S80&lt;1,0,-Lease!$K$4/Lease!$L$4)</f>
        <v>0</v>
      </c>
      <c r="S81" s="42">
        <f t="shared" si="5"/>
        <v>0</v>
      </c>
      <c r="AE81" s="5"/>
      <c r="AF81" s="6"/>
    </row>
    <row r="82" spans="1:32" x14ac:dyDescent="0.25">
      <c r="A82" s="51">
        <f t="shared" si="7"/>
        <v>66</v>
      </c>
      <c r="B82" s="60">
        <f t="shared" si="15"/>
        <v>0</v>
      </c>
      <c r="C82" s="37" t="str">
        <f>IF(D82=0,"-",IF(Lease!$H$4="Yearly",EDATE(C81,12),IF(Lease!$H$4="Quarterly",EDATE(C81,3),EDATE(C81,1))))</f>
        <v>-</v>
      </c>
      <c r="D82" s="52">
        <f>IF(A82&gt;Lease!$E$4,0,Lease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E82" s="14">
        <f>IF(D82=0,0,1/((1+IF(Lease!$H$4="Yearly",Lease!$D$4,IF(Lease!$H$4="Quarterly",Lease!$D$4/4,Lease!$D$4/12)))^IF($E$17=1,A81,A82)))</f>
        <v>0</v>
      </c>
      <c r="F82" s="53">
        <f t="shared" si="16"/>
        <v>0</v>
      </c>
      <c r="G82" s="54"/>
      <c r="H82" s="13">
        <f t="shared" si="8"/>
        <v>66</v>
      </c>
      <c r="I82" s="37" t="str">
        <f t="shared" si="17"/>
        <v>-</v>
      </c>
      <c r="J82" s="42">
        <f>IF(H82&gt;Lease!$E$4,0,M81)</f>
        <v>0</v>
      </c>
      <c r="K82" s="42">
        <f>IF(IF(Lease!$H$4="Yearly",J82*Lease!$D$4,IF(Lease!$H$4="Quarterly",J82*(Lease!$D$4/4),J82*Lease!$D$4/12))&gt;0,IF(Lease!$H$4="Yearly",J82*Lease!$D$4,IF(Lease!$H$4="Quarterly",J82*(Lease!$D$4/4),J82*Lease!$D$4/12)),-L82-J82)</f>
        <v>0</v>
      </c>
      <c r="L82" s="42">
        <f t="shared" si="18"/>
        <v>0</v>
      </c>
      <c r="M82" s="42">
        <f t="shared" si="19"/>
        <v>0</v>
      </c>
      <c r="N82" s="55"/>
      <c r="O82" s="13">
        <v>66</v>
      </c>
      <c r="P82" s="56">
        <f t="shared" si="9"/>
        <v>66550</v>
      </c>
      <c r="Q82" s="42">
        <f t="shared" si="11"/>
        <v>0</v>
      </c>
      <c r="R82" s="42">
        <f>IF(S81&lt;1,0,-Lease!$K$4/Lease!$L$4)</f>
        <v>0</v>
      </c>
      <c r="S82" s="42">
        <f t="shared" ref="S82:S100" si="20">IF(S81&lt;1,0,SUM(Q82:R82))</f>
        <v>0</v>
      </c>
      <c r="AE82" s="5"/>
      <c r="AF82" s="6"/>
    </row>
    <row r="83" spans="1:32" x14ac:dyDescent="0.25">
      <c r="A83" s="51">
        <f t="shared" ref="A83:A100" si="21">A82+1</f>
        <v>67</v>
      </c>
      <c r="B83" s="60">
        <f t="shared" si="15"/>
        <v>0</v>
      </c>
      <c r="C83" s="37" t="str">
        <f>IF(D83=0,"-",IF(Lease!$H$4="Yearly",EDATE(C82,12),IF(Lease!$H$4="Quarterly",EDATE(C82,3),EDATE(C82,1))))</f>
        <v>-</v>
      </c>
      <c r="D83" s="52">
        <f>IF(A83&gt;Lease!$E$4,0,Lease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E83" s="14">
        <f>IF(D83=0,0,1/((1+IF(Lease!$H$4="Yearly",Lease!$D$4,IF(Lease!$H$4="Quarterly",Lease!$D$4/4,Lease!$D$4/12)))^IF($E$17=1,A82,A83)))</f>
        <v>0</v>
      </c>
      <c r="F83" s="53">
        <f t="shared" si="16"/>
        <v>0</v>
      </c>
      <c r="G83" s="54"/>
      <c r="H83" s="13">
        <f t="shared" ref="H83:H100" si="22">H82+1</f>
        <v>67</v>
      </c>
      <c r="I83" s="37" t="str">
        <f t="shared" si="17"/>
        <v>-</v>
      </c>
      <c r="J83" s="42">
        <f>IF(H83&gt;Lease!$E$4,0,M82)</f>
        <v>0</v>
      </c>
      <c r="K83" s="42">
        <f>IF(IF(Lease!$H$4="Yearly",J83*Lease!$D$4,IF(Lease!$H$4="Quarterly",J83*(Lease!$D$4/4),J83*Lease!$D$4/12))&gt;0,IF(Lease!$H$4="Yearly",J83*Lease!$D$4,IF(Lease!$H$4="Quarterly",J83*(Lease!$D$4/4),J83*Lease!$D$4/12)),-L83-J83)</f>
        <v>0</v>
      </c>
      <c r="L83" s="42">
        <f t="shared" si="18"/>
        <v>0</v>
      </c>
      <c r="M83" s="42">
        <f t="shared" si="19"/>
        <v>0</v>
      </c>
      <c r="N83" s="55"/>
      <c r="O83" s="13">
        <v>67</v>
      </c>
      <c r="P83" s="56">
        <f t="shared" ref="P83:P100" si="23">DATE(YEAR(P82)+1,MONTH(P82),DAY(P82))</f>
        <v>66915</v>
      </c>
      <c r="Q83" s="42">
        <f t="shared" si="11"/>
        <v>0</v>
      </c>
      <c r="R83" s="42">
        <f>IF(S82&lt;1,0,-Lease!$K$4/Lease!$L$4)</f>
        <v>0</v>
      </c>
      <c r="S83" s="42">
        <f t="shared" si="20"/>
        <v>0</v>
      </c>
      <c r="AE83" s="5"/>
      <c r="AF83" s="6"/>
    </row>
    <row r="84" spans="1:32" x14ac:dyDescent="0.25">
      <c r="A84" s="51">
        <f t="shared" si="21"/>
        <v>68</v>
      </c>
      <c r="B84" s="60">
        <f t="shared" si="15"/>
        <v>0</v>
      </c>
      <c r="C84" s="37" t="str">
        <f>IF(D84=0,"-",IF(Lease!$H$4="Yearly",EDATE(C83,12),IF(Lease!$H$4="Quarterly",EDATE(C83,3),EDATE(C83,1))))</f>
        <v>-</v>
      </c>
      <c r="D84" s="52">
        <f>IF(A84&gt;Lease!$E$4,0,Lease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E84" s="14">
        <f>IF(D84=0,0,1/((1+IF(Lease!$H$4="Yearly",Lease!$D$4,IF(Lease!$H$4="Quarterly",Lease!$D$4/4,Lease!$D$4/12)))^IF($E$17=1,A83,A84)))</f>
        <v>0</v>
      </c>
      <c r="F84" s="53">
        <f t="shared" si="16"/>
        <v>0</v>
      </c>
      <c r="G84" s="54"/>
      <c r="H84" s="13">
        <f t="shared" si="22"/>
        <v>68</v>
      </c>
      <c r="I84" s="37" t="str">
        <f t="shared" si="17"/>
        <v>-</v>
      </c>
      <c r="J84" s="42">
        <f>IF(H84&gt;Lease!$E$4,0,M83)</f>
        <v>0</v>
      </c>
      <c r="K84" s="42">
        <f>IF(IF(Lease!$H$4="Yearly",J84*Lease!$D$4,IF(Lease!$H$4="Quarterly",J84*(Lease!$D$4/4),J84*Lease!$D$4/12))&gt;0,IF(Lease!$H$4="Yearly",J84*Lease!$D$4,IF(Lease!$H$4="Quarterly",J84*(Lease!$D$4/4),J84*Lease!$D$4/12)),-L84-J84)</f>
        <v>0</v>
      </c>
      <c r="L84" s="42">
        <f t="shared" si="18"/>
        <v>0</v>
      </c>
      <c r="M84" s="42">
        <f t="shared" si="19"/>
        <v>0</v>
      </c>
      <c r="N84" s="55"/>
      <c r="O84" s="13">
        <v>68</v>
      </c>
      <c r="P84" s="56">
        <f t="shared" si="23"/>
        <v>67281</v>
      </c>
      <c r="Q84" s="42">
        <f t="shared" si="11"/>
        <v>0</v>
      </c>
      <c r="R84" s="42">
        <f>IF(S83&lt;1,0,-Lease!$K$4/Lease!$L$4)</f>
        <v>0</v>
      </c>
      <c r="S84" s="42">
        <f t="shared" si="20"/>
        <v>0</v>
      </c>
      <c r="AE84" s="5"/>
      <c r="AF84" s="6"/>
    </row>
    <row r="85" spans="1:32" x14ac:dyDescent="0.25">
      <c r="A85" s="51">
        <f t="shared" si="21"/>
        <v>69</v>
      </c>
      <c r="B85" s="60">
        <f t="shared" si="15"/>
        <v>0</v>
      </c>
      <c r="C85" s="37" t="str">
        <f>IF(D85=0,"-",IF(Lease!$H$4="Yearly",EDATE(C84,12),IF(Lease!$H$4="Quarterly",EDATE(C84,3),EDATE(C84,1))))</f>
        <v>-</v>
      </c>
      <c r="D85" s="52">
        <f>IF(A85&gt;Lease!$E$4,0,Lease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E85" s="14">
        <f>IF(D85=0,0,1/((1+IF(Lease!$H$4="Yearly",Lease!$D$4,IF(Lease!$H$4="Quarterly",Lease!$D$4/4,Lease!$D$4/12)))^IF($E$17=1,A84,A85)))</f>
        <v>0</v>
      </c>
      <c r="F85" s="53">
        <f t="shared" si="16"/>
        <v>0</v>
      </c>
      <c r="G85" s="54"/>
      <c r="H85" s="13">
        <f t="shared" si="22"/>
        <v>69</v>
      </c>
      <c r="I85" s="37" t="str">
        <f t="shared" si="17"/>
        <v>-</v>
      </c>
      <c r="J85" s="42">
        <f>IF(H85&gt;Lease!$E$4,0,M84)</f>
        <v>0</v>
      </c>
      <c r="K85" s="42">
        <f>IF(IF(Lease!$H$4="Yearly",J85*Lease!$D$4,IF(Lease!$H$4="Quarterly",J85*(Lease!$D$4/4),J85*Lease!$D$4/12))&gt;0,IF(Lease!$H$4="Yearly",J85*Lease!$D$4,IF(Lease!$H$4="Quarterly",J85*(Lease!$D$4/4),J85*Lease!$D$4/12)),-L85-J85)</f>
        <v>0</v>
      </c>
      <c r="L85" s="42">
        <f t="shared" si="18"/>
        <v>0</v>
      </c>
      <c r="M85" s="42">
        <f t="shared" si="19"/>
        <v>0</v>
      </c>
      <c r="N85" s="55"/>
      <c r="O85" s="13">
        <v>69</v>
      </c>
      <c r="P85" s="56">
        <f t="shared" si="23"/>
        <v>67646</v>
      </c>
      <c r="Q85" s="42">
        <f t="shared" si="11"/>
        <v>0</v>
      </c>
      <c r="R85" s="42">
        <f>IF(S84&lt;1,0,-Lease!$K$4/Lease!$L$4)</f>
        <v>0</v>
      </c>
      <c r="S85" s="42">
        <f t="shared" si="20"/>
        <v>0</v>
      </c>
      <c r="AE85" s="5"/>
      <c r="AF85" s="6"/>
    </row>
    <row r="86" spans="1:32" x14ac:dyDescent="0.25">
      <c r="A86" s="51">
        <f t="shared" si="21"/>
        <v>70</v>
      </c>
      <c r="B86" s="60">
        <f t="shared" si="15"/>
        <v>0</v>
      </c>
      <c r="C86" s="37" t="str">
        <f>IF(D86=0,"-",IF(Lease!$H$4="Yearly",EDATE(C85,12),IF(Lease!$H$4="Quarterly",EDATE(C85,3),EDATE(C85,1))))</f>
        <v>-</v>
      </c>
      <c r="D86" s="52">
        <f>IF(A86&gt;Lease!$E$4,0,Lease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E86" s="14">
        <f>IF(D86=0,0,1/((1+IF(Lease!$H$4="Yearly",Lease!$D$4,IF(Lease!$H$4="Quarterly",Lease!$D$4/4,Lease!$D$4/12)))^IF($E$17=1,A85,A86)))</f>
        <v>0</v>
      </c>
      <c r="F86" s="53">
        <f t="shared" si="16"/>
        <v>0</v>
      </c>
      <c r="G86" s="54"/>
      <c r="H86" s="13">
        <f t="shared" si="22"/>
        <v>70</v>
      </c>
      <c r="I86" s="37" t="str">
        <f t="shared" si="17"/>
        <v>-</v>
      </c>
      <c r="J86" s="42">
        <f>IF(H86&gt;Lease!$E$4,0,M85)</f>
        <v>0</v>
      </c>
      <c r="K86" s="42">
        <f>IF(IF(Lease!$H$4="Yearly",J86*Lease!$D$4,IF(Lease!$H$4="Quarterly",J86*(Lease!$D$4/4),J86*Lease!$D$4/12))&gt;0,IF(Lease!$H$4="Yearly",J86*Lease!$D$4,IF(Lease!$H$4="Quarterly",J86*(Lease!$D$4/4),J86*Lease!$D$4/12)),-L86-J86)</f>
        <v>0</v>
      </c>
      <c r="L86" s="42">
        <f t="shared" si="18"/>
        <v>0</v>
      </c>
      <c r="M86" s="42">
        <f t="shared" si="19"/>
        <v>0</v>
      </c>
      <c r="N86" s="55"/>
      <c r="O86" s="13">
        <v>70</v>
      </c>
      <c r="P86" s="56">
        <f t="shared" si="23"/>
        <v>68011</v>
      </c>
      <c r="Q86" s="42">
        <f t="shared" si="11"/>
        <v>0</v>
      </c>
      <c r="R86" s="42">
        <f>IF(S85&lt;1,0,-Lease!$K$4/Lease!$L$4)</f>
        <v>0</v>
      </c>
      <c r="S86" s="42">
        <f t="shared" si="20"/>
        <v>0</v>
      </c>
      <c r="AE86" s="5"/>
      <c r="AF86" s="6"/>
    </row>
    <row r="87" spans="1:32" x14ac:dyDescent="0.25">
      <c r="A87" s="51">
        <f t="shared" si="21"/>
        <v>71</v>
      </c>
      <c r="B87" s="60">
        <f t="shared" si="15"/>
        <v>0</v>
      </c>
      <c r="C87" s="37" t="str">
        <f>IF(D87=0,"-",IF(Lease!$H$4="Yearly",EDATE(C86,12),IF(Lease!$H$4="Quarterly",EDATE(C86,3),EDATE(C86,1))))</f>
        <v>-</v>
      </c>
      <c r="D87" s="52">
        <f>IF(A87&gt;Lease!$E$4,0,Lease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E87" s="14">
        <f>IF(D87=0,0,1/((1+IF(Lease!$H$4="Yearly",Lease!$D$4,IF(Lease!$H$4="Quarterly",Lease!$D$4/4,Lease!$D$4/12)))^IF($E$17=1,A86,A87)))</f>
        <v>0</v>
      </c>
      <c r="F87" s="53">
        <f t="shared" si="16"/>
        <v>0</v>
      </c>
      <c r="G87" s="54"/>
      <c r="H87" s="13">
        <f t="shared" si="22"/>
        <v>71</v>
      </c>
      <c r="I87" s="37" t="str">
        <f t="shared" si="17"/>
        <v>-</v>
      </c>
      <c r="J87" s="42">
        <f>IF(H87&gt;Lease!$E$4,0,M86)</f>
        <v>0</v>
      </c>
      <c r="K87" s="42">
        <f>IF(IF(Lease!$H$4="Yearly",J87*Lease!$D$4,IF(Lease!$H$4="Quarterly",J87*(Lease!$D$4/4),J87*Lease!$D$4/12))&gt;0,IF(Lease!$H$4="Yearly",J87*Lease!$D$4,IF(Lease!$H$4="Quarterly",J87*(Lease!$D$4/4),J87*Lease!$D$4/12)),-L87-J87)</f>
        <v>0</v>
      </c>
      <c r="L87" s="42">
        <f t="shared" si="18"/>
        <v>0</v>
      </c>
      <c r="M87" s="42">
        <f t="shared" si="19"/>
        <v>0</v>
      </c>
      <c r="N87" s="55"/>
      <c r="O87" s="13">
        <v>71</v>
      </c>
      <c r="P87" s="56">
        <f t="shared" si="23"/>
        <v>68376</v>
      </c>
      <c r="Q87" s="42">
        <f t="shared" si="11"/>
        <v>0</v>
      </c>
      <c r="R87" s="42">
        <f>IF(S86&lt;1,0,-Lease!$K$4/Lease!$L$4)</f>
        <v>0</v>
      </c>
      <c r="S87" s="42">
        <f t="shared" si="20"/>
        <v>0</v>
      </c>
      <c r="AE87" s="5"/>
      <c r="AF87" s="6"/>
    </row>
    <row r="88" spans="1:32" x14ac:dyDescent="0.25">
      <c r="A88" s="51">
        <f t="shared" si="21"/>
        <v>72</v>
      </c>
      <c r="B88" s="60">
        <f t="shared" si="15"/>
        <v>0</v>
      </c>
      <c r="C88" s="37" t="str">
        <f>IF(D88=0,"-",IF(Lease!$H$4="Yearly",EDATE(C87,12),IF(Lease!$H$4="Quarterly",EDATE(C87,3),EDATE(C87,1))))</f>
        <v>-</v>
      </c>
      <c r="D88" s="52">
        <f>IF(A88&gt;Lease!$E$4,0,Lease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E88" s="14">
        <f>IF(D88=0,0,1/((1+IF(Lease!$H$4="Yearly",Lease!$D$4,IF(Lease!$H$4="Quarterly",Lease!$D$4/4,Lease!$D$4/12)))^IF($E$17=1,A87,A88)))</f>
        <v>0</v>
      </c>
      <c r="F88" s="53">
        <f t="shared" si="16"/>
        <v>0</v>
      </c>
      <c r="G88" s="54"/>
      <c r="H88" s="13">
        <f t="shared" si="22"/>
        <v>72</v>
      </c>
      <c r="I88" s="37" t="str">
        <f t="shared" si="17"/>
        <v>-</v>
      </c>
      <c r="J88" s="42">
        <f>IF(H88&gt;Lease!$E$4,0,M87)</f>
        <v>0</v>
      </c>
      <c r="K88" s="42">
        <f>IF(IF(Lease!$H$4="Yearly",J88*Lease!$D$4,IF(Lease!$H$4="Quarterly",J88*(Lease!$D$4/4),J88*Lease!$D$4/12))&gt;0,IF(Lease!$H$4="Yearly",J88*Lease!$D$4,IF(Lease!$H$4="Quarterly",J88*(Lease!$D$4/4),J88*Lease!$D$4/12)),-L88-J88)</f>
        <v>0</v>
      </c>
      <c r="L88" s="42">
        <f t="shared" si="18"/>
        <v>0</v>
      </c>
      <c r="M88" s="42">
        <f t="shared" si="19"/>
        <v>0</v>
      </c>
      <c r="N88" s="55"/>
      <c r="O88" s="13">
        <v>72</v>
      </c>
      <c r="P88" s="56">
        <f t="shared" si="23"/>
        <v>68742</v>
      </c>
      <c r="Q88" s="42">
        <f t="shared" si="11"/>
        <v>0</v>
      </c>
      <c r="R88" s="42">
        <f>IF(S87&lt;1,0,-Lease!$K$4/Lease!$L$4)</f>
        <v>0</v>
      </c>
      <c r="S88" s="42">
        <f t="shared" si="20"/>
        <v>0</v>
      </c>
      <c r="AE88" s="5"/>
      <c r="AF88" s="6"/>
    </row>
    <row r="89" spans="1:32" x14ac:dyDescent="0.25">
      <c r="A89" s="51">
        <f t="shared" si="21"/>
        <v>73</v>
      </c>
      <c r="B89" s="60">
        <f t="shared" si="15"/>
        <v>0</v>
      </c>
      <c r="C89" s="37" t="str">
        <f>IF(D89=0,"-",IF(Lease!$H$4="Yearly",EDATE(C88,12),IF(Lease!$H$4="Quarterly",EDATE(C88,3),EDATE(C88,1))))</f>
        <v>-</v>
      </c>
      <c r="D89" s="52">
        <f>IF(A89&gt;Lease!$E$4,0,Lease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E89" s="14">
        <f>IF(D89=0,0,1/((1+IF(Lease!$H$4="Yearly",Lease!$D$4,IF(Lease!$H$4="Quarterly",Lease!$D$4/4,Lease!$D$4/12)))^IF($E$17=1,A88,A89)))</f>
        <v>0</v>
      </c>
      <c r="F89" s="53">
        <f t="shared" si="16"/>
        <v>0</v>
      </c>
      <c r="G89" s="54"/>
      <c r="H89" s="13">
        <f t="shared" si="22"/>
        <v>73</v>
      </c>
      <c r="I89" s="37" t="str">
        <f t="shared" si="17"/>
        <v>-</v>
      </c>
      <c r="J89" s="42">
        <f>IF(H89&gt;Lease!$E$4,0,M88)</f>
        <v>0</v>
      </c>
      <c r="K89" s="42">
        <f>IF(IF(Lease!$H$4="Yearly",J89*Lease!$D$4,IF(Lease!$H$4="Quarterly",J89*(Lease!$D$4/4),J89*Lease!$D$4/12))&gt;0,IF(Lease!$H$4="Yearly",J89*Lease!$D$4,IF(Lease!$H$4="Quarterly",J89*(Lease!$D$4/4),J89*Lease!$D$4/12)),-L89-J89)</f>
        <v>0</v>
      </c>
      <c r="L89" s="42">
        <f t="shared" si="18"/>
        <v>0</v>
      </c>
      <c r="M89" s="42">
        <f t="shared" si="19"/>
        <v>0</v>
      </c>
      <c r="N89" s="55"/>
      <c r="O89" s="13">
        <v>73</v>
      </c>
      <c r="P89" s="56">
        <f t="shared" si="23"/>
        <v>69107</v>
      </c>
      <c r="Q89" s="42">
        <f t="shared" si="11"/>
        <v>0</v>
      </c>
      <c r="R89" s="42">
        <f>IF(S88&lt;1,0,-Lease!$K$4/Lease!$L$4)</f>
        <v>0</v>
      </c>
      <c r="S89" s="42">
        <f t="shared" si="20"/>
        <v>0</v>
      </c>
      <c r="AE89" s="5"/>
      <c r="AF89" s="6"/>
    </row>
    <row r="90" spans="1:32" x14ac:dyDescent="0.25">
      <c r="A90" s="51">
        <f t="shared" si="21"/>
        <v>74</v>
      </c>
      <c r="B90" s="60">
        <f t="shared" si="15"/>
        <v>0</v>
      </c>
      <c r="C90" s="37" t="str">
        <f>IF(D90=0,"-",IF(Lease!$H$4="Yearly",EDATE(C89,12),IF(Lease!$H$4="Quarterly",EDATE(C89,3),EDATE(C89,1))))</f>
        <v>-</v>
      </c>
      <c r="D90" s="52">
        <f>IF(A90&gt;Lease!$E$4,0,Lease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E90" s="14">
        <f>IF(D90=0,0,1/((1+IF(Lease!$H$4="Yearly",Lease!$D$4,IF(Lease!$H$4="Quarterly",Lease!$D$4/4,Lease!$D$4/12)))^IF($E$17=1,A89,A90)))</f>
        <v>0</v>
      </c>
      <c r="F90" s="53">
        <f t="shared" si="16"/>
        <v>0</v>
      </c>
      <c r="G90" s="54"/>
      <c r="H90" s="13">
        <f t="shared" si="22"/>
        <v>74</v>
      </c>
      <c r="I90" s="37" t="str">
        <f t="shared" si="17"/>
        <v>-</v>
      </c>
      <c r="J90" s="42">
        <f>IF(H90&gt;Lease!$E$4,0,M89)</f>
        <v>0</v>
      </c>
      <c r="K90" s="42">
        <f>IF(IF(Lease!$H$4="Yearly",J90*Lease!$D$4,IF(Lease!$H$4="Quarterly",J90*(Lease!$D$4/4),J90*Lease!$D$4/12))&gt;0,IF(Lease!$H$4="Yearly",J90*Lease!$D$4,IF(Lease!$H$4="Quarterly",J90*(Lease!$D$4/4),J90*Lease!$D$4/12)),-L90-J90)</f>
        <v>0</v>
      </c>
      <c r="L90" s="42">
        <f t="shared" si="18"/>
        <v>0</v>
      </c>
      <c r="M90" s="42">
        <f t="shared" si="19"/>
        <v>0</v>
      </c>
      <c r="N90" s="55"/>
      <c r="O90" s="13">
        <v>74</v>
      </c>
      <c r="P90" s="56">
        <f t="shared" si="23"/>
        <v>69472</v>
      </c>
      <c r="Q90" s="42">
        <f t="shared" ref="Q90:Q100" si="24">S89</f>
        <v>0</v>
      </c>
      <c r="R90" s="42">
        <f>IF(S89&lt;1,0,-Lease!$K$4/Lease!$L$4)</f>
        <v>0</v>
      </c>
      <c r="S90" s="42">
        <f t="shared" si="20"/>
        <v>0</v>
      </c>
      <c r="AE90" s="5"/>
      <c r="AF90" s="6"/>
    </row>
    <row r="91" spans="1:32" x14ac:dyDescent="0.25">
      <c r="A91" s="51">
        <f t="shared" si="21"/>
        <v>75</v>
      </c>
      <c r="B91" s="60">
        <f t="shared" si="15"/>
        <v>0</v>
      </c>
      <c r="C91" s="37" t="str">
        <f>IF(D91=0,"-",IF(Lease!$H$4="Yearly",EDATE(C90,12),IF(Lease!$H$4="Quarterly",EDATE(C90,3),EDATE(C90,1))))</f>
        <v>-</v>
      </c>
      <c r="D91" s="52">
        <f>IF(A91&gt;Lease!$E$4,0,Lease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E91" s="14">
        <f>IF(D91=0,0,1/((1+IF(Lease!$H$4="Yearly",Lease!$D$4,IF(Lease!$H$4="Quarterly",Lease!$D$4/4,Lease!$D$4/12)))^IF($E$17=1,A90,A91)))</f>
        <v>0</v>
      </c>
      <c r="F91" s="53">
        <f t="shared" si="16"/>
        <v>0</v>
      </c>
      <c r="G91" s="54"/>
      <c r="H91" s="13">
        <f t="shared" si="22"/>
        <v>75</v>
      </c>
      <c r="I91" s="37" t="str">
        <f t="shared" si="17"/>
        <v>-</v>
      </c>
      <c r="J91" s="42">
        <f>IF(H91&gt;Lease!$E$4,0,M90)</f>
        <v>0</v>
      </c>
      <c r="K91" s="42">
        <f>IF(IF(Lease!$H$4="Yearly",J91*Lease!$D$4,IF(Lease!$H$4="Quarterly",J91*(Lease!$D$4/4),J91*Lease!$D$4/12))&gt;0,IF(Lease!$H$4="Yearly",J91*Lease!$D$4,IF(Lease!$H$4="Quarterly",J91*(Lease!$D$4/4),J91*Lease!$D$4/12)),-L91-J91)</f>
        <v>0</v>
      </c>
      <c r="L91" s="42">
        <f t="shared" si="18"/>
        <v>0</v>
      </c>
      <c r="M91" s="42">
        <f t="shared" si="19"/>
        <v>0</v>
      </c>
      <c r="N91" s="55"/>
      <c r="O91" s="13">
        <v>75</v>
      </c>
      <c r="P91" s="56">
        <f t="shared" si="23"/>
        <v>69837</v>
      </c>
      <c r="Q91" s="42">
        <f t="shared" si="24"/>
        <v>0</v>
      </c>
      <c r="R91" s="42">
        <f>IF(S90&lt;1,0,-Lease!$K$4/Lease!$L$4)</f>
        <v>0</v>
      </c>
      <c r="S91" s="42">
        <f t="shared" si="20"/>
        <v>0</v>
      </c>
      <c r="AE91" s="5"/>
      <c r="AF91" s="6"/>
    </row>
    <row r="92" spans="1:32" x14ac:dyDescent="0.25">
      <c r="A92" s="51">
        <f t="shared" si="21"/>
        <v>76</v>
      </c>
      <c r="B92" s="60">
        <f t="shared" si="15"/>
        <v>0</v>
      </c>
      <c r="C92" s="37" t="str">
        <f>IF(D92=0,"-",IF(Lease!$H$4="Yearly",EDATE(C91,12),IF(Lease!$H$4="Quarterly",EDATE(C91,3),EDATE(C91,1))))</f>
        <v>-</v>
      </c>
      <c r="D92" s="52">
        <f>IF(A92&gt;Lease!$E$4,0,Lease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E92" s="14">
        <f>IF(D92=0,0,1/((1+IF(Lease!$H$4="Yearly",Lease!$D$4,IF(Lease!$H$4="Quarterly",Lease!$D$4/4,Lease!$D$4/12)))^IF($E$17=1,A91,A92)))</f>
        <v>0</v>
      </c>
      <c r="F92" s="53">
        <f t="shared" si="16"/>
        <v>0</v>
      </c>
      <c r="G92" s="54"/>
      <c r="H92" s="13">
        <f t="shared" si="22"/>
        <v>76</v>
      </c>
      <c r="I92" s="37" t="str">
        <f t="shared" si="17"/>
        <v>-</v>
      </c>
      <c r="J92" s="42">
        <f>IF(H92&gt;Lease!$E$4,0,M91)</f>
        <v>0</v>
      </c>
      <c r="K92" s="42">
        <f>IF(IF(Lease!$H$4="Yearly",J92*Lease!$D$4,IF(Lease!$H$4="Quarterly",J92*(Lease!$D$4/4),J92*Lease!$D$4/12))&gt;0,IF(Lease!$H$4="Yearly",J92*Lease!$D$4,IF(Lease!$H$4="Quarterly",J92*(Lease!$D$4/4),J92*Lease!$D$4/12)),-L92-J92)</f>
        <v>0</v>
      </c>
      <c r="L92" s="42">
        <f t="shared" si="18"/>
        <v>0</v>
      </c>
      <c r="M92" s="42">
        <f t="shared" si="19"/>
        <v>0</v>
      </c>
      <c r="N92" s="55"/>
      <c r="O92" s="13">
        <v>76</v>
      </c>
      <c r="P92" s="56">
        <f t="shared" si="23"/>
        <v>70203</v>
      </c>
      <c r="Q92" s="42">
        <f t="shared" si="24"/>
        <v>0</v>
      </c>
      <c r="R92" s="42">
        <f>IF(S91&lt;1,0,-Lease!$K$4/Lease!$L$4)</f>
        <v>0</v>
      </c>
      <c r="S92" s="42">
        <f t="shared" si="20"/>
        <v>0</v>
      </c>
      <c r="AE92" s="5"/>
      <c r="AF92" s="6"/>
    </row>
    <row r="93" spans="1:32" x14ac:dyDescent="0.25">
      <c r="A93" s="51">
        <f t="shared" si="21"/>
        <v>77</v>
      </c>
      <c r="B93" s="60">
        <f t="shared" si="15"/>
        <v>0</v>
      </c>
      <c r="C93" s="37" t="str">
        <f>IF(D93=0,"-",IF(Lease!$H$4="Yearly",EDATE(C92,12),IF(Lease!$H$4="Quarterly",EDATE(C92,3),EDATE(C92,1))))</f>
        <v>-</v>
      </c>
      <c r="D93" s="52">
        <f>IF(A93&gt;Lease!$E$4,0,Lease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E93" s="14">
        <f>IF(D93=0,0,1/((1+IF(Lease!$H$4="Yearly",Lease!$D$4,IF(Lease!$H$4="Quarterly",Lease!$D$4/4,Lease!$D$4/12)))^IF($E$17=1,A92,A93)))</f>
        <v>0</v>
      </c>
      <c r="F93" s="53">
        <f t="shared" si="16"/>
        <v>0</v>
      </c>
      <c r="G93" s="54"/>
      <c r="H93" s="13">
        <f t="shared" si="22"/>
        <v>77</v>
      </c>
      <c r="I93" s="37" t="str">
        <f t="shared" si="17"/>
        <v>-</v>
      </c>
      <c r="J93" s="42">
        <f>IF(H93&gt;Lease!$E$4,0,M92)</f>
        <v>0</v>
      </c>
      <c r="K93" s="42">
        <f>IF(IF(Lease!$H$4="Yearly",J93*Lease!$D$4,IF(Lease!$H$4="Quarterly",J93*(Lease!$D$4/4),J93*Lease!$D$4/12))&gt;0,IF(Lease!$H$4="Yearly",J93*Lease!$D$4,IF(Lease!$H$4="Quarterly",J93*(Lease!$D$4/4),J93*Lease!$D$4/12)),-L93-J93)</f>
        <v>0</v>
      </c>
      <c r="L93" s="42">
        <f t="shared" si="18"/>
        <v>0</v>
      </c>
      <c r="M93" s="42">
        <f t="shared" si="19"/>
        <v>0</v>
      </c>
      <c r="N93" s="55"/>
      <c r="O93" s="13">
        <v>77</v>
      </c>
      <c r="P93" s="56">
        <f t="shared" si="23"/>
        <v>70568</v>
      </c>
      <c r="Q93" s="42">
        <f t="shared" si="24"/>
        <v>0</v>
      </c>
      <c r="R93" s="42">
        <f>IF(S92&lt;1,0,-Lease!$K$4/Lease!$L$4)</f>
        <v>0</v>
      </c>
      <c r="S93" s="42">
        <f t="shared" si="20"/>
        <v>0</v>
      </c>
      <c r="AE93" s="5"/>
      <c r="AF93" s="6"/>
    </row>
    <row r="94" spans="1:32" x14ac:dyDescent="0.25">
      <c r="A94" s="51">
        <f t="shared" si="21"/>
        <v>78</v>
      </c>
      <c r="B94" s="60">
        <f t="shared" si="15"/>
        <v>0</v>
      </c>
      <c r="C94" s="37" t="str">
        <f>IF(D94=0,"-",IF(Lease!$H$4="Yearly",EDATE(C93,12),IF(Lease!$H$4="Quarterly",EDATE(C93,3),EDATE(C93,1))))</f>
        <v>-</v>
      </c>
      <c r="D94" s="52">
        <f>IF(A94&gt;Lease!$E$4,0,Lease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E94" s="14">
        <f>IF(D94=0,0,1/((1+IF(Lease!$H$4="Yearly",Lease!$D$4,IF(Lease!$H$4="Quarterly",Lease!$D$4/4,Lease!$D$4/12)))^IF($E$17=1,A93,A94)))</f>
        <v>0</v>
      </c>
      <c r="F94" s="53">
        <f t="shared" si="16"/>
        <v>0</v>
      </c>
      <c r="G94" s="54"/>
      <c r="H94" s="13">
        <f t="shared" si="22"/>
        <v>78</v>
      </c>
      <c r="I94" s="37" t="str">
        <f t="shared" si="17"/>
        <v>-</v>
      </c>
      <c r="J94" s="42">
        <f>IF(H94&gt;Lease!$E$4,0,M93)</f>
        <v>0</v>
      </c>
      <c r="K94" s="42">
        <f>IF(IF(Lease!$H$4="Yearly",J94*Lease!$D$4,IF(Lease!$H$4="Quarterly",J94*(Lease!$D$4/4),J94*Lease!$D$4/12))&gt;0,IF(Lease!$H$4="Yearly",J94*Lease!$D$4,IF(Lease!$H$4="Quarterly",J94*(Lease!$D$4/4),J94*Lease!$D$4/12)),-L94-J94)</f>
        <v>0</v>
      </c>
      <c r="L94" s="42">
        <f t="shared" si="18"/>
        <v>0</v>
      </c>
      <c r="M94" s="42">
        <f t="shared" si="19"/>
        <v>0</v>
      </c>
      <c r="N94" s="55"/>
      <c r="O94" s="13">
        <v>78</v>
      </c>
      <c r="P94" s="56">
        <f t="shared" si="23"/>
        <v>70933</v>
      </c>
      <c r="Q94" s="42">
        <f t="shared" si="24"/>
        <v>0</v>
      </c>
      <c r="R94" s="42">
        <f>IF(S93&lt;1,0,-Lease!$K$4/Lease!$L$4)</f>
        <v>0</v>
      </c>
      <c r="S94" s="42">
        <f t="shared" si="20"/>
        <v>0</v>
      </c>
      <c r="AE94" s="5"/>
      <c r="AF94" s="6"/>
    </row>
    <row r="95" spans="1:32" x14ac:dyDescent="0.25">
      <c r="A95" s="51">
        <f t="shared" si="21"/>
        <v>79</v>
      </c>
      <c r="B95" s="60">
        <f t="shared" si="15"/>
        <v>0</v>
      </c>
      <c r="C95" s="37" t="str">
        <f>IF(D95=0,"-",IF(Lease!$H$4="Yearly",EDATE(C94,12),IF(Lease!$H$4="Quarterly",EDATE(C94,3),EDATE(C94,1))))</f>
        <v>-</v>
      </c>
      <c r="D95" s="52">
        <f>IF(A95&gt;Lease!$E$4,0,Lease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E95" s="14">
        <f>IF(D95=0,0,1/((1+IF(Lease!$H$4="Yearly",Lease!$D$4,IF(Lease!$H$4="Quarterly",Lease!$D$4/4,Lease!$D$4/12)))^IF($E$17=1,A94,A95)))</f>
        <v>0</v>
      </c>
      <c r="F95" s="53">
        <f t="shared" si="16"/>
        <v>0</v>
      </c>
      <c r="G95" s="54"/>
      <c r="H95" s="13">
        <f t="shared" si="22"/>
        <v>79</v>
      </c>
      <c r="I95" s="37" t="str">
        <f t="shared" si="17"/>
        <v>-</v>
      </c>
      <c r="J95" s="42">
        <f>IF(H95&gt;Lease!$E$4,0,M94)</f>
        <v>0</v>
      </c>
      <c r="K95" s="42">
        <f>IF(IF(Lease!$H$4="Yearly",J95*Lease!$D$4,IF(Lease!$H$4="Quarterly",J95*(Lease!$D$4/4),J95*Lease!$D$4/12))&gt;0,IF(Lease!$H$4="Yearly",J95*Lease!$D$4,IF(Lease!$H$4="Quarterly",J95*(Lease!$D$4/4),J95*Lease!$D$4/12)),-L95-J95)</f>
        <v>0</v>
      </c>
      <c r="L95" s="42">
        <f t="shared" si="18"/>
        <v>0</v>
      </c>
      <c r="M95" s="42">
        <f t="shared" si="19"/>
        <v>0</v>
      </c>
      <c r="N95" s="55"/>
      <c r="O95" s="13">
        <v>79</v>
      </c>
      <c r="P95" s="56">
        <f t="shared" si="23"/>
        <v>71298</v>
      </c>
      <c r="Q95" s="42">
        <f t="shared" si="24"/>
        <v>0</v>
      </c>
      <c r="R95" s="42">
        <f>IF(S94&lt;1,0,-Lease!$K$4/Lease!$L$4)</f>
        <v>0</v>
      </c>
      <c r="S95" s="42">
        <f t="shared" si="20"/>
        <v>0</v>
      </c>
      <c r="AE95" s="5"/>
      <c r="AF95" s="6"/>
    </row>
    <row r="96" spans="1:32" x14ac:dyDescent="0.25">
      <c r="A96" s="51">
        <f t="shared" si="21"/>
        <v>80</v>
      </c>
      <c r="B96" s="60">
        <f t="shared" si="15"/>
        <v>0</v>
      </c>
      <c r="C96" s="37" t="str">
        <f>IF(D96=0,"-",IF(Lease!$H$4="Yearly",EDATE(C95,12),IF(Lease!$H$4="Quarterly",EDATE(C95,3),EDATE(C95,1))))</f>
        <v>-</v>
      </c>
      <c r="D96" s="52">
        <f>IF(A96&gt;Lease!$E$4,0,Lease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E96" s="14">
        <f>IF(D96=0,0,1/((1+IF(Lease!$H$4="Yearly",Lease!$D$4,IF(Lease!$H$4="Quarterly",Lease!$D$4/4,Lease!$D$4/12)))^IF($E$17=1,A95,A96)))</f>
        <v>0</v>
      </c>
      <c r="F96" s="53">
        <f t="shared" si="16"/>
        <v>0</v>
      </c>
      <c r="G96" s="54"/>
      <c r="H96" s="13">
        <f t="shared" si="22"/>
        <v>80</v>
      </c>
      <c r="I96" s="37" t="str">
        <f t="shared" si="17"/>
        <v>-</v>
      </c>
      <c r="J96" s="42">
        <f>IF(H96&gt;Lease!$E$4,0,M95)</f>
        <v>0</v>
      </c>
      <c r="K96" s="42">
        <f>IF(IF(Lease!$H$4="Yearly",J96*Lease!$D$4,IF(Lease!$H$4="Quarterly",J96*(Lease!$D$4/4),J96*Lease!$D$4/12))&gt;0,IF(Lease!$H$4="Yearly",J96*Lease!$D$4,IF(Lease!$H$4="Quarterly",J96*(Lease!$D$4/4),J96*Lease!$D$4/12)),-L96-J96)</f>
        <v>0</v>
      </c>
      <c r="L96" s="42">
        <f t="shared" si="18"/>
        <v>0</v>
      </c>
      <c r="M96" s="42">
        <f t="shared" si="19"/>
        <v>0</v>
      </c>
      <c r="N96" s="55"/>
      <c r="O96" s="13">
        <v>80</v>
      </c>
      <c r="P96" s="56">
        <f t="shared" si="23"/>
        <v>71664</v>
      </c>
      <c r="Q96" s="42">
        <f t="shared" si="24"/>
        <v>0</v>
      </c>
      <c r="R96" s="42">
        <f>IF(S95&lt;1,0,-Lease!$K$4/Lease!$L$4)</f>
        <v>0</v>
      </c>
      <c r="S96" s="42">
        <f t="shared" si="20"/>
        <v>0</v>
      </c>
      <c r="AE96" s="5"/>
      <c r="AF96" s="6"/>
    </row>
    <row r="97" spans="1:32" x14ac:dyDescent="0.25">
      <c r="A97" s="51">
        <f t="shared" si="21"/>
        <v>81</v>
      </c>
      <c r="B97" s="60">
        <f t="shared" si="15"/>
        <v>0</v>
      </c>
      <c r="C97" s="37" t="str">
        <f>IF(D97=0,"-",IF(Lease!$H$4="Yearly",EDATE(C96,12),IF(Lease!$H$4="Quarterly",EDATE(C96,3),EDATE(C96,1))))</f>
        <v>-</v>
      </c>
      <c r="D97" s="52">
        <f>IF(A97&gt;Lease!$E$4,0,Lease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E97" s="14">
        <f>IF(D97=0,0,1/((1+IF(Lease!$H$4="Yearly",Lease!$D$4,IF(Lease!$H$4="Quarterly",Lease!$D$4/4,Lease!$D$4/12)))^IF($E$17=1,A96,A97)))</f>
        <v>0</v>
      </c>
      <c r="F97" s="53">
        <f t="shared" si="16"/>
        <v>0</v>
      </c>
      <c r="G97" s="54"/>
      <c r="H97" s="13">
        <f t="shared" si="22"/>
        <v>81</v>
      </c>
      <c r="I97" s="37" t="str">
        <f t="shared" si="17"/>
        <v>-</v>
      </c>
      <c r="J97" s="42">
        <f>IF(H97&gt;Lease!$E$4,0,M96)</f>
        <v>0</v>
      </c>
      <c r="K97" s="42">
        <f>IF(IF(Lease!$H$4="Yearly",J97*Lease!$D$4,IF(Lease!$H$4="Quarterly",J97*(Lease!$D$4/4),J97*Lease!$D$4/12))&gt;0,IF(Lease!$H$4="Yearly",J97*Lease!$D$4,IF(Lease!$H$4="Quarterly",J97*(Lease!$D$4/4),J97*Lease!$D$4/12)),-L97-J97)</f>
        <v>0</v>
      </c>
      <c r="L97" s="42">
        <f t="shared" si="18"/>
        <v>0</v>
      </c>
      <c r="M97" s="42">
        <f t="shared" si="19"/>
        <v>0</v>
      </c>
      <c r="N97" s="55"/>
      <c r="O97" s="13">
        <v>81</v>
      </c>
      <c r="P97" s="56">
        <f t="shared" si="23"/>
        <v>72029</v>
      </c>
      <c r="Q97" s="42">
        <f t="shared" si="24"/>
        <v>0</v>
      </c>
      <c r="R97" s="42">
        <f>IF(S96&lt;1,0,-Lease!$K$4/Lease!$L$4)</f>
        <v>0</v>
      </c>
      <c r="S97" s="42">
        <f t="shared" si="20"/>
        <v>0</v>
      </c>
      <c r="AE97" s="5"/>
      <c r="AF97" s="6"/>
    </row>
    <row r="98" spans="1:32" x14ac:dyDescent="0.25">
      <c r="A98" s="51">
        <f t="shared" si="21"/>
        <v>82</v>
      </c>
      <c r="B98" s="60">
        <f t="shared" si="15"/>
        <v>0</v>
      </c>
      <c r="C98" s="37" t="str">
        <f>IF(D98=0,"-",IF(Lease!$H$4="Yearly",EDATE(C97,12),IF(Lease!$H$4="Quarterly",EDATE(C97,3),EDATE(C97,1))))</f>
        <v>-</v>
      </c>
      <c r="D98" s="52">
        <f>IF(A98&gt;Lease!$E$4,0,Lease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E98" s="14">
        <f>IF(D98=0,0,1/((1+IF(Lease!$H$4="Yearly",Lease!$D$4,IF(Lease!$H$4="Quarterly",Lease!$D$4/4,Lease!$D$4/12)))^IF($E$17=1,A97,A98)))</f>
        <v>0</v>
      </c>
      <c r="F98" s="53">
        <f t="shared" si="16"/>
        <v>0</v>
      </c>
      <c r="G98" s="54"/>
      <c r="H98" s="13">
        <f t="shared" si="22"/>
        <v>82</v>
      </c>
      <c r="I98" s="37" t="str">
        <f t="shared" si="17"/>
        <v>-</v>
      </c>
      <c r="J98" s="42">
        <f>IF(H98&gt;Lease!$E$4,0,M97)</f>
        <v>0</v>
      </c>
      <c r="K98" s="42">
        <f>IF(IF(Lease!$H$4="Yearly",J98*Lease!$D$4,IF(Lease!$H$4="Quarterly",J98*(Lease!$D$4/4),J98*Lease!$D$4/12))&gt;0,IF(Lease!$H$4="Yearly",J98*Lease!$D$4,IF(Lease!$H$4="Quarterly",J98*(Lease!$D$4/4),J98*Lease!$D$4/12)),-L98-J98)</f>
        <v>0</v>
      </c>
      <c r="L98" s="42">
        <f t="shared" si="18"/>
        <v>0</v>
      </c>
      <c r="M98" s="42">
        <f t="shared" si="19"/>
        <v>0</v>
      </c>
      <c r="N98" s="55"/>
      <c r="O98" s="13">
        <v>82</v>
      </c>
      <c r="P98" s="56">
        <f t="shared" si="23"/>
        <v>72394</v>
      </c>
      <c r="Q98" s="42">
        <f t="shared" si="24"/>
        <v>0</v>
      </c>
      <c r="R98" s="42">
        <f>IF(S97&lt;1,0,-Lease!$K$4/Lease!$L$4)</f>
        <v>0</v>
      </c>
      <c r="S98" s="42">
        <f t="shared" si="20"/>
        <v>0</v>
      </c>
      <c r="AE98" s="5"/>
      <c r="AF98" s="6"/>
    </row>
    <row r="99" spans="1:32" x14ac:dyDescent="0.25">
      <c r="A99" s="51">
        <f t="shared" si="21"/>
        <v>83</v>
      </c>
      <c r="B99" s="60">
        <f t="shared" si="15"/>
        <v>0</v>
      </c>
      <c r="C99" s="37" t="str">
        <f>IF(D99=0,"-",IF(Lease!$H$4="Yearly",EDATE(C98,12),IF(Lease!$H$4="Quarterly",EDATE(C98,3),EDATE(C98,1))))</f>
        <v>-</v>
      </c>
      <c r="D99" s="52">
        <f>IF(A99&gt;Lease!$E$4,0,Lease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E99" s="14">
        <f>IF(D99=0,0,1/((1+IF(Lease!$H$4="Yearly",Lease!$D$4,IF(Lease!$H$4="Quarterly",Lease!$D$4/4,Lease!$D$4/12)))^IF($E$17=1,A98,A99)))</f>
        <v>0</v>
      </c>
      <c r="F99" s="53">
        <f t="shared" si="16"/>
        <v>0</v>
      </c>
      <c r="G99" s="54"/>
      <c r="H99" s="13">
        <f t="shared" si="22"/>
        <v>83</v>
      </c>
      <c r="I99" s="37" t="str">
        <f t="shared" si="17"/>
        <v>-</v>
      </c>
      <c r="J99" s="42">
        <f>IF(H99&gt;Lease!$E$4,0,M98)</f>
        <v>0</v>
      </c>
      <c r="K99" s="42">
        <f>IF(IF(Lease!$H$4="Yearly",J99*Lease!$D$4,IF(Lease!$H$4="Quarterly",J99*(Lease!$D$4/4),J99*Lease!$D$4/12))&gt;0,IF(Lease!$H$4="Yearly",J99*Lease!$D$4,IF(Lease!$H$4="Quarterly",J99*(Lease!$D$4/4),J99*Lease!$D$4/12)),-L99-J99)</f>
        <v>0</v>
      </c>
      <c r="L99" s="42">
        <f t="shared" si="18"/>
        <v>0</v>
      </c>
      <c r="M99" s="42">
        <f t="shared" si="19"/>
        <v>0</v>
      </c>
      <c r="N99" s="55"/>
      <c r="O99" s="13">
        <v>83</v>
      </c>
      <c r="P99" s="56">
        <f t="shared" si="23"/>
        <v>72759</v>
      </c>
      <c r="Q99" s="42">
        <f t="shared" si="24"/>
        <v>0</v>
      </c>
      <c r="R99" s="42">
        <f>IF(S98&lt;1,0,-Lease!$K$4/Lease!$L$4)</f>
        <v>0</v>
      </c>
      <c r="S99" s="42">
        <f t="shared" si="20"/>
        <v>0</v>
      </c>
      <c r="AE99" s="5"/>
      <c r="AF99" s="6"/>
    </row>
    <row r="100" spans="1:32" x14ac:dyDescent="0.25">
      <c r="A100" s="51">
        <f t="shared" si="21"/>
        <v>84</v>
      </c>
      <c r="B100" s="60">
        <f t="shared" si="15"/>
        <v>0</v>
      </c>
      <c r="C100" s="37" t="str">
        <f>IF(D100=0,"-",IF(Lease!$H$4="Yearly",EDATE(C99,12),IF(Lease!$H$4="Quarterly",EDATE(C99,3),EDATE(C99,1))))</f>
        <v>-</v>
      </c>
      <c r="D100" s="52">
        <f>IF(A100&gt;Lease!$E$4,0,Lease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E100" s="14">
        <f>IF(D100=0,0,1/((1+IF(Lease!$H$4="Yearly",Lease!$D$4,IF(Lease!$H$4="Quarterly",Lease!$D$4/4,Lease!$D$4/12)))^IF($E$17=1,A99,A100)))</f>
        <v>0</v>
      </c>
      <c r="F100" s="53">
        <f t="shared" si="16"/>
        <v>0</v>
      </c>
      <c r="G100" s="54"/>
      <c r="H100" s="13">
        <f t="shared" si="22"/>
        <v>84</v>
      </c>
      <c r="I100" s="37" t="str">
        <f t="shared" si="17"/>
        <v>-</v>
      </c>
      <c r="J100" s="42">
        <f>IF(H100&gt;Lease!$E$4,0,M99)</f>
        <v>0</v>
      </c>
      <c r="K100" s="42">
        <f>IF(IF(Lease!$H$4="Yearly",J100*Lease!$D$4,IF(Lease!$H$4="Quarterly",J100*(Lease!$D$4/4),J100*Lease!$D$4/12))&gt;0,IF(Lease!$H$4="Yearly",J100*Lease!$D$4,IF(Lease!$H$4="Quarterly",J100*(Lease!$D$4/4),J100*Lease!$D$4/12)),-L100-J100)</f>
        <v>0</v>
      </c>
      <c r="L100" s="42">
        <f t="shared" si="18"/>
        <v>0</v>
      </c>
      <c r="M100" s="42">
        <f t="shared" si="19"/>
        <v>0</v>
      </c>
      <c r="N100" s="55"/>
      <c r="O100" s="13">
        <v>84</v>
      </c>
      <c r="P100" s="56">
        <f t="shared" si="23"/>
        <v>73124</v>
      </c>
      <c r="Q100" s="42">
        <f t="shared" si="24"/>
        <v>0</v>
      </c>
      <c r="R100" s="42">
        <f>IF(S99&lt;1,0,-Lease!$K$4/Lease!$L$4)</f>
        <v>0</v>
      </c>
      <c r="S100" s="42">
        <f t="shared" si="20"/>
        <v>0</v>
      </c>
      <c r="AE100" s="5"/>
      <c r="AF100" s="6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C4">
      <formula1>$AH$5:$AH$6</formula1>
    </dataValidation>
    <dataValidation type="list" allowBlank="1" showInputMessage="1" showErrorMessage="1" sqref="H4">
      <formula1>$AJ$5:$AJ$7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showGridLines="0" workbookViewId="0">
      <selection activeCell="C103" sqref="C103"/>
    </sheetView>
  </sheetViews>
  <sheetFormatPr baseColWidth="10" defaultColWidth="9.140625" defaultRowHeight="15" x14ac:dyDescent="0.25"/>
  <cols>
    <col min="1" max="2" width="15.7109375" customWidth="1"/>
    <col min="3" max="3" width="18.85546875" bestFit="1" customWidth="1"/>
    <col min="4" max="4" width="15.7109375" customWidth="1"/>
    <col min="5" max="5" width="19.42578125" customWidth="1"/>
    <col min="6" max="6" width="15.7109375" customWidth="1"/>
    <col min="7" max="7" width="11.28515625" bestFit="1" customWidth="1"/>
    <col min="8" max="8" width="27.5703125" customWidth="1"/>
    <col min="9" max="9" width="11.5703125" bestFit="1" customWidth="1"/>
    <col min="10" max="10" width="11.28515625" bestFit="1" customWidth="1"/>
    <col min="11" max="11" width="21.5703125" bestFit="1" customWidth="1"/>
    <col min="12" max="12" width="21.5703125" customWidth="1"/>
    <col min="16" max="19" width="10.140625" bestFit="1" customWidth="1"/>
  </cols>
  <sheetData>
    <row r="1" spans="1:20" x14ac:dyDescent="0.25">
      <c r="A1" s="2" t="str">
        <f>Lease!H4</f>
        <v>Yearly</v>
      </c>
      <c r="B1" s="2"/>
      <c r="J1" s="7"/>
    </row>
    <row r="3" spans="1:20" ht="75" x14ac:dyDescent="0.25">
      <c r="A3" s="22" t="s">
        <v>51</v>
      </c>
      <c r="B3" s="22" t="s">
        <v>10</v>
      </c>
      <c r="C3" s="22" t="s">
        <v>53</v>
      </c>
      <c r="D3" s="22" t="s">
        <v>54</v>
      </c>
      <c r="E3" s="23" t="s">
        <v>52</v>
      </c>
      <c r="F3" s="23" t="s">
        <v>55</v>
      </c>
      <c r="G3" s="23" t="s">
        <v>56</v>
      </c>
      <c r="H3" s="23" t="str">
        <f>"Finance charge for first "&amp;F4&amp;"," &amp;F5&amp;" etc days of the month"</f>
        <v>Finance charge for first 17,17 etc days of the month</v>
      </c>
      <c r="I3" s="24" t="s">
        <v>58</v>
      </c>
      <c r="J3" s="24" t="s">
        <v>59</v>
      </c>
      <c r="K3" s="24" t="s">
        <v>57</v>
      </c>
      <c r="S3" t="s">
        <v>93</v>
      </c>
    </row>
    <row r="4" spans="1:20" x14ac:dyDescent="0.25">
      <c r="A4" s="21">
        <f>Lease!B4</f>
        <v>42809</v>
      </c>
      <c r="B4" s="31">
        <f>YEAR(A4)</f>
        <v>2017</v>
      </c>
      <c r="C4" s="9">
        <f t="shared" ref="C4:C67" si="0">EOMONTH(A4,-1)+1</f>
        <v>42795</v>
      </c>
      <c r="D4" s="9">
        <f>EOMONTH(A4,0)</f>
        <v>42825</v>
      </c>
      <c r="E4" s="3">
        <f>D4-C4+1</f>
        <v>31</v>
      </c>
      <c r="F4" s="10">
        <f>D4-A4+1</f>
        <v>17</v>
      </c>
      <c r="G4" s="4"/>
      <c r="H4" s="3">
        <f>G5/E4*F4</f>
        <v>0</v>
      </c>
      <c r="I4" s="9"/>
      <c r="J4" s="20">
        <f t="shared" ref="J4:J67" si="1">A4</f>
        <v>42809</v>
      </c>
      <c r="K4" s="8">
        <f>H4+I4</f>
        <v>0</v>
      </c>
      <c r="L4" s="12"/>
      <c r="R4" s="70">
        <v>43905</v>
      </c>
      <c r="S4" s="70">
        <v>43936</v>
      </c>
      <c r="T4" s="42">
        <v>2465.6363272470626</v>
      </c>
    </row>
    <row r="5" spans="1:20" x14ac:dyDescent="0.25">
      <c r="A5" s="9">
        <f>IF(Lease!$H$4="Monthly",DATE(YEAR(Monthly!A4),MONTH(Monthly!A4)+1,DAY(Monthly!A4)),IF(Lease!$H$4="Quarterly",DATE(YEAR(Monthly!A4),MONTH(Monthly!A4)+3,DAY(Monthly!A4)),DATE(YEAR(Monthly!A4)+1,MONTH(Monthly!A4),DAY(Monthly!A4))))</f>
        <v>43174</v>
      </c>
      <c r="B5" s="31">
        <f t="shared" ref="B5:B68" si="2">YEAR(A5)</f>
        <v>2018</v>
      </c>
      <c r="C5" s="9">
        <f t="shared" si="0"/>
        <v>43160</v>
      </c>
      <c r="D5" s="9">
        <f t="shared" ref="D5:D68" si="3">EOMONTH(A5,0)</f>
        <v>43190</v>
      </c>
      <c r="E5" s="3">
        <f t="shared" ref="E5:E68" si="4">D5-C5+1</f>
        <v>31</v>
      </c>
      <c r="F5" s="10">
        <f t="shared" ref="F5:F68" si="5">D5-A5+1</f>
        <v>17</v>
      </c>
      <c r="G5" s="4">
        <f>Lease!K17</f>
        <v>0</v>
      </c>
      <c r="H5" s="3">
        <f>G6/E5*F5</f>
        <v>39746.130277825752</v>
      </c>
      <c r="I5" s="11">
        <f>G5-H4</f>
        <v>0</v>
      </c>
      <c r="J5" s="20">
        <f t="shared" si="1"/>
        <v>43174</v>
      </c>
      <c r="K5" s="3">
        <f>H5+I5</f>
        <v>39746.130277825752</v>
      </c>
      <c r="Q5" t="s">
        <v>102</v>
      </c>
      <c r="R5" s="70">
        <f>S4</f>
        <v>43936</v>
      </c>
      <c r="S5" s="70">
        <v>43966</v>
      </c>
      <c r="T5" s="42">
        <v>2059.2431452772585</v>
      </c>
    </row>
    <row r="6" spans="1:20" x14ac:dyDescent="0.25">
      <c r="A6" s="9">
        <f>IF(Lease!$H$4="Monthly",DATE(YEAR(Monthly!A5),MONTH(Monthly!A5)+1,DAY(Monthly!A5)),IF(Lease!$H$4="Quarterly",DATE(YEAR(Monthly!A5),MONTH(Monthly!A5)+3,DAY(Monthly!A5)),DATE(YEAR(Monthly!A5)+1,MONTH(Monthly!A5),DAY(Monthly!A5))))</f>
        <v>43539</v>
      </c>
      <c r="B6" s="31">
        <f t="shared" si="2"/>
        <v>2019</v>
      </c>
      <c r="C6" s="9">
        <f t="shared" si="0"/>
        <v>43525</v>
      </c>
      <c r="D6" s="9">
        <f t="shared" si="3"/>
        <v>43555</v>
      </c>
      <c r="E6" s="3">
        <f t="shared" si="4"/>
        <v>31</v>
      </c>
      <c r="F6" s="10">
        <f t="shared" si="5"/>
        <v>17</v>
      </c>
      <c r="G6" s="4">
        <f>Lease!K18</f>
        <v>72478.237565446965</v>
      </c>
      <c r="H6" s="3">
        <f>G7/E6*F6</f>
        <v>38991.501307846069</v>
      </c>
      <c r="I6" s="11">
        <f t="shared" ref="I6:I69" si="6">G6-H5</f>
        <v>32732.107287621213</v>
      </c>
      <c r="J6" s="20">
        <f t="shared" si="1"/>
        <v>43539</v>
      </c>
      <c r="K6" s="3">
        <f t="shared" ref="K6:K69" si="7">H6+I6</f>
        <v>71723.608595467289</v>
      </c>
      <c r="R6" s="70">
        <f>S5</f>
        <v>43966</v>
      </c>
      <c r="S6" s="70">
        <v>43997</v>
      </c>
      <c r="T6" s="42">
        <v>1651.1566583825806</v>
      </c>
    </row>
    <row r="7" spans="1:20" x14ac:dyDescent="0.25">
      <c r="A7" s="9">
        <f>IF(Lease!$H$4="Monthly",DATE(YEAR(Monthly!A6),MONTH(Monthly!A6)+1,DAY(Monthly!A6)),IF(Lease!$H$4="Quarterly",DATE(YEAR(Monthly!A6),MONTH(Monthly!A6)+3,DAY(Monthly!A6)),DATE(YEAR(Monthly!A6)+1,MONTH(Monthly!A6),DAY(Monthly!A6))))</f>
        <v>43905</v>
      </c>
      <c r="B7" s="31">
        <f t="shared" si="2"/>
        <v>2020</v>
      </c>
      <c r="C7" s="9">
        <f t="shared" si="0"/>
        <v>43891</v>
      </c>
      <c r="D7" s="9">
        <f t="shared" si="3"/>
        <v>43921</v>
      </c>
      <c r="E7" s="3">
        <f t="shared" si="4"/>
        <v>31</v>
      </c>
      <c r="F7" s="10">
        <f t="shared" si="5"/>
        <v>17</v>
      </c>
      <c r="G7" s="4">
        <f>Lease!K19</f>
        <v>71102.149443719303</v>
      </c>
      <c r="H7" s="3">
        <f t="shared" ref="H7:H68" si="8">G8/E7*F7</f>
        <v>37924.94734098031</v>
      </c>
      <c r="I7" s="11">
        <f t="shared" si="6"/>
        <v>32110.648135873234</v>
      </c>
      <c r="J7" s="20">
        <f t="shared" si="1"/>
        <v>43905</v>
      </c>
      <c r="K7" s="3">
        <f t="shared" si="7"/>
        <v>70035.595476853545</v>
      </c>
    </row>
    <row r="8" spans="1:20" x14ac:dyDescent="0.25">
      <c r="A8" s="9">
        <f>IF(Lease!$H$4="Monthly",DATE(YEAR(Monthly!A7),MONTH(Monthly!A7)+1,DAY(Monthly!A7)),IF(Lease!$H$4="Quarterly",DATE(YEAR(Monthly!A7),MONTH(Monthly!A7)+3,DAY(Monthly!A7)),DATE(YEAR(Monthly!A7)+1,MONTH(Monthly!A7),DAY(Monthly!A7))))</f>
        <v>44270</v>
      </c>
      <c r="B8" s="31">
        <f t="shared" si="2"/>
        <v>2021</v>
      </c>
      <c r="C8" s="9">
        <f t="shared" si="0"/>
        <v>44256</v>
      </c>
      <c r="D8" s="9">
        <f t="shared" si="3"/>
        <v>44286</v>
      </c>
      <c r="E8" s="3">
        <f t="shared" si="4"/>
        <v>31</v>
      </c>
      <c r="F8" s="10">
        <f t="shared" si="5"/>
        <v>17</v>
      </c>
      <c r="G8" s="4">
        <f>Lease!K20</f>
        <v>69157.256915905265</v>
      </c>
      <c r="H8" s="3">
        <f t="shared" si="8"/>
        <v>36805.065675771264</v>
      </c>
      <c r="I8" s="11">
        <f t="shared" si="6"/>
        <v>31232.309574924955</v>
      </c>
      <c r="J8" s="20">
        <f t="shared" si="1"/>
        <v>44270</v>
      </c>
      <c r="K8" s="3">
        <f t="shared" si="7"/>
        <v>68037.375250696219</v>
      </c>
    </row>
    <row r="9" spans="1:20" x14ac:dyDescent="0.25">
      <c r="A9" s="9">
        <f>IF(Lease!$H$4="Monthly",DATE(YEAR(Monthly!A8),MONTH(Monthly!A8)+1,DAY(Monthly!A8)),IF(Lease!$H$4="Quarterly",DATE(YEAR(Monthly!A8),MONTH(Monthly!A8)+3,DAY(Monthly!A8)),DATE(YEAR(Monthly!A8)+1,MONTH(Monthly!A8),DAY(Monthly!A8))))</f>
        <v>44635</v>
      </c>
      <c r="B9" s="31">
        <f t="shared" si="2"/>
        <v>2022</v>
      </c>
      <c r="C9" s="9">
        <f t="shared" si="0"/>
        <v>44621</v>
      </c>
      <c r="D9" s="9">
        <f t="shared" si="3"/>
        <v>44651</v>
      </c>
      <c r="E9" s="3">
        <f t="shared" si="4"/>
        <v>31</v>
      </c>
      <c r="F9" s="10">
        <f t="shared" si="5"/>
        <v>17</v>
      </c>
      <c r="G9" s="4">
        <f>Lease!K21</f>
        <v>67115.119761700538</v>
      </c>
      <c r="H9" s="3">
        <f t="shared" si="8"/>
        <v>35327.577024075952</v>
      </c>
      <c r="I9" s="11">
        <f t="shared" si="6"/>
        <v>30310.054085929274</v>
      </c>
      <c r="J9" s="20">
        <f t="shared" si="1"/>
        <v>44635</v>
      </c>
      <c r="K9" s="3">
        <f t="shared" si="7"/>
        <v>65637.631110005226</v>
      </c>
    </row>
    <row r="10" spans="1:20" x14ac:dyDescent="0.25">
      <c r="A10" s="9">
        <f>IF(Lease!$H$4="Monthly",DATE(YEAR(Monthly!A9),MONTH(Monthly!A9)+1,DAY(Monthly!A9)),IF(Lease!$H$4="Quarterly",DATE(YEAR(Monthly!A9),MONTH(Monthly!A9)+3,DAY(Monthly!A9)),DATE(YEAR(Monthly!A9)+1,MONTH(Monthly!A9),DAY(Monthly!A9))))</f>
        <v>45000</v>
      </c>
      <c r="B10" s="31">
        <f t="shared" si="2"/>
        <v>2023</v>
      </c>
      <c r="C10" s="9">
        <f t="shared" si="0"/>
        <v>44986</v>
      </c>
      <c r="D10" s="9">
        <f t="shared" si="3"/>
        <v>45016</v>
      </c>
      <c r="E10" s="3">
        <f t="shared" si="4"/>
        <v>31</v>
      </c>
      <c r="F10" s="10">
        <f t="shared" si="5"/>
        <v>17</v>
      </c>
      <c r="G10" s="4">
        <f>Lease!K22</f>
        <v>64420.875749785562</v>
      </c>
      <c r="H10" s="3">
        <f t="shared" si="8"/>
        <v>33776.213939795874</v>
      </c>
      <c r="I10" s="11">
        <f t="shared" si="6"/>
        <v>29093.29872570961</v>
      </c>
      <c r="J10" s="20">
        <f t="shared" si="1"/>
        <v>45000</v>
      </c>
      <c r="K10" s="3">
        <f t="shared" si="7"/>
        <v>62869.512665505485</v>
      </c>
      <c r="R10" s="69">
        <v>43922</v>
      </c>
      <c r="S10" s="69">
        <v>43951</v>
      </c>
    </row>
    <row r="11" spans="1:20" x14ac:dyDescent="0.25">
      <c r="A11" s="9">
        <f>IF(Lease!$H$4="Monthly",DATE(YEAR(Monthly!A10),MONTH(Monthly!A10)+1,DAY(Monthly!A10)),IF(Lease!$H$4="Quarterly",DATE(YEAR(Monthly!A10),MONTH(Monthly!A10)+3,DAY(Monthly!A10)),DATE(YEAR(Monthly!A10)+1,MONTH(Monthly!A10),DAY(Monthly!A10))))</f>
        <v>45366</v>
      </c>
      <c r="B11" s="31">
        <f t="shared" si="2"/>
        <v>2024</v>
      </c>
      <c r="C11" s="9">
        <f t="shared" si="0"/>
        <v>45352</v>
      </c>
      <c r="D11" s="9">
        <f t="shared" si="3"/>
        <v>45382</v>
      </c>
      <c r="E11" s="3">
        <f t="shared" si="4"/>
        <v>31</v>
      </c>
      <c r="F11" s="10">
        <f t="shared" si="5"/>
        <v>17</v>
      </c>
      <c r="G11" s="4">
        <f>Lease!K23</f>
        <v>61591.919537274836</v>
      </c>
      <c r="H11" s="3">
        <f t="shared" si="8"/>
        <v>31815.508507753413</v>
      </c>
      <c r="I11" s="11">
        <f t="shared" si="6"/>
        <v>27815.705597478962</v>
      </c>
      <c r="J11" s="20">
        <f t="shared" si="1"/>
        <v>45366</v>
      </c>
      <c r="K11" s="3">
        <f t="shared" si="7"/>
        <v>59631.214105232371</v>
      </c>
      <c r="R11" s="69">
        <v>43952</v>
      </c>
      <c r="S11" s="69">
        <v>43981</v>
      </c>
    </row>
    <row r="12" spans="1:20" x14ac:dyDescent="0.25">
      <c r="A12" s="9">
        <f>IF(Lease!$H$4="Monthly",DATE(YEAR(Monthly!A11),MONTH(Monthly!A11)+1,DAY(Monthly!A11)),IF(Lease!$H$4="Quarterly",DATE(YEAR(Monthly!A11),MONTH(Monthly!A11)+3,DAY(Monthly!A11)),DATE(YEAR(Monthly!A11)+1,MONTH(Monthly!A11),DAY(Monthly!A11))))</f>
        <v>45731</v>
      </c>
      <c r="B12" s="31">
        <f t="shared" si="2"/>
        <v>2025</v>
      </c>
      <c r="C12" s="9">
        <f t="shared" si="0"/>
        <v>45717</v>
      </c>
      <c r="D12" s="9">
        <f t="shared" si="3"/>
        <v>45747</v>
      </c>
      <c r="E12" s="3">
        <f t="shared" si="4"/>
        <v>31</v>
      </c>
      <c r="F12" s="10">
        <f t="shared" si="5"/>
        <v>17</v>
      </c>
      <c r="G12" s="4">
        <f>Lease!K24</f>
        <v>58016.515514138577</v>
      </c>
      <c r="H12" s="3">
        <f t="shared" si="8"/>
        <v>29756.767804108826</v>
      </c>
      <c r="I12" s="11">
        <f t="shared" si="6"/>
        <v>26201.007006385164</v>
      </c>
      <c r="J12" s="20">
        <f t="shared" si="1"/>
        <v>45731</v>
      </c>
      <c r="K12" s="3">
        <f t="shared" si="7"/>
        <v>55957.774810493989</v>
      </c>
    </row>
    <row r="13" spans="1:20" x14ac:dyDescent="0.25">
      <c r="A13" s="9">
        <f>IF(Lease!$H$4="Monthly",DATE(YEAR(Monthly!A12),MONTH(Monthly!A12)+1,DAY(Monthly!A12)),IF(Lease!$H$4="Quarterly",DATE(YEAR(Monthly!A12),MONTH(Monthly!A12)+3,DAY(Monthly!A12)),DATE(YEAR(Monthly!A12)+1,MONTH(Monthly!A12),DAY(Monthly!A12))))</f>
        <v>46096</v>
      </c>
      <c r="B13" s="31">
        <f t="shared" si="2"/>
        <v>2026</v>
      </c>
      <c r="C13" s="9">
        <f t="shared" si="0"/>
        <v>46082</v>
      </c>
      <c r="D13" s="9">
        <f t="shared" si="3"/>
        <v>46112</v>
      </c>
      <c r="E13" s="3">
        <f t="shared" si="4"/>
        <v>31</v>
      </c>
      <c r="F13" s="10">
        <f t="shared" si="5"/>
        <v>17</v>
      </c>
      <c r="G13" s="4">
        <f>Lease!K25</f>
        <v>54262.341289845506</v>
      </c>
      <c r="H13" s="3">
        <f t="shared" si="8"/>
        <v>27230.138452378782</v>
      </c>
      <c r="I13" s="11">
        <f t="shared" si="6"/>
        <v>24505.573485736681</v>
      </c>
      <c r="J13" s="20">
        <f t="shared" si="1"/>
        <v>46096</v>
      </c>
      <c r="K13" s="3">
        <f t="shared" si="7"/>
        <v>51735.711938115463</v>
      </c>
    </row>
    <row r="14" spans="1:20" x14ac:dyDescent="0.25">
      <c r="A14" s="9">
        <f>IF(Lease!$H$4="Monthly",DATE(YEAR(Monthly!A13),MONTH(Monthly!A13)+1,DAY(Monthly!A13)),IF(Lease!$H$4="Quarterly",DATE(YEAR(Monthly!A13),MONTH(Monthly!A13)+3,DAY(Monthly!A13)),DATE(YEAR(Monthly!A13)+1,MONTH(Monthly!A13),DAY(Monthly!A13))))</f>
        <v>46461</v>
      </c>
      <c r="B14" s="31">
        <f t="shared" si="2"/>
        <v>2027</v>
      </c>
      <c r="C14" s="9">
        <f t="shared" si="0"/>
        <v>46447</v>
      </c>
      <c r="D14" s="9">
        <f t="shared" si="3"/>
        <v>46477</v>
      </c>
      <c r="E14" s="3">
        <f t="shared" si="4"/>
        <v>31</v>
      </c>
      <c r="F14" s="10">
        <f t="shared" si="5"/>
        <v>17</v>
      </c>
      <c r="G14" s="4">
        <f>Lease!K26</f>
        <v>49654.958354337781</v>
      </c>
      <c r="H14" s="3">
        <f t="shared" si="8"/>
        <v>24577.177633062242</v>
      </c>
      <c r="I14" s="11">
        <f t="shared" si="6"/>
        <v>22424.819901958999</v>
      </c>
      <c r="J14" s="20">
        <f t="shared" si="1"/>
        <v>46461</v>
      </c>
      <c r="K14" s="3">
        <f t="shared" si="7"/>
        <v>47001.997535021241</v>
      </c>
    </row>
    <row r="15" spans="1:20" x14ac:dyDescent="0.25">
      <c r="A15" s="9">
        <f>IF(Lease!$H$4="Monthly",DATE(YEAR(Monthly!A14),MONTH(Monthly!A14)+1,DAY(Monthly!A14)),IF(Lease!$H$4="Quarterly",DATE(YEAR(Monthly!A14),MONTH(Monthly!A14)+3,DAY(Monthly!A14)),DATE(YEAR(Monthly!A14)+1,MONTH(Monthly!A14),DAY(Monthly!A14))))</f>
        <v>46827</v>
      </c>
      <c r="B15" s="31">
        <f t="shared" si="2"/>
        <v>2028</v>
      </c>
      <c r="C15" s="9">
        <f t="shared" si="0"/>
        <v>46813</v>
      </c>
      <c r="D15" s="9">
        <f t="shared" si="3"/>
        <v>46843</v>
      </c>
      <c r="E15" s="3">
        <f t="shared" si="4"/>
        <v>31</v>
      </c>
      <c r="F15" s="10">
        <f t="shared" si="5"/>
        <v>17</v>
      </c>
      <c r="G15" s="4">
        <f>Lease!K27</f>
        <v>44817.206272054675</v>
      </c>
      <c r="H15" s="3">
        <f t="shared" si="8"/>
        <v>21390.121998586321</v>
      </c>
      <c r="I15" s="11">
        <f t="shared" si="6"/>
        <v>20240.028638992433</v>
      </c>
      <c r="J15" s="20">
        <f t="shared" si="1"/>
        <v>46827</v>
      </c>
      <c r="K15" s="3">
        <f t="shared" si="7"/>
        <v>41630.150637578758</v>
      </c>
    </row>
    <row r="16" spans="1:20" x14ac:dyDescent="0.25">
      <c r="A16" s="9">
        <f>IF(Lease!$H$4="Monthly",DATE(YEAR(Monthly!A15),MONTH(Monthly!A15)+1,DAY(Monthly!A15)),IF(Lease!$H$4="Quarterly",DATE(YEAR(Monthly!A15),MONTH(Monthly!A15)+3,DAY(Monthly!A15)),DATE(YEAR(Monthly!A15)+1,MONTH(Monthly!A15),DAY(Monthly!A15))))</f>
        <v>47192</v>
      </c>
      <c r="B16" s="31">
        <f t="shared" si="2"/>
        <v>2029</v>
      </c>
      <c r="C16" s="9">
        <f t="shared" si="0"/>
        <v>47178</v>
      </c>
      <c r="D16" s="9">
        <f t="shared" si="3"/>
        <v>47208</v>
      </c>
      <c r="E16" s="3">
        <f t="shared" si="4"/>
        <v>31</v>
      </c>
      <c r="F16" s="10">
        <f t="shared" si="5"/>
        <v>17</v>
      </c>
      <c r="G16" s="4">
        <f>Lease!K28</f>
        <v>39005.516585657409</v>
      </c>
      <c r="H16" s="3">
        <f t="shared" si="8"/>
        <v>18043.713582386605</v>
      </c>
      <c r="I16" s="11">
        <f t="shared" si="6"/>
        <v>17615.394587071089</v>
      </c>
      <c r="J16" s="20">
        <f t="shared" si="1"/>
        <v>47192</v>
      </c>
      <c r="K16" s="3">
        <f t="shared" si="7"/>
        <v>35659.108169457693</v>
      </c>
    </row>
    <row r="17" spans="1:11" x14ac:dyDescent="0.25">
      <c r="A17" s="9">
        <f>IF(Lease!$H$4="Monthly",DATE(YEAR(Monthly!A16),MONTH(Monthly!A16)+1,DAY(Monthly!A16)),IF(Lease!$H$4="Quarterly",DATE(YEAR(Monthly!A16),MONTH(Monthly!A16)+3,DAY(Monthly!A16)),DATE(YEAR(Monthly!A16)+1,MONTH(Monthly!A16),DAY(Monthly!A16))))</f>
        <v>47557</v>
      </c>
      <c r="B17" s="31">
        <f t="shared" si="2"/>
        <v>2030</v>
      </c>
      <c r="C17" s="9">
        <f t="shared" si="0"/>
        <v>47543</v>
      </c>
      <c r="D17" s="9">
        <f t="shared" si="3"/>
        <v>47573</v>
      </c>
      <c r="E17" s="3">
        <f t="shared" si="4"/>
        <v>31</v>
      </c>
      <c r="F17" s="10">
        <f t="shared" si="5"/>
        <v>17</v>
      </c>
      <c r="G17" s="4">
        <f>Lease!K29</f>
        <v>32903.24241494028</v>
      </c>
      <c r="H17" s="3">
        <f t="shared" si="8"/>
        <v>14088.393293763997</v>
      </c>
      <c r="I17" s="11">
        <f t="shared" si="6"/>
        <v>14859.528832553675</v>
      </c>
      <c r="J17" s="20">
        <f t="shared" si="1"/>
        <v>47557</v>
      </c>
      <c r="K17" s="3">
        <f t="shared" si="7"/>
        <v>28947.922126317673</v>
      </c>
    </row>
    <row r="18" spans="1:11" x14ac:dyDescent="0.25">
      <c r="A18" s="9">
        <f>IF(Lease!$H$4="Monthly",DATE(YEAR(Monthly!A17),MONTH(Monthly!A17)+1,DAY(Monthly!A17)),IF(Lease!$H$4="Quarterly",DATE(YEAR(Monthly!A17),MONTH(Monthly!A17)+3,DAY(Monthly!A17)),DATE(YEAR(Monthly!A17)+1,MONTH(Monthly!A17),DAY(Monthly!A17))))</f>
        <v>47922</v>
      </c>
      <c r="B18" s="31">
        <f t="shared" si="2"/>
        <v>2031</v>
      </c>
      <c r="C18" s="9">
        <f t="shared" si="0"/>
        <v>47908</v>
      </c>
      <c r="D18" s="9">
        <f t="shared" si="3"/>
        <v>47938</v>
      </c>
      <c r="E18" s="3">
        <f t="shared" si="4"/>
        <v>31</v>
      </c>
      <c r="F18" s="10">
        <f t="shared" si="5"/>
        <v>17</v>
      </c>
      <c r="G18" s="4">
        <f>Lease!K30</f>
        <v>25690.599535687288</v>
      </c>
      <c r="H18" s="3">
        <f t="shared" si="8"/>
        <v>9935.3069907102563</v>
      </c>
      <c r="I18" s="11">
        <f t="shared" si="6"/>
        <v>11602.206241923292</v>
      </c>
      <c r="J18" s="20">
        <f t="shared" si="1"/>
        <v>47922</v>
      </c>
      <c r="K18" s="3">
        <f t="shared" si="7"/>
        <v>21537.513232633548</v>
      </c>
    </row>
    <row r="19" spans="1:11" x14ac:dyDescent="0.25">
      <c r="A19" s="9">
        <f>IF(Lease!$H$4="Monthly",DATE(YEAR(Monthly!A18),MONTH(Monthly!A18)+1,DAY(Monthly!A18)),IF(Lease!$H$4="Quarterly",DATE(YEAR(Monthly!A18),MONTH(Monthly!A18)+3,DAY(Monthly!A18)),DATE(YEAR(Monthly!A18)+1,MONTH(Monthly!A18),DAY(Monthly!A18))))</f>
        <v>48288</v>
      </c>
      <c r="B19" s="31">
        <f t="shared" si="2"/>
        <v>2032</v>
      </c>
      <c r="C19" s="9">
        <f t="shared" si="0"/>
        <v>48274</v>
      </c>
      <c r="D19" s="9">
        <f t="shared" si="3"/>
        <v>48304</v>
      </c>
      <c r="E19" s="3">
        <f t="shared" si="4"/>
        <v>31</v>
      </c>
      <c r="F19" s="10">
        <f t="shared" si="5"/>
        <v>17</v>
      </c>
      <c r="G19" s="4">
        <f>Lease!K31</f>
        <v>18117.324512471645</v>
      </c>
      <c r="H19" s="3">
        <f t="shared" si="8"/>
        <v>5088.8157757296367</v>
      </c>
      <c r="I19" s="11">
        <f t="shared" si="6"/>
        <v>8182.0175217613887</v>
      </c>
      <c r="J19" s="20">
        <f t="shared" si="1"/>
        <v>48288</v>
      </c>
      <c r="K19" s="3">
        <f t="shared" si="7"/>
        <v>13270.833297491026</v>
      </c>
    </row>
    <row r="20" spans="1:11" x14ac:dyDescent="0.25">
      <c r="A20" s="9">
        <f>IF(Lease!$H$4="Monthly",DATE(YEAR(Monthly!A19),MONTH(Monthly!A19)+1,DAY(Monthly!A19)),IF(Lease!$H$4="Quarterly",DATE(YEAR(Monthly!A19),MONTH(Monthly!A19)+3,DAY(Monthly!A19)),DATE(YEAR(Monthly!A19)+1,MONTH(Monthly!A19),DAY(Monthly!A19))))</f>
        <v>48653</v>
      </c>
      <c r="B20" s="31">
        <f t="shared" si="2"/>
        <v>2033</v>
      </c>
      <c r="C20" s="9">
        <f t="shared" si="0"/>
        <v>48639</v>
      </c>
      <c r="D20" s="9">
        <f t="shared" si="3"/>
        <v>48669</v>
      </c>
      <c r="E20" s="3">
        <f t="shared" si="4"/>
        <v>31</v>
      </c>
      <c r="F20" s="10">
        <f t="shared" si="5"/>
        <v>17</v>
      </c>
      <c r="G20" s="4">
        <f>Lease!K32</f>
        <v>9279.6052380952187</v>
      </c>
      <c r="H20" s="3">
        <f t="shared" si="8"/>
        <v>0</v>
      </c>
      <c r="I20" s="11">
        <f t="shared" si="6"/>
        <v>4190.789462365582</v>
      </c>
      <c r="J20" s="20">
        <f t="shared" si="1"/>
        <v>48653</v>
      </c>
      <c r="K20" s="3">
        <f t="shared" si="7"/>
        <v>4190.789462365582</v>
      </c>
    </row>
    <row r="21" spans="1:11" x14ac:dyDescent="0.25">
      <c r="A21" s="9">
        <f>IF(Lease!$H$4="Monthly",DATE(YEAR(Monthly!A20),MONTH(Monthly!A20)+1,DAY(Monthly!A20)),IF(Lease!$H$4="Quarterly",DATE(YEAR(Monthly!A20),MONTH(Monthly!A20)+3,DAY(Monthly!A20)),DATE(YEAR(Monthly!A20)+1,MONTH(Monthly!A20),DAY(Monthly!A20))))</f>
        <v>49018</v>
      </c>
      <c r="B21" s="31">
        <f t="shared" si="2"/>
        <v>2034</v>
      </c>
      <c r="C21" s="9">
        <f t="shared" si="0"/>
        <v>49004</v>
      </c>
      <c r="D21" s="9">
        <f t="shared" si="3"/>
        <v>49034</v>
      </c>
      <c r="E21" s="3">
        <f t="shared" si="4"/>
        <v>31</v>
      </c>
      <c r="F21" s="10">
        <f t="shared" si="5"/>
        <v>17</v>
      </c>
      <c r="G21" s="4">
        <f>Lease!K33</f>
        <v>0</v>
      </c>
      <c r="H21" s="3">
        <f t="shared" si="8"/>
        <v>0</v>
      </c>
      <c r="I21" s="11">
        <f t="shared" si="6"/>
        <v>0</v>
      </c>
      <c r="J21" s="20">
        <f t="shared" si="1"/>
        <v>49018</v>
      </c>
      <c r="K21" s="3">
        <f t="shared" si="7"/>
        <v>0</v>
      </c>
    </row>
    <row r="22" spans="1:11" x14ac:dyDescent="0.25">
      <c r="A22" s="9">
        <f>IF(Lease!$H$4="Monthly",DATE(YEAR(Monthly!A21),MONTH(Monthly!A21)+1,DAY(Monthly!A21)),IF(Lease!$H$4="Quarterly",DATE(YEAR(Monthly!A21),MONTH(Monthly!A21)+3,DAY(Monthly!A21)),DATE(YEAR(Monthly!A21)+1,MONTH(Monthly!A21),DAY(Monthly!A21))))</f>
        <v>49383</v>
      </c>
      <c r="B22" s="31">
        <f t="shared" si="2"/>
        <v>2035</v>
      </c>
      <c r="C22" s="9">
        <f t="shared" si="0"/>
        <v>49369</v>
      </c>
      <c r="D22" s="9">
        <f t="shared" si="3"/>
        <v>49399</v>
      </c>
      <c r="E22" s="3">
        <f t="shared" si="4"/>
        <v>31</v>
      </c>
      <c r="F22" s="10">
        <f t="shared" si="5"/>
        <v>17</v>
      </c>
      <c r="G22" s="4">
        <f>Lease!K34</f>
        <v>0</v>
      </c>
      <c r="H22" s="3">
        <f t="shared" si="8"/>
        <v>0</v>
      </c>
      <c r="I22" s="11">
        <f t="shared" si="6"/>
        <v>0</v>
      </c>
      <c r="J22" s="20">
        <f t="shared" si="1"/>
        <v>49383</v>
      </c>
      <c r="K22" s="3">
        <f t="shared" si="7"/>
        <v>0</v>
      </c>
    </row>
    <row r="23" spans="1:11" x14ac:dyDescent="0.25">
      <c r="A23" s="9">
        <f>IF(Lease!$H$4="Monthly",DATE(YEAR(Monthly!A22),MONTH(Monthly!A22)+1,DAY(Monthly!A22)),IF(Lease!$H$4="Quarterly",DATE(YEAR(Monthly!A22),MONTH(Monthly!A22)+3,DAY(Monthly!A22)),DATE(YEAR(Monthly!A22)+1,MONTH(Monthly!A22),DAY(Monthly!A22))))</f>
        <v>49749</v>
      </c>
      <c r="B23" s="31">
        <f t="shared" si="2"/>
        <v>2036</v>
      </c>
      <c r="C23" s="9">
        <f t="shared" si="0"/>
        <v>49735</v>
      </c>
      <c r="D23" s="9">
        <f t="shared" si="3"/>
        <v>49765</v>
      </c>
      <c r="E23" s="3">
        <f t="shared" si="4"/>
        <v>31</v>
      </c>
      <c r="F23" s="10">
        <f t="shared" si="5"/>
        <v>17</v>
      </c>
      <c r="G23" s="4">
        <f>Lease!K35</f>
        <v>0</v>
      </c>
      <c r="H23" s="3">
        <f t="shared" si="8"/>
        <v>0</v>
      </c>
      <c r="I23" s="11">
        <f t="shared" si="6"/>
        <v>0</v>
      </c>
      <c r="J23" s="20">
        <f t="shared" si="1"/>
        <v>49749</v>
      </c>
      <c r="K23" s="3">
        <f t="shared" si="7"/>
        <v>0</v>
      </c>
    </row>
    <row r="24" spans="1:11" x14ac:dyDescent="0.25">
      <c r="A24" s="9">
        <f>IF(Lease!$H$4="Monthly",DATE(YEAR(Monthly!A23),MONTH(Monthly!A23)+1,DAY(Monthly!A23)),IF(Lease!$H$4="Quarterly",DATE(YEAR(Monthly!A23),MONTH(Monthly!A23)+3,DAY(Monthly!A23)),DATE(YEAR(Monthly!A23)+1,MONTH(Monthly!A23),DAY(Monthly!A23))))</f>
        <v>50114</v>
      </c>
      <c r="B24" s="31">
        <f t="shared" si="2"/>
        <v>2037</v>
      </c>
      <c r="C24" s="9">
        <f t="shared" si="0"/>
        <v>50100</v>
      </c>
      <c r="D24" s="9">
        <f t="shared" si="3"/>
        <v>50130</v>
      </c>
      <c r="E24" s="3">
        <f t="shared" si="4"/>
        <v>31</v>
      </c>
      <c r="F24" s="10">
        <f t="shared" si="5"/>
        <v>17</v>
      </c>
      <c r="G24" s="4">
        <f>Lease!K36</f>
        <v>0</v>
      </c>
      <c r="H24" s="3">
        <f t="shared" si="8"/>
        <v>0</v>
      </c>
      <c r="I24" s="11">
        <f t="shared" si="6"/>
        <v>0</v>
      </c>
      <c r="J24" s="20">
        <f t="shared" si="1"/>
        <v>50114</v>
      </c>
      <c r="K24" s="3">
        <f t="shared" si="7"/>
        <v>0</v>
      </c>
    </row>
    <row r="25" spans="1:11" x14ac:dyDescent="0.25">
      <c r="A25" s="9">
        <f>IF(Lease!$H$4="Monthly",DATE(YEAR(Monthly!A24),MONTH(Monthly!A24)+1,DAY(Monthly!A24)),IF(Lease!$H$4="Quarterly",DATE(YEAR(Monthly!A24),MONTH(Monthly!A24)+3,DAY(Monthly!A24)),DATE(YEAR(Monthly!A24)+1,MONTH(Monthly!A24),DAY(Monthly!A24))))</f>
        <v>50479</v>
      </c>
      <c r="B25" s="31">
        <f t="shared" si="2"/>
        <v>2038</v>
      </c>
      <c r="C25" s="9">
        <f t="shared" si="0"/>
        <v>50465</v>
      </c>
      <c r="D25" s="9">
        <f t="shared" si="3"/>
        <v>50495</v>
      </c>
      <c r="E25" s="3">
        <f t="shared" si="4"/>
        <v>31</v>
      </c>
      <c r="F25" s="10">
        <f t="shared" si="5"/>
        <v>17</v>
      </c>
      <c r="G25" s="4">
        <f>Lease!K37</f>
        <v>0</v>
      </c>
      <c r="H25" s="3">
        <f t="shared" si="8"/>
        <v>0</v>
      </c>
      <c r="I25" s="11">
        <f t="shared" si="6"/>
        <v>0</v>
      </c>
      <c r="J25" s="20">
        <f t="shared" si="1"/>
        <v>50479</v>
      </c>
      <c r="K25" s="3">
        <f t="shared" si="7"/>
        <v>0</v>
      </c>
    </row>
    <row r="26" spans="1:11" x14ac:dyDescent="0.25">
      <c r="A26" s="9">
        <f>IF(Lease!$H$4="Monthly",DATE(YEAR(Monthly!A25),MONTH(Monthly!A25)+1,DAY(Monthly!A25)),IF(Lease!$H$4="Quarterly",DATE(YEAR(Monthly!A25),MONTH(Monthly!A25)+3,DAY(Monthly!A25)),DATE(YEAR(Monthly!A25)+1,MONTH(Monthly!A25),DAY(Monthly!A25))))</f>
        <v>50844</v>
      </c>
      <c r="B26" s="31">
        <f t="shared" si="2"/>
        <v>2039</v>
      </c>
      <c r="C26" s="9">
        <f t="shared" si="0"/>
        <v>50830</v>
      </c>
      <c r="D26" s="9">
        <f t="shared" si="3"/>
        <v>50860</v>
      </c>
      <c r="E26" s="3">
        <f t="shared" si="4"/>
        <v>31</v>
      </c>
      <c r="F26" s="10">
        <f t="shared" si="5"/>
        <v>17</v>
      </c>
      <c r="G26" s="4">
        <f>Lease!K38</f>
        <v>0</v>
      </c>
      <c r="H26" s="3">
        <f t="shared" si="8"/>
        <v>0</v>
      </c>
      <c r="I26" s="11">
        <f t="shared" si="6"/>
        <v>0</v>
      </c>
      <c r="J26" s="20">
        <f t="shared" si="1"/>
        <v>50844</v>
      </c>
      <c r="K26" s="3">
        <f t="shared" si="7"/>
        <v>0</v>
      </c>
    </row>
    <row r="27" spans="1:11" x14ac:dyDescent="0.25">
      <c r="A27" s="9">
        <f>IF(Lease!$H$4="Monthly",DATE(YEAR(Monthly!A26),MONTH(Monthly!A26)+1,DAY(Monthly!A26)),IF(Lease!$H$4="Quarterly",DATE(YEAR(Monthly!A26),MONTH(Monthly!A26)+3,DAY(Monthly!A26)),DATE(YEAR(Monthly!A26)+1,MONTH(Monthly!A26),DAY(Monthly!A26))))</f>
        <v>51210</v>
      </c>
      <c r="B27" s="31">
        <f t="shared" si="2"/>
        <v>2040</v>
      </c>
      <c r="C27" s="9">
        <f t="shared" si="0"/>
        <v>51196</v>
      </c>
      <c r="D27" s="9">
        <f t="shared" si="3"/>
        <v>51226</v>
      </c>
      <c r="E27" s="3">
        <f t="shared" si="4"/>
        <v>31</v>
      </c>
      <c r="F27" s="10">
        <f t="shared" si="5"/>
        <v>17</v>
      </c>
      <c r="G27" s="4">
        <f>Lease!K39</f>
        <v>0</v>
      </c>
      <c r="H27" s="3">
        <f t="shared" si="8"/>
        <v>0</v>
      </c>
      <c r="I27" s="11">
        <f t="shared" si="6"/>
        <v>0</v>
      </c>
      <c r="J27" s="20">
        <f t="shared" si="1"/>
        <v>51210</v>
      </c>
      <c r="K27" s="3">
        <f t="shared" si="7"/>
        <v>0</v>
      </c>
    </row>
    <row r="28" spans="1:11" x14ac:dyDescent="0.25">
      <c r="A28" s="9">
        <f>IF(Lease!$H$4="Monthly",DATE(YEAR(Monthly!A27),MONTH(Monthly!A27)+1,DAY(Monthly!A27)),IF(Lease!$H$4="Quarterly",DATE(YEAR(Monthly!A27),MONTH(Monthly!A27)+3,DAY(Monthly!A27)),DATE(YEAR(Monthly!A27)+1,MONTH(Monthly!A27),DAY(Monthly!A27))))</f>
        <v>51575</v>
      </c>
      <c r="B28" s="31">
        <f t="shared" si="2"/>
        <v>2041</v>
      </c>
      <c r="C28" s="9">
        <f t="shared" si="0"/>
        <v>51561</v>
      </c>
      <c r="D28" s="9">
        <f t="shared" si="3"/>
        <v>51591</v>
      </c>
      <c r="E28" s="3">
        <f t="shared" si="4"/>
        <v>31</v>
      </c>
      <c r="F28" s="10">
        <f t="shared" si="5"/>
        <v>17</v>
      </c>
      <c r="G28" s="4">
        <f>Lease!K40</f>
        <v>0</v>
      </c>
      <c r="H28" s="3">
        <f t="shared" si="8"/>
        <v>0</v>
      </c>
      <c r="I28" s="11">
        <f t="shared" si="6"/>
        <v>0</v>
      </c>
      <c r="J28" s="20">
        <f t="shared" si="1"/>
        <v>51575</v>
      </c>
      <c r="K28" s="3">
        <f t="shared" si="7"/>
        <v>0</v>
      </c>
    </row>
    <row r="29" spans="1:11" x14ac:dyDescent="0.25">
      <c r="A29" s="9">
        <f>IF(Lease!$H$4="Monthly",DATE(YEAR(Monthly!A28),MONTH(Monthly!A28)+1,DAY(Monthly!A28)),IF(Lease!$H$4="Quarterly",DATE(YEAR(Monthly!A28),MONTH(Monthly!A28)+3,DAY(Monthly!A28)),DATE(YEAR(Monthly!A28)+1,MONTH(Monthly!A28),DAY(Monthly!A28))))</f>
        <v>51940</v>
      </c>
      <c r="B29" s="31">
        <f t="shared" si="2"/>
        <v>2042</v>
      </c>
      <c r="C29" s="9">
        <f t="shared" si="0"/>
        <v>51926</v>
      </c>
      <c r="D29" s="9">
        <f t="shared" si="3"/>
        <v>51956</v>
      </c>
      <c r="E29" s="3">
        <f t="shared" si="4"/>
        <v>31</v>
      </c>
      <c r="F29" s="10">
        <f t="shared" si="5"/>
        <v>17</v>
      </c>
      <c r="G29" s="4">
        <f>Lease!K41</f>
        <v>0</v>
      </c>
      <c r="H29" s="3">
        <f t="shared" si="8"/>
        <v>0</v>
      </c>
      <c r="I29" s="11">
        <f t="shared" si="6"/>
        <v>0</v>
      </c>
      <c r="J29" s="20">
        <f t="shared" si="1"/>
        <v>51940</v>
      </c>
      <c r="K29" s="3">
        <f t="shared" si="7"/>
        <v>0</v>
      </c>
    </row>
    <row r="30" spans="1:11" x14ac:dyDescent="0.25">
      <c r="A30" s="9">
        <f>IF(Lease!$H$4="Monthly",DATE(YEAR(Monthly!A29),MONTH(Monthly!A29)+1,DAY(Monthly!A29)),IF(Lease!$H$4="Quarterly",DATE(YEAR(Monthly!A29),MONTH(Monthly!A29)+3,DAY(Monthly!A29)),DATE(YEAR(Monthly!A29)+1,MONTH(Monthly!A29),DAY(Monthly!A29))))</f>
        <v>52305</v>
      </c>
      <c r="B30" s="31">
        <f t="shared" si="2"/>
        <v>2043</v>
      </c>
      <c r="C30" s="9">
        <f t="shared" si="0"/>
        <v>52291</v>
      </c>
      <c r="D30" s="9">
        <f t="shared" si="3"/>
        <v>52321</v>
      </c>
      <c r="E30" s="3">
        <f t="shared" si="4"/>
        <v>31</v>
      </c>
      <c r="F30" s="10">
        <f t="shared" si="5"/>
        <v>17</v>
      </c>
      <c r="G30" s="4">
        <f>Lease!K42</f>
        <v>0</v>
      </c>
      <c r="H30" s="3">
        <f t="shared" si="8"/>
        <v>0</v>
      </c>
      <c r="I30" s="11">
        <f t="shared" si="6"/>
        <v>0</v>
      </c>
      <c r="J30" s="20">
        <f t="shared" si="1"/>
        <v>52305</v>
      </c>
      <c r="K30" s="3">
        <f t="shared" si="7"/>
        <v>0</v>
      </c>
    </row>
    <row r="31" spans="1:11" x14ac:dyDescent="0.25">
      <c r="A31" s="9">
        <f>IF(Lease!$H$4="Monthly",DATE(YEAR(Monthly!A30),MONTH(Monthly!A30)+1,DAY(Monthly!A30)),IF(Lease!$H$4="Quarterly",DATE(YEAR(Monthly!A30),MONTH(Monthly!A30)+3,DAY(Monthly!A30)),DATE(YEAR(Monthly!A30)+1,MONTH(Monthly!A30),DAY(Monthly!A30))))</f>
        <v>52671</v>
      </c>
      <c r="B31" s="31">
        <f t="shared" si="2"/>
        <v>2044</v>
      </c>
      <c r="C31" s="9">
        <f t="shared" si="0"/>
        <v>52657</v>
      </c>
      <c r="D31" s="9">
        <f t="shared" si="3"/>
        <v>52687</v>
      </c>
      <c r="E31" s="3">
        <f t="shared" si="4"/>
        <v>31</v>
      </c>
      <c r="F31" s="10">
        <f t="shared" si="5"/>
        <v>17</v>
      </c>
      <c r="G31" s="4">
        <f>Lease!K43</f>
        <v>0</v>
      </c>
      <c r="H31" s="3">
        <f t="shared" si="8"/>
        <v>0</v>
      </c>
      <c r="I31" s="11">
        <f t="shared" si="6"/>
        <v>0</v>
      </c>
      <c r="J31" s="20">
        <f t="shared" si="1"/>
        <v>52671</v>
      </c>
      <c r="K31" s="3">
        <f t="shared" si="7"/>
        <v>0</v>
      </c>
    </row>
    <row r="32" spans="1:11" x14ac:dyDescent="0.25">
      <c r="A32" s="9">
        <f>IF(Lease!$H$4="Monthly",DATE(YEAR(Monthly!A31),MONTH(Monthly!A31)+1,DAY(Monthly!A31)),IF(Lease!$H$4="Quarterly",DATE(YEAR(Monthly!A31),MONTH(Monthly!A31)+3,DAY(Monthly!A31)),DATE(YEAR(Monthly!A31)+1,MONTH(Monthly!A31),DAY(Monthly!A31))))</f>
        <v>53036</v>
      </c>
      <c r="B32" s="31">
        <f t="shared" si="2"/>
        <v>2045</v>
      </c>
      <c r="C32" s="9">
        <f t="shared" si="0"/>
        <v>53022</v>
      </c>
      <c r="D32" s="9">
        <f t="shared" si="3"/>
        <v>53052</v>
      </c>
      <c r="E32" s="3">
        <f t="shared" si="4"/>
        <v>31</v>
      </c>
      <c r="F32" s="10">
        <f t="shared" si="5"/>
        <v>17</v>
      </c>
      <c r="G32" s="4">
        <f>Lease!K44</f>
        <v>0</v>
      </c>
      <c r="H32" s="3">
        <f t="shared" si="8"/>
        <v>0</v>
      </c>
      <c r="I32" s="11">
        <f t="shared" si="6"/>
        <v>0</v>
      </c>
      <c r="J32" s="20">
        <f t="shared" si="1"/>
        <v>53036</v>
      </c>
      <c r="K32" s="3">
        <f t="shared" si="7"/>
        <v>0</v>
      </c>
    </row>
    <row r="33" spans="1:11" x14ac:dyDescent="0.25">
      <c r="A33" s="9">
        <f>IF(Lease!$H$4="Monthly",DATE(YEAR(Monthly!A32),MONTH(Monthly!A32)+1,DAY(Monthly!A32)),IF(Lease!$H$4="Quarterly",DATE(YEAR(Monthly!A32),MONTH(Monthly!A32)+3,DAY(Monthly!A32)),DATE(YEAR(Monthly!A32)+1,MONTH(Monthly!A32),DAY(Monthly!A32))))</f>
        <v>53401</v>
      </c>
      <c r="B33" s="31">
        <f t="shared" si="2"/>
        <v>2046</v>
      </c>
      <c r="C33" s="9">
        <f t="shared" si="0"/>
        <v>53387</v>
      </c>
      <c r="D33" s="9">
        <f t="shared" si="3"/>
        <v>53417</v>
      </c>
      <c r="E33" s="3">
        <f t="shared" si="4"/>
        <v>31</v>
      </c>
      <c r="F33" s="10">
        <f t="shared" si="5"/>
        <v>17</v>
      </c>
      <c r="G33" s="4">
        <f>Lease!K45</f>
        <v>0</v>
      </c>
      <c r="H33" s="3">
        <f t="shared" si="8"/>
        <v>0</v>
      </c>
      <c r="I33" s="11">
        <f t="shared" si="6"/>
        <v>0</v>
      </c>
      <c r="J33" s="20">
        <f t="shared" si="1"/>
        <v>53401</v>
      </c>
      <c r="K33" s="3">
        <f t="shared" si="7"/>
        <v>0</v>
      </c>
    </row>
    <row r="34" spans="1:11" x14ac:dyDescent="0.25">
      <c r="A34" s="9">
        <f>IF(Lease!$H$4="Monthly",DATE(YEAR(Monthly!A33),MONTH(Monthly!A33)+1,DAY(Monthly!A33)),IF(Lease!$H$4="Quarterly",DATE(YEAR(Monthly!A33),MONTH(Monthly!A33)+3,DAY(Monthly!A33)),DATE(YEAR(Monthly!A33)+1,MONTH(Monthly!A33),DAY(Monthly!A33))))</f>
        <v>53766</v>
      </c>
      <c r="B34" s="31">
        <f t="shared" si="2"/>
        <v>2047</v>
      </c>
      <c r="C34" s="9">
        <f t="shared" si="0"/>
        <v>53752</v>
      </c>
      <c r="D34" s="9">
        <f t="shared" si="3"/>
        <v>53782</v>
      </c>
      <c r="E34" s="3">
        <f t="shared" si="4"/>
        <v>31</v>
      </c>
      <c r="F34" s="10">
        <f t="shared" si="5"/>
        <v>17</v>
      </c>
      <c r="G34" s="4">
        <f>Lease!K46</f>
        <v>0</v>
      </c>
      <c r="H34" s="3">
        <f t="shared" si="8"/>
        <v>0</v>
      </c>
      <c r="I34" s="11">
        <f t="shared" si="6"/>
        <v>0</v>
      </c>
      <c r="J34" s="20">
        <f t="shared" si="1"/>
        <v>53766</v>
      </c>
      <c r="K34" s="3">
        <f t="shared" si="7"/>
        <v>0</v>
      </c>
    </row>
    <row r="35" spans="1:11" x14ac:dyDescent="0.25">
      <c r="A35" s="9">
        <f>IF(Lease!$H$4="Monthly",DATE(YEAR(Monthly!A34),MONTH(Monthly!A34)+1,DAY(Monthly!A34)),IF(Lease!$H$4="Quarterly",DATE(YEAR(Monthly!A34),MONTH(Monthly!A34)+3,DAY(Monthly!A34)),DATE(YEAR(Monthly!A34)+1,MONTH(Monthly!A34),DAY(Monthly!A34))))</f>
        <v>54132</v>
      </c>
      <c r="B35" s="31">
        <f t="shared" si="2"/>
        <v>2048</v>
      </c>
      <c r="C35" s="9">
        <f t="shared" si="0"/>
        <v>54118</v>
      </c>
      <c r="D35" s="9">
        <f t="shared" si="3"/>
        <v>54148</v>
      </c>
      <c r="E35" s="3">
        <f t="shared" si="4"/>
        <v>31</v>
      </c>
      <c r="F35" s="10">
        <f t="shared" si="5"/>
        <v>17</v>
      </c>
      <c r="G35" s="4">
        <f>Lease!K47</f>
        <v>0</v>
      </c>
      <c r="H35" s="3">
        <f t="shared" si="8"/>
        <v>0</v>
      </c>
      <c r="I35" s="11">
        <f t="shared" si="6"/>
        <v>0</v>
      </c>
      <c r="J35" s="20">
        <f t="shared" si="1"/>
        <v>54132</v>
      </c>
      <c r="K35" s="3">
        <f t="shared" si="7"/>
        <v>0</v>
      </c>
    </row>
    <row r="36" spans="1:11" x14ac:dyDescent="0.25">
      <c r="A36" s="9">
        <f>IF(Lease!$H$4="Monthly",DATE(YEAR(Monthly!A35),MONTH(Monthly!A35)+1,DAY(Monthly!A35)),IF(Lease!$H$4="Quarterly",DATE(YEAR(Monthly!A35),MONTH(Monthly!A35)+3,DAY(Monthly!A35)),DATE(YEAR(Monthly!A35)+1,MONTH(Monthly!A35),DAY(Monthly!A35))))</f>
        <v>54497</v>
      </c>
      <c r="B36" s="31">
        <f t="shared" si="2"/>
        <v>2049</v>
      </c>
      <c r="C36" s="9">
        <f t="shared" si="0"/>
        <v>54483</v>
      </c>
      <c r="D36" s="9">
        <f t="shared" si="3"/>
        <v>54513</v>
      </c>
      <c r="E36" s="3">
        <f t="shared" si="4"/>
        <v>31</v>
      </c>
      <c r="F36" s="10">
        <f t="shared" si="5"/>
        <v>17</v>
      </c>
      <c r="G36" s="4">
        <f>Lease!K48</f>
        <v>0</v>
      </c>
      <c r="H36" s="3">
        <f t="shared" si="8"/>
        <v>0</v>
      </c>
      <c r="I36" s="11">
        <f t="shared" si="6"/>
        <v>0</v>
      </c>
      <c r="J36" s="20">
        <f t="shared" si="1"/>
        <v>54497</v>
      </c>
      <c r="K36" s="3">
        <f t="shared" si="7"/>
        <v>0</v>
      </c>
    </row>
    <row r="37" spans="1:11" x14ac:dyDescent="0.25">
      <c r="A37" s="9">
        <f>IF(Lease!$H$4="Monthly",DATE(YEAR(Monthly!A36),MONTH(Monthly!A36)+1,DAY(Monthly!A36)),IF(Lease!$H$4="Quarterly",DATE(YEAR(Monthly!A36),MONTH(Monthly!A36)+3,DAY(Monthly!A36)),DATE(YEAR(Monthly!A36)+1,MONTH(Monthly!A36),DAY(Monthly!A36))))</f>
        <v>54862</v>
      </c>
      <c r="B37" s="31">
        <f t="shared" si="2"/>
        <v>2050</v>
      </c>
      <c r="C37" s="9">
        <f t="shared" si="0"/>
        <v>54848</v>
      </c>
      <c r="D37" s="9">
        <f t="shared" si="3"/>
        <v>54878</v>
      </c>
      <c r="E37" s="3">
        <f t="shared" si="4"/>
        <v>31</v>
      </c>
      <c r="F37" s="10">
        <f t="shared" si="5"/>
        <v>17</v>
      </c>
      <c r="G37" s="4">
        <f>Lease!K49</f>
        <v>0</v>
      </c>
      <c r="H37" s="3">
        <f t="shared" si="8"/>
        <v>0</v>
      </c>
      <c r="I37" s="11">
        <f t="shared" si="6"/>
        <v>0</v>
      </c>
      <c r="J37" s="20">
        <f t="shared" si="1"/>
        <v>54862</v>
      </c>
      <c r="K37" s="3">
        <f t="shared" si="7"/>
        <v>0</v>
      </c>
    </row>
    <row r="38" spans="1:11" x14ac:dyDescent="0.25">
      <c r="A38" s="9">
        <f>IF(Lease!$H$4="Monthly",DATE(YEAR(Monthly!A37),MONTH(Monthly!A37)+1,DAY(Monthly!A37)),IF(Lease!$H$4="Quarterly",DATE(YEAR(Monthly!A37),MONTH(Monthly!A37)+3,DAY(Monthly!A37)),DATE(YEAR(Monthly!A37)+1,MONTH(Monthly!A37),DAY(Monthly!A37))))</f>
        <v>55227</v>
      </c>
      <c r="B38" s="31">
        <f t="shared" si="2"/>
        <v>2051</v>
      </c>
      <c r="C38" s="9">
        <f t="shared" si="0"/>
        <v>55213</v>
      </c>
      <c r="D38" s="9">
        <f t="shared" si="3"/>
        <v>55243</v>
      </c>
      <c r="E38" s="3">
        <f t="shared" si="4"/>
        <v>31</v>
      </c>
      <c r="F38" s="10">
        <f t="shared" si="5"/>
        <v>17</v>
      </c>
      <c r="G38" s="4">
        <f>Lease!K50</f>
        <v>0</v>
      </c>
      <c r="H38" s="3">
        <f t="shared" si="8"/>
        <v>0</v>
      </c>
      <c r="I38" s="11">
        <f t="shared" si="6"/>
        <v>0</v>
      </c>
      <c r="J38" s="20">
        <f t="shared" si="1"/>
        <v>55227</v>
      </c>
      <c r="K38" s="3">
        <f t="shared" si="7"/>
        <v>0</v>
      </c>
    </row>
    <row r="39" spans="1:11" x14ac:dyDescent="0.25">
      <c r="A39" s="9">
        <f>IF(Lease!$H$4="Monthly",DATE(YEAR(Monthly!A38),MONTH(Monthly!A38)+1,DAY(Monthly!A38)),IF(Lease!$H$4="Quarterly",DATE(YEAR(Monthly!A38),MONTH(Monthly!A38)+3,DAY(Monthly!A38)),DATE(YEAR(Monthly!A38)+1,MONTH(Monthly!A38),DAY(Monthly!A38))))</f>
        <v>55593</v>
      </c>
      <c r="B39" s="31">
        <f t="shared" si="2"/>
        <v>2052</v>
      </c>
      <c r="C39" s="9">
        <f t="shared" si="0"/>
        <v>55579</v>
      </c>
      <c r="D39" s="9">
        <f t="shared" si="3"/>
        <v>55609</v>
      </c>
      <c r="E39" s="3">
        <f t="shared" si="4"/>
        <v>31</v>
      </c>
      <c r="F39" s="10">
        <f t="shared" si="5"/>
        <v>17</v>
      </c>
      <c r="G39" s="4">
        <f>Lease!K51</f>
        <v>0</v>
      </c>
      <c r="H39" s="3">
        <f t="shared" si="8"/>
        <v>0</v>
      </c>
      <c r="I39" s="11">
        <f t="shared" si="6"/>
        <v>0</v>
      </c>
      <c r="J39" s="20">
        <f t="shared" si="1"/>
        <v>55593</v>
      </c>
      <c r="K39" s="3">
        <f t="shared" si="7"/>
        <v>0</v>
      </c>
    </row>
    <row r="40" spans="1:11" x14ac:dyDescent="0.25">
      <c r="A40" s="9">
        <f>IF(Lease!$H$4="Monthly",DATE(YEAR(Monthly!A39),MONTH(Monthly!A39)+1,DAY(Monthly!A39)),IF(Lease!$H$4="Quarterly",DATE(YEAR(Monthly!A39),MONTH(Monthly!A39)+3,DAY(Monthly!A39)),DATE(YEAR(Monthly!A39)+1,MONTH(Monthly!A39),DAY(Monthly!A39))))</f>
        <v>55958</v>
      </c>
      <c r="B40" s="31">
        <f t="shared" si="2"/>
        <v>2053</v>
      </c>
      <c r="C40" s="9">
        <f t="shared" si="0"/>
        <v>55944</v>
      </c>
      <c r="D40" s="9">
        <f t="shared" si="3"/>
        <v>55974</v>
      </c>
      <c r="E40" s="3">
        <f t="shared" si="4"/>
        <v>31</v>
      </c>
      <c r="F40" s="10">
        <f t="shared" si="5"/>
        <v>17</v>
      </c>
      <c r="G40" s="4">
        <f>Lease!K52</f>
        <v>0</v>
      </c>
      <c r="H40" s="3">
        <f t="shared" si="8"/>
        <v>0</v>
      </c>
      <c r="I40" s="11">
        <f t="shared" si="6"/>
        <v>0</v>
      </c>
      <c r="J40" s="20">
        <f t="shared" si="1"/>
        <v>55958</v>
      </c>
      <c r="K40" s="3">
        <f t="shared" si="7"/>
        <v>0</v>
      </c>
    </row>
    <row r="41" spans="1:11" x14ac:dyDescent="0.25">
      <c r="A41" s="9">
        <f>IF(Lease!$H$4="Monthly",DATE(YEAR(Monthly!A40),MONTH(Monthly!A40)+1,DAY(Monthly!A40)),IF(Lease!$H$4="Quarterly",DATE(YEAR(Monthly!A40),MONTH(Monthly!A40)+3,DAY(Monthly!A40)),DATE(YEAR(Monthly!A40)+1,MONTH(Monthly!A40),DAY(Monthly!A40))))</f>
        <v>56323</v>
      </c>
      <c r="B41" s="31">
        <f t="shared" si="2"/>
        <v>2054</v>
      </c>
      <c r="C41" s="9">
        <f t="shared" si="0"/>
        <v>56309</v>
      </c>
      <c r="D41" s="9">
        <f t="shared" si="3"/>
        <v>56339</v>
      </c>
      <c r="E41" s="3">
        <f t="shared" si="4"/>
        <v>31</v>
      </c>
      <c r="F41" s="10">
        <f t="shared" si="5"/>
        <v>17</v>
      </c>
      <c r="G41" s="4">
        <f>Lease!K53</f>
        <v>0</v>
      </c>
      <c r="H41" s="3">
        <f t="shared" si="8"/>
        <v>0</v>
      </c>
      <c r="I41" s="11">
        <f t="shared" si="6"/>
        <v>0</v>
      </c>
      <c r="J41" s="20">
        <f t="shared" si="1"/>
        <v>56323</v>
      </c>
      <c r="K41" s="3">
        <f t="shared" si="7"/>
        <v>0</v>
      </c>
    </row>
    <row r="42" spans="1:11" x14ac:dyDescent="0.25">
      <c r="A42" s="9">
        <f>IF(Lease!$H$4="Monthly",DATE(YEAR(Monthly!A41),MONTH(Monthly!A41)+1,DAY(Monthly!A41)),IF(Lease!$H$4="Quarterly",DATE(YEAR(Monthly!A41),MONTH(Monthly!A41)+3,DAY(Monthly!A41)),DATE(YEAR(Monthly!A41)+1,MONTH(Monthly!A41),DAY(Monthly!A41))))</f>
        <v>56688</v>
      </c>
      <c r="B42" s="31">
        <f t="shared" si="2"/>
        <v>2055</v>
      </c>
      <c r="C42" s="9">
        <f t="shared" si="0"/>
        <v>56674</v>
      </c>
      <c r="D42" s="9">
        <f t="shared" si="3"/>
        <v>56704</v>
      </c>
      <c r="E42" s="3">
        <f t="shared" si="4"/>
        <v>31</v>
      </c>
      <c r="F42" s="10">
        <f t="shared" si="5"/>
        <v>17</v>
      </c>
      <c r="G42" s="4">
        <f>Lease!K54</f>
        <v>0</v>
      </c>
      <c r="H42" s="3">
        <f t="shared" si="8"/>
        <v>0</v>
      </c>
      <c r="I42" s="11">
        <f t="shared" si="6"/>
        <v>0</v>
      </c>
      <c r="J42" s="20">
        <f t="shared" si="1"/>
        <v>56688</v>
      </c>
      <c r="K42" s="3">
        <f t="shared" si="7"/>
        <v>0</v>
      </c>
    </row>
    <row r="43" spans="1:11" x14ac:dyDescent="0.25">
      <c r="A43" s="9">
        <f>IF(Lease!$H$4="Monthly",DATE(YEAR(Monthly!A42),MONTH(Monthly!A42)+1,DAY(Monthly!A42)),IF(Lease!$H$4="Quarterly",DATE(YEAR(Monthly!A42),MONTH(Monthly!A42)+3,DAY(Monthly!A42)),DATE(YEAR(Monthly!A42)+1,MONTH(Monthly!A42),DAY(Monthly!A42))))</f>
        <v>57054</v>
      </c>
      <c r="B43" s="31">
        <f t="shared" si="2"/>
        <v>2056</v>
      </c>
      <c r="C43" s="9">
        <f t="shared" si="0"/>
        <v>57040</v>
      </c>
      <c r="D43" s="9">
        <f t="shared" si="3"/>
        <v>57070</v>
      </c>
      <c r="E43" s="3">
        <f t="shared" si="4"/>
        <v>31</v>
      </c>
      <c r="F43" s="10">
        <f t="shared" si="5"/>
        <v>17</v>
      </c>
      <c r="G43" s="4">
        <f>Lease!K55</f>
        <v>0</v>
      </c>
      <c r="H43" s="3">
        <f t="shared" si="8"/>
        <v>0</v>
      </c>
      <c r="I43" s="11">
        <f t="shared" si="6"/>
        <v>0</v>
      </c>
      <c r="J43" s="20">
        <f t="shared" si="1"/>
        <v>57054</v>
      </c>
      <c r="K43" s="3">
        <f t="shared" si="7"/>
        <v>0</v>
      </c>
    </row>
    <row r="44" spans="1:11" x14ac:dyDescent="0.25">
      <c r="A44" s="9">
        <f>IF(Lease!$H$4="Monthly",DATE(YEAR(Monthly!A43),MONTH(Monthly!A43)+1,DAY(Monthly!A43)),IF(Lease!$H$4="Quarterly",DATE(YEAR(Monthly!A43),MONTH(Monthly!A43)+3,DAY(Monthly!A43)),DATE(YEAR(Monthly!A43)+1,MONTH(Monthly!A43),DAY(Monthly!A43))))</f>
        <v>57419</v>
      </c>
      <c r="B44" s="31">
        <f t="shared" si="2"/>
        <v>2057</v>
      </c>
      <c r="C44" s="9">
        <f t="shared" si="0"/>
        <v>57405</v>
      </c>
      <c r="D44" s="9">
        <f t="shared" si="3"/>
        <v>57435</v>
      </c>
      <c r="E44" s="3">
        <f t="shared" si="4"/>
        <v>31</v>
      </c>
      <c r="F44" s="10">
        <f t="shared" si="5"/>
        <v>17</v>
      </c>
      <c r="G44" s="4">
        <f>Lease!K56</f>
        <v>0</v>
      </c>
      <c r="H44" s="3">
        <f t="shared" si="8"/>
        <v>0</v>
      </c>
      <c r="I44" s="11">
        <f t="shared" si="6"/>
        <v>0</v>
      </c>
      <c r="J44" s="20">
        <f t="shared" si="1"/>
        <v>57419</v>
      </c>
      <c r="K44" s="3">
        <f t="shared" si="7"/>
        <v>0</v>
      </c>
    </row>
    <row r="45" spans="1:11" x14ac:dyDescent="0.25">
      <c r="A45" s="9">
        <f>IF(Lease!$H$4="Monthly",DATE(YEAR(Monthly!A44),MONTH(Monthly!A44)+1,DAY(Monthly!A44)),IF(Lease!$H$4="Quarterly",DATE(YEAR(Monthly!A44),MONTH(Monthly!A44)+3,DAY(Monthly!A44)),DATE(YEAR(Monthly!A44)+1,MONTH(Monthly!A44),DAY(Monthly!A44))))</f>
        <v>57784</v>
      </c>
      <c r="B45" s="31">
        <f t="shared" si="2"/>
        <v>2058</v>
      </c>
      <c r="C45" s="9">
        <f t="shared" si="0"/>
        <v>57770</v>
      </c>
      <c r="D45" s="9">
        <f t="shared" si="3"/>
        <v>57800</v>
      </c>
      <c r="E45" s="3">
        <f t="shared" si="4"/>
        <v>31</v>
      </c>
      <c r="F45" s="10">
        <f t="shared" si="5"/>
        <v>17</v>
      </c>
      <c r="G45" s="4">
        <f>Lease!K57</f>
        <v>0</v>
      </c>
      <c r="H45" s="3">
        <f t="shared" si="8"/>
        <v>0</v>
      </c>
      <c r="I45" s="11">
        <f t="shared" si="6"/>
        <v>0</v>
      </c>
      <c r="J45" s="20">
        <f t="shared" si="1"/>
        <v>57784</v>
      </c>
      <c r="K45" s="3">
        <f t="shared" si="7"/>
        <v>0</v>
      </c>
    </row>
    <row r="46" spans="1:11" x14ac:dyDescent="0.25">
      <c r="A46" s="9">
        <f>IF(Lease!$H$4="Monthly",DATE(YEAR(Monthly!A45),MONTH(Monthly!A45)+1,DAY(Monthly!A45)),IF(Lease!$H$4="Quarterly",DATE(YEAR(Monthly!A45),MONTH(Monthly!A45)+3,DAY(Monthly!A45)),DATE(YEAR(Monthly!A45)+1,MONTH(Monthly!A45),DAY(Monthly!A45))))</f>
        <v>58149</v>
      </c>
      <c r="B46" s="31">
        <f t="shared" si="2"/>
        <v>2059</v>
      </c>
      <c r="C46" s="9">
        <f t="shared" si="0"/>
        <v>58135</v>
      </c>
      <c r="D46" s="9">
        <f t="shared" si="3"/>
        <v>58165</v>
      </c>
      <c r="E46" s="3">
        <f t="shared" si="4"/>
        <v>31</v>
      </c>
      <c r="F46" s="10">
        <f t="shared" si="5"/>
        <v>17</v>
      </c>
      <c r="G46" s="4">
        <f>Lease!K58</f>
        <v>0</v>
      </c>
      <c r="H46" s="3">
        <f t="shared" si="8"/>
        <v>0</v>
      </c>
      <c r="I46" s="11">
        <f t="shared" si="6"/>
        <v>0</v>
      </c>
      <c r="J46" s="20">
        <f t="shared" si="1"/>
        <v>58149</v>
      </c>
      <c r="K46" s="3">
        <f t="shared" si="7"/>
        <v>0</v>
      </c>
    </row>
    <row r="47" spans="1:11" x14ac:dyDescent="0.25">
      <c r="A47" s="9">
        <f>IF(Lease!$H$4="Monthly",DATE(YEAR(Monthly!A46),MONTH(Monthly!A46)+1,DAY(Monthly!A46)),IF(Lease!$H$4="Quarterly",DATE(YEAR(Monthly!A46),MONTH(Monthly!A46)+3,DAY(Monthly!A46)),DATE(YEAR(Monthly!A46)+1,MONTH(Monthly!A46),DAY(Monthly!A46))))</f>
        <v>58515</v>
      </c>
      <c r="B47" s="31">
        <f t="shared" si="2"/>
        <v>2060</v>
      </c>
      <c r="C47" s="9">
        <f t="shared" si="0"/>
        <v>58501</v>
      </c>
      <c r="D47" s="9">
        <f t="shared" si="3"/>
        <v>58531</v>
      </c>
      <c r="E47" s="3">
        <f t="shared" si="4"/>
        <v>31</v>
      </c>
      <c r="F47" s="10">
        <f t="shared" si="5"/>
        <v>17</v>
      </c>
      <c r="G47" s="4">
        <f>Lease!K59</f>
        <v>0</v>
      </c>
      <c r="H47" s="3">
        <f t="shared" si="8"/>
        <v>0</v>
      </c>
      <c r="I47" s="11">
        <f t="shared" si="6"/>
        <v>0</v>
      </c>
      <c r="J47" s="20">
        <f t="shared" si="1"/>
        <v>58515</v>
      </c>
      <c r="K47" s="3">
        <f t="shared" si="7"/>
        <v>0</v>
      </c>
    </row>
    <row r="48" spans="1:11" x14ac:dyDescent="0.25">
      <c r="A48" s="9">
        <f>IF(Lease!$H$4="Monthly",DATE(YEAR(Monthly!A47),MONTH(Monthly!A47)+1,DAY(Monthly!A47)),IF(Lease!$H$4="Quarterly",DATE(YEAR(Monthly!A47),MONTH(Monthly!A47)+3,DAY(Monthly!A47)),DATE(YEAR(Monthly!A47)+1,MONTH(Monthly!A47),DAY(Monthly!A47))))</f>
        <v>58880</v>
      </c>
      <c r="B48" s="31">
        <f t="shared" si="2"/>
        <v>2061</v>
      </c>
      <c r="C48" s="9">
        <f t="shared" si="0"/>
        <v>58866</v>
      </c>
      <c r="D48" s="9">
        <f t="shared" si="3"/>
        <v>58896</v>
      </c>
      <c r="E48" s="3">
        <f t="shared" si="4"/>
        <v>31</v>
      </c>
      <c r="F48" s="10">
        <f t="shared" si="5"/>
        <v>17</v>
      </c>
      <c r="G48" s="4">
        <f>Lease!K60</f>
        <v>0</v>
      </c>
      <c r="H48" s="3">
        <f t="shared" si="8"/>
        <v>0</v>
      </c>
      <c r="I48" s="11">
        <f t="shared" si="6"/>
        <v>0</v>
      </c>
      <c r="J48" s="20">
        <f t="shared" si="1"/>
        <v>58880</v>
      </c>
      <c r="K48" s="3">
        <f t="shared" si="7"/>
        <v>0</v>
      </c>
    </row>
    <row r="49" spans="1:11" x14ac:dyDescent="0.25">
      <c r="A49" s="9">
        <f>IF(Lease!$H$4="Monthly",DATE(YEAR(Monthly!A48),MONTH(Monthly!A48)+1,DAY(Monthly!A48)),IF(Lease!$H$4="Quarterly",DATE(YEAR(Monthly!A48),MONTH(Monthly!A48)+3,DAY(Monthly!A48)),DATE(YEAR(Monthly!A48)+1,MONTH(Monthly!A48),DAY(Monthly!A48))))</f>
        <v>59245</v>
      </c>
      <c r="B49" s="31">
        <f t="shared" si="2"/>
        <v>2062</v>
      </c>
      <c r="C49" s="9">
        <f t="shared" si="0"/>
        <v>59231</v>
      </c>
      <c r="D49" s="9">
        <f t="shared" si="3"/>
        <v>59261</v>
      </c>
      <c r="E49" s="3">
        <f t="shared" si="4"/>
        <v>31</v>
      </c>
      <c r="F49" s="10">
        <f t="shared" si="5"/>
        <v>17</v>
      </c>
      <c r="G49" s="4">
        <f>Lease!K61</f>
        <v>0</v>
      </c>
      <c r="H49" s="3">
        <f t="shared" si="8"/>
        <v>0</v>
      </c>
      <c r="I49" s="11">
        <f t="shared" si="6"/>
        <v>0</v>
      </c>
      <c r="J49" s="20">
        <f t="shared" si="1"/>
        <v>59245</v>
      </c>
      <c r="K49" s="3">
        <f t="shared" si="7"/>
        <v>0</v>
      </c>
    </row>
    <row r="50" spans="1:11" x14ac:dyDescent="0.25">
      <c r="A50" s="9">
        <f>IF(Lease!$H$4="Monthly",DATE(YEAR(Monthly!A49),MONTH(Monthly!A49)+1,DAY(Monthly!A49)),IF(Lease!$H$4="Quarterly",DATE(YEAR(Monthly!A49),MONTH(Monthly!A49)+3,DAY(Monthly!A49)),DATE(YEAR(Monthly!A49)+1,MONTH(Monthly!A49),DAY(Monthly!A49))))</f>
        <v>59610</v>
      </c>
      <c r="B50" s="31">
        <f t="shared" si="2"/>
        <v>2063</v>
      </c>
      <c r="C50" s="9">
        <f t="shared" si="0"/>
        <v>59596</v>
      </c>
      <c r="D50" s="9">
        <f t="shared" si="3"/>
        <v>59626</v>
      </c>
      <c r="E50" s="3">
        <f t="shared" si="4"/>
        <v>31</v>
      </c>
      <c r="F50" s="10">
        <f t="shared" si="5"/>
        <v>17</v>
      </c>
      <c r="G50" s="4">
        <f>Lease!K62</f>
        <v>0</v>
      </c>
      <c r="H50" s="3">
        <f t="shared" si="8"/>
        <v>0</v>
      </c>
      <c r="I50" s="11">
        <f t="shared" si="6"/>
        <v>0</v>
      </c>
      <c r="J50" s="20">
        <f t="shared" si="1"/>
        <v>59610</v>
      </c>
      <c r="K50" s="3">
        <f t="shared" si="7"/>
        <v>0</v>
      </c>
    </row>
    <row r="51" spans="1:11" x14ac:dyDescent="0.25">
      <c r="A51" s="9">
        <f>IF(Lease!$H$4="Monthly",DATE(YEAR(Monthly!A50),MONTH(Monthly!A50)+1,DAY(Monthly!A50)),IF(Lease!$H$4="Quarterly",DATE(YEAR(Monthly!A50),MONTH(Monthly!A50)+3,DAY(Monthly!A50)),DATE(YEAR(Monthly!A50)+1,MONTH(Monthly!A50),DAY(Monthly!A50))))</f>
        <v>59976</v>
      </c>
      <c r="B51" s="31">
        <f t="shared" si="2"/>
        <v>2064</v>
      </c>
      <c r="C51" s="9">
        <f t="shared" si="0"/>
        <v>59962</v>
      </c>
      <c r="D51" s="9">
        <f t="shared" si="3"/>
        <v>59992</v>
      </c>
      <c r="E51" s="3">
        <f t="shared" si="4"/>
        <v>31</v>
      </c>
      <c r="F51" s="10">
        <f t="shared" si="5"/>
        <v>17</v>
      </c>
      <c r="G51" s="4">
        <f>Lease!K63</f>
        <v>0</v>
      </c>
      <c r="H51" s="3">
        <f t="shared" si="8"/>
        <v>0</v>
      </c>
      <c r="I51" s="11">
        <f t="shared" si="6"/>
        <v>0</v>
      </c>
      <c r="J51" s="20">
        <f t="shared" si="1"/>
        <v>59976</v>
      </c>
      <c r="K51" s="3">
        <f t="shared" si="7"/>
        <v>0</v>
      </c>
    </row>
    <row r="52" spans="1:11" x14ac:dyDescent="0.25">
      <c r="A52" s="9">
        <f>IF(Lease!$H$4="Monthly",DATE(YEAR(Monthly!A51),MONTH(Monthly!A51)+1,DAY(Monthly!A51)),IF(Lease!$H$4="Quarterly",DATE(YEAR(Monthly!A51),MONTH(Monthly!A51)+3,DAY(Monthly!A51)),DATE(YEAR(Monthly!A51)+1,MONTH(Monthly!A51),DAY(Monthly!A51))))</f>
        <v>60341</v>
      </c>
      <c r="B52" s="31">
        <f t="shared" si="2"/>
        <v>2065</v>
      </c>
      <c r="C52" s="9">
        <f t="shared" si="0"/>
        <v>60327</v>
      </c>
      <c r="D52" s="9">
        <f t="shared" si="3"/>
        <v>60357</v>
      </c>
      <c r="E52" s="3">
        <f t="shared" si="4"/>
        <v>31</v>
      </c>
      <c r="F52" s="10">
        <f t="shared" si="5"/>
        <v>17</v>
      </c>
      <c r="G52" s="4">
        <f>Lease!K64</f>
        <v>0</v>
      </c>
      <c r="H52" s="3">
        <f t="shared" si="8"/>
        <v>0</v>
      </c>
      <c r="I52" s="11">
        <f t="shared" si="6"/>
        <v>0</v>
      </c>
      <c r="J52" s="20">
        <f t="shared" si="1"/>
        <v>60341</v>
      </c>
      <c r="K52" s="3">
        <f t="shared" si="7"/>
        <v>0</v>
      </c>
    </row>
    <row r="53" spans="1:11" x14ac:dyDescent="0.25">
      <c r="A53" s="9">
        <f>IF(Lease!$H$4="Monthly",DATE(YEAR(Monthly!A52),MONTH(Monthly!A52)+1,DAY(Monthly!A52)),IF(Lease!$H$4="Quarterly",DATE(YEAR(Monthly!A52),MONTH(Monthly!A52)+3,DAY(Monthly!A52)),DATE(YEAR(Monthly!A52)+1,MONTH(Monthly!A52),DAY(Monthly!A52))))</f>
        <v>60706</v>
      </c>
      <c r="B53" s="31">
        <f t="shared" si="2"/>
        <v>2066</v>
      </c>
      <c r="C53" s="9">
        <f t="shared" si="0"/>
        <v>60692</v>
      </c>
      <c r="D53" s="9">
        <f t="shared" si="3"/>
        <v>60722</v>
      </c>
      <c r="E53" s="3">
        <f t="shared" si="4"/>
        <v>31</v>
      </c>
      <c r="F53" s="10">
        <f t="shared" si="5"/>
        <v>17</v>
      </c>
      <c r="G53" s="4">
        <f>Lease!K65</f>
        <v>0</v>
      </c>
      <c r="H53" s="3">
        <f t="shared" si="8"/>
        <v>0</v>
      </c>
      <c r="I53" s="11">
        <f t="shared" si="6"/>
        <v>0</v>
      </c>
      <c r="J53" s="20">
        <f t="shared" si="1"/>
        <v>60706</v>
      </c>
      <c r="K53" s="3">
        <f t="shared" si="7"/>
        <v>0</v>
      </c>
    </row>
    <row r="54" spans="1:11" x14ac:dyDescent="0.25">
      <c r="A54" s="9">
        <f>IF(Lease!$H$4="Monthly",DATE(YEAR(Monthly!A53),MONTH(Monthly!A53)+1,DAY(Monthly!A53)),IF(Lease!$H$4="Quarterly",DATE(YEAR(Monthly!A53),MONTH(Monthly!A53)+3,DAY(Monthly!A53)),DATE(YEAR(Monthly!A53)+1,MONTH(Monthly!A53),DAY(Monthly!A53))))</f>
        <v>61071</v>
      </c>
      <c r="B54" s="31">
        <f t="shared" si="2"/>
        <v>2067</v>
      </c>
      <c r="C54" s="9">
        <f t="shared" si="0"/>
        <v>61057</v>
      </c>
      <c r="D54" s="9">
        <f t="shared" si="3"/>
        <v>61087</v>
      </c>
      <c r="E54" s="3">
        <f t="shared" si="4"/>
        <v>31</v>
      </c>
      <c r="F54" s="10">
        <f t="shared" si="5"/>
        <v>17</v>
      </c>
      <c r="G54" s="4">
        <f>Lease!K66</f>
        <v>0</v>
      </c>
      <c r="H54" s="3">
        <f t="shared" si="8"/>
        <v>0</v>
      </c>
      <c r="I54" s="11">
        <f t="shared" si="6"/>
        <v>0</v>
      </c>
      <c r="J54" s="20">
        <f t="shared" si="1"/>
        <v>61071</v>
      </c>
      <c r="K54" s="3">
        <f t="shared" si="7"/>
        <v>0</v>
      </c>
    </row>
    <row r="55" spans="1:11" x14ac:dyDescent="0.25">
      <c r="A55" s="9">
        <f>IF(Lease!$H$4="Monthly",DATE(YEAR(Monthly!A54),MONTH(Monthly!A54)+1,DAY(Monthly!A54)),IF(Lease!$H$4="Quarterly",DATE(YEAR(Monthly!A54),MONTH(Monthly!A54)+3,DAY(Monthly!A54)),DATE(YEAR(Monthly!A54)+1,MONTH(Monthly!A54),DAY(Monthly!A54))))</f>
        <v>61437</v>
      </c>
      <c r="B55" s="31">
        <f t="shared" si="2"/>
        <v>2068</v>
      </c>
      <c r="C55" s="9">
        <f t="shared" si="0"/>
        <v>61423</v>
      </c>
      <c r="D55" s="9">
        <f t="shared" si="3"/>
        <v>61453</v>
      </c>
      <c r="E55" s="3">
        <f t="shared" si="4"/>
        <v>31</v>
      </c>
      <c r="F55" s="10">
        <f t="shared" si="5"/>
        <v>17</v>
      </c>
      <c r="G55" s="4">
        <f>Lease!K67</f>
        <v>0</v>
      </c>
      <c r="H55" s="3">
        <f t="shared" si="8"/>
        <v>0</v>
      </c>
      <c r="I55" s="11">
        <f t="shared" si="6"/>
        <v>0</v>
      </c>
      <c r="J55" s="20">
        <f t="shared" si="1"/>
        <v>61437</v>
      </c>
      <c r="K55" s="3">
        <f t="shared" si="7"/>
        <v>0</v>
      </c>
    </row>
    <row r="56" spans="1:11" x14ac:dyDescent="0.25">
      <c r="A56" s="9">
        <f>IF(Lease!$H$4="Monthly",DATE(YEAR(Monthly!A55),MONTH(Monthly!A55)+1,DAY(Monthly!A55)),IF(Lease!$H$4="Quarterly",DATE(YEAR(Monthly!A55),MONTH(Monthly!A55)+3,DAY(Monthly!A55)),DATE(YEAR(Monthly!A55)+1,MONTH(Monthly!A55),DAY(Monthly!A55))))</f>
        <v>61802</v>
      </c>
      <c r="B56" s="31">
        <f t="shared" si="2"/>
        <v>2069</v>
      </c>
      <c r="C56" s="9">
        <f t="shared" si="0"/>
        <v>61788</v>
      </c>
      <c r="D56" s="9">
        <f t="shared" si="3"/>
        <v>61818</v>
      </c>
      <c r="E56" s="3">
        <f t="shared" si="4"/>
        <v>31</v>
      </c>
      <c r="F56" s="10">
        <f t="shared" si="5"/>
        <v>17</v>
      </c>
      <c r="G56" s="4">
        <f>Lease!K68</f>
        <v>0</v>
      </c>
      <c r="H56" s="3">
        <f t="shared" si="8"/>
        <v>0</v>
      </c>
      <c r="I56" s="11">
        <f t="shared" si="6"/>
        <v>0</v>
      </c>
      <c r="J56" s="20">
        <f t="shared" si="1"/>
        <v>61802</v>
      </c>
      <c r="K56" s="3">
        <f t="shared" si="7"/>
        <v>0</v>
      </c>
    </row>
    <row r="57" spans="1:11" x14ac:dyDescent="0.25">
      <c r="A57" s="9">
        <f>IF(Lease!$H$4="Monthly",DATE(YEAR(Monthly!A56),MONTH(Monthly!A56)+1,DAY(Monthly!A56)),IF(Lease!$H$4="Quarterly",DATE(YEAR(Monthly!A56),MONTH(Monthly!A56)+3,DAY(Monthly!A56)),DATE(YEAR(Monthly!A56)+1,MONTH(Monthly!A56),DAY(Monthly!A56))))</f>
        <v>62167</v>
      </c>
      <c r="B57" s="31">
        <f t="shared" si="2"/>
        <v>2070</v>
      </c>
      <c r="C57" s="9">
        <f t="shared" si="0"/>
        <v>62153</v>
      </c>
      <c r="D57" s="9">
        <f t="shared" si="3"/>
        <v>62183</v>
      </c>
      <c r="E57" s="3">
        <f t="shared" si="4"/>
        <v>31</v>
      </c>
      <c r="F57" s="10">
        <f t="shared" si="5"/>
        <v>17</v>
      </c>
      <c r="G57" s="4">
        <f>Lease!K69</f>
        <v>0</v>
      </c>
      <c r="H57" s="3">
        <f t="shared" si="8"/>
        <v>0</v>
      </c>
      <c r="I57" s="11">
        <f t="shared" si="6"/>
        <v>0</v>
      </c>
      <c r="J57" s="20">
        <f t="shared" si="1"/>
        <v>62167</v>
      </c>
      <c r="K57" s="3">
        <f t="shared" si="7"/>
        <v>0</v>
      </c>
    </row>
    <row r="58" spans="1:11" x14ac:dyDescent="0.25">
      <c r="A58" s="9">
        <f>IF(Lease!$H$4="Monthly",DATE(YEAR(Monthly!A57),MONTH(Monthly!A57)+1,DAY(Monthly!A57)),IF(Lease!$H$4="Quarterly",DATE(YEAR(Monthly!A57),MONTH(Monthly!A57)+3,DAY(Monthly!A57)),DATE(YEAR(Monthly!A57)+1,MONTH(Monthly!A57),DAY(Monthly!A57))))</f>
        <v>62532</v>
      </c>
      <c r="B58" s="31">
        <f t="shared" si="2"/>
        <v>2071</v>
      </c>
      <c r="C58" s="9">
        <f t="shared" si="0"/>
        <v>62518</v>
      </c>
      <c r="D58" s="9">
        <f t="shared" si="3"/>
        <v>62548</v>
      </c>
      <c r="E58" s="3">
        <f t="shared" si="4"/>
        <v>31</v>
      </c>
      <c r="F58" s="10">
        <f t="shared" si="5"/>
        <v>17</v>
      </c>
      <c r="G58" s="4">
        <f>Lease!K70</f>
        <v>0</v>
      </c>
      <c r="H58" s="3">
        <f t="shared" si="8"/>
        <v>0</v>
      </c>
      <c r="I58" s="11">
        <f t="shared" si="6"/>
        <v>0</v>
      </c>
      <c r="J58" s="20">
        <f t="shared" si="1"/>
        <v>62532</v>
      </c>
      <c r="K58" s="3">
        <f t="shared" si="7"/>
        <v>0</v>
      </c>
    </row>
    <row r="59" spans="1:11" x14ac:dyDescent="0.25">
      <c r="A59" s="9">
        <f>IF(Lease!$H$4="Monthly",DATE(YEAR(Monthly!A58),MONTH(Monthly!A58)+1,DAY(Monthly!A58)),IF(Lease!$H$4="Quarterly",DATE(YEAR(Monthly!A58),MONTH(Monthly!A58)+3,DAY(Monthly!A58)),DATE(YEAR(Monthly!A58)+1,MONTH(Monthly!A58),DAY(Monthly!A58))))</f>
        <v>62898</v>
      </c>
      <c r="B59" s="31">
        <f t="shared" si="2"/>
        <v>2072</v>
      </c>
      <c r="C59" s="9">
        <f t="shared" si="0"/>
        <v>62884</v>
      </c>
      <c r="D59" s="9">
        <f t="shared" si="3"/>
        <v>62914</v>
      </c>
      <c r="E59" s="3">
        <f t="shared" si="4"/>
        <v>31</v>
      </c>
      <c r="F59" s="10">
        <f t="shared" si="5"/>
        <v>17</v>
      </c>
      <c r="G59" s="4">
        <f>Lease!K71</f>
        <v>0</v>
      </c>
      <c r="H59" s="3">
        <f t="shared" si="8"/>
        <v>0</v>
      </c>
      <c r="I59" s="11">
        <f t="shared" si="6"/>
        <v>0</v>
      </c>
      <c r="J59" s="20">
        <f t="shared" si="1"/>
        <v>62898</v>
      </c>
      <c r="K59" s="3">
        <f t="shared" si="7"/>
        <v>0</v>
      </c>
    </row>
    <row r="60" spans="1:11" x14ac:dyDescent="0.25">
      <c r="A60" s="9">
        <f>IF(Lease!$H$4="Monthly",DATE(YEAR(Monthly!A59),MONTH(Monthly!A59)+1,DAY(Monthly!A59)),IF(Lease!$H$4="Quarterly",DATE(YEAR(Monthly!A59),MONTH(Monthly!A59)+3,DAY(Monthly!A59)),DATE(YEAR(Monthly!A59)+1,MONTH(Monthly!A59),DAY(Monthly!A59))))</f>
        <v>63263</v>
      </c>
      <c r="B60" s="31">
        <f t="shared" si="2"/>
        <v>2073</v>
      </c>
      <c r="C60" s="9">
        <f t="shared" si="0"/>
        <v>63249</v>
      </c>
      <c r="D60" s="9">
        <f t="shared" si="3"/>
        <v>63279</v>
      </c>
      <c r="E60" s="3">
        <f t="shared" si="4"/>
        <v>31</v>
      </c>
      <c r="F60" s="10">
        <f t="shared" si="5"/>
        <v>17</v>
      </c>
      <c r="G60" s="4">
        <f>Lease!K72</f>
        <v>0</v>
      </c>
      <c r="H60" s="3">
        <f t="shared" si="8"/>
        <v>0</v>
      </c>
      <c r="I60" s="11">
        <f t="shared" si="6"/>
        <v>0</v>
      </c>
      <c r="J60" s="20">
        <f t="shared" si="1"/>
        <v>63263</v>
      </c>
      <c r="K60" s="3">
        <f t="shared" si="7"/>
        <v>0</v>
      </c>
    </row>
    <row r="61" spans="1:11" x14ac:dyDescent="0.25">
      <c r="A61" s="9">
        <f>IF(Lease!$H$4="Monthly",DATE(YEAR(Monthly!A60),MONTH(Monthly!A60)+1,DAY(Monthly!A60)),IF(Lease!$H$4="Quarterly",DATE(YEAR(Monthly!A60),MONTH(Monthly!A60)+3,DAY(Monthly!A60)),DATE(YEAR(Monthly!A60)+1,MONTH(Monthly!A60),DAY(Monthly!A60))))</f>
        <v>63628</v>
      </c>
      <c r="B61" s="31">
        <f t="shared" si="2"/>
        <v>2074</v>
      </c>
      <c r="C61" s="9">
        <f t="shared" si="0"/>
        <v>63614</v>
      </c>
      <c r="D61" s="9">
        <f t="shared" si="3"/>
        <v>63644</v>
      </c>
      <c r="E61" s="3">
        <f t="shared" si="4"/>
        <v>31</v>
      </c>
      <c r="F61" s="10">
        <f t="shared" si="5"/>
        <v>17</v>
      </c>
      <c r="G61" s="4">
        <f>Lease!K73</f>
        <v>0</v>
      </c>
      <c r="H61" s="3">
        <f t="shared" si="8"/>
        <v>0</v>
      </c>
      <c r="I61" s="11">
        <f t="shared" si="6"/>
        <v>0</v>
      </c>
      <c r="J61" s="20">
        <f t="shared" si="1"/>
        <v>63628</v>
      </c>
      <c r="K61" s="3">
        <f t="shared" si="7"/>
        <v>0</v>
      </c>
    </row>
    <row r="62" spans="1:11" x14ac:dyDescent="0.25">
      <c r="A62" s="9">
        <f>IF(Lease!$H$4="Monthly",DATE(YEAR(Monthly!A61),MONTH(Monthly!A61)+1,DAY(Monthly!A61)),IF(Lease!$H$4="Quarterly",DATE(YEAR(Monthly!A61),MONTH(Monthly!A61)+3,DAY(Monthly!A61)),DATE(YEAR(Monthly!A61)+1,MONTH(Monthly!A61),DAY(Monthly!A61))))</f>
        <v>63993</v>
      </c>
      <c r="B62" s="31">
        <f t="shared" si="2"/>
        <v>2075</v>
      </c>
      <c r="C62" s="9">
        <f t="shared" si="0"/>
        <v>63979</v>
      </c>
      <c r="D62" s="9">
        <f t="shared" si="3"/>
        <v>64009</v>
      </c>
      <c r="E62" s="3">
        <f t="shared" si="4"/>
        <v>31</v>
      </c>
      <c r="F62" s="10">
        <f t="shared" si="5"/>
        <v>17</v>
      </c>
      <c r="G62" s="4">
        <f>Lease!K74</f>
        <v>0</v>
      </c>
      <c r="H62" s="3">
        <f t="shared" si="8"/>
        <v>0</v>
      </c>
      <c r="I62" s="11">
        <f t="shared" si="6"/>
        <v>0</v>
      </c>
      <c r="J62" s="20">
        <f t="shared" si="1"/>
        <v>63993</v>
      </c>
      <c r="K62" s="3">
        <f t="shared" si="7"/>
        <v>0</v>
      </c>
    </row>
    <row r="63" spans="1:11" x14ac:dyDescent="0.25">
      <c r="A63" s="9">
        <f>IF(Lease!$H$4="Monthly",DATE(YEAR(Monthly!A62),MONTH(Monthly!A62)+1,DAY(Monthly!A62)),IF(Lease!$H$4="Quarterly",DATE(YEAR(Monthly!A62),MONTH(Monthly!A62)+3,DAY(Monthly!A62)),DATE(YEAR(Monthly!A62)+1,MONTH(Monthly!A62),DAY(Monthly!A62))))</f>
        <v>64359</v>
      </c>
      <c r="B63" s="31">
        <f t="shared" si="2"/>
        <v>2076</v>
      </c>
      <c r="C63" s="9">
        <f t="shared" si="0"/>
        <v>64345</v>
      </c>
      <c r="D63" s="9">
        <f t="shared" si="3"/>
        <v>64375</v>
      </c>
      <c r="E63" s="3">
        <f t="shared" si="4"/>
        <v>31</v>
      </c>
      <c r="F63" s="10">
        <f t="shared" si="5"/>
        <v>17</v>
      </c>
      <c r="G63" s="4">
        <f>Lease!K75</f>
        <v>0</v>
      </c>
      <c r="H63" s="3">
        <f t="shared" si="8"/>
        <v>0</v>
      </c>
      <c r="I63" s="11">
        <f t="shared" si="6"/>
        <v>0</v>
      </c>
      <c r="J63" s="20">
        <f t="shared" si="1"/>
        <v>64359</v>
      </c>
      <c r="K63" s="3">
        <f t="shared" si="7"/>
        <v>0</v>
      </c>
    </row>
    <row r="64" spans="1:11" x14ac:dyDescent="0.25">
      <c r="A64" s="9">
        <f>IF(Lease!$H$4="Monthly",DATE(YEAR(Monthly!A63),MONTH(Monthly!A63)+1,DAY(Monthly!A63)),IF(Lease!$H$4="Quarterly",DATE(YEAR(Monthly!A63),MONTH(Monthly!A63)+3,DAY(Monthly!A63)),DATE(YEAR(Monthly!A63)+1,MONTH(Monthly!A63),DAY(Monthly!A63))))</f>
        <v>64724</v>
      </c>
      <c r="B64" s="31">
        <f t="shared" si="2"/>
        <v>2077</v>
      </c>
      <c r="C64" s="9">
        <f t="shared" si="0"/>
        <v>64710</v>
      </c>
      <c r="D64" s="9">
        <f t="shared" si="3"/>
        <v>64740</v>
      </c>
      <c r="E64" s="3">
        <f t="shared" si="4"/>
        <v>31</v>
      </c>
      <c r="F64" s="10">
        <f t="shared" si="5"/>
        <v>17</v>
      </c>
      <c r="G64" s="4">
        <f>Lease!K76</f>
        <v>0</v>
      </c>
      <c r="H64" s="3">
        <f t="shared" si="8"/>
        <v>0</v>
      </c>
      <c r="I64" s="11">
        <f t="shared" si="6"/>
        <v>0</v>
      </c>
      <c r="J64" s="20">
        <f t="shared" si="1"/>
        <v>64724</v>
      </c>
      <c r="K64" s="3">
        <f t="shared" si="7"/>
        <v>0</v>
      </c>
    </row>
    <row r="65" spans="1:11" x14ac:dyDescent="0.25">
      <c r="A65" s="9">
        <f>IF(Lease!$H$4="Monthly",DATE(YEAR(Monthly!A64),MONTH(Monthly!A64)+1,DAY(Monthly!A64)),IF(Lease!$H$4="Quarterly",DATE(YEAR(Monthly!A64),MONTH(Monthly!A64)+3,DAY(Monthly!A64)),DATE(YEAR(Monthly!A64)+1,MONTH(Monthly!A64),DAY(Monthly!A64))))</f>
        <v>65089</v>
      </c>
      <c r="B65" s="31">
        <f t="shared" si="2"/>
        <v>2078</v>
      </c>
      <c r="C65" s="9">
        <f t="shared" si="0"/>
        <v>65075</v>
      </c>
      <c r="D65" s="9">
        <f t="shared" si="3"/>
        <v>65105</v>
      </c>
      <c r="E65" s="3">
        <f t="shared" si="4"/>
        <v>31</v>
      </c>
      <c r="F65" s="10">
        <f t="shared" si="5"/>
        <v>17</v>
      </c>
      <c r="G65" s="4">
        <f>Lease!K77</f>
        <v>0</v>
      </c>
      <c r="H65" s="3">
        <f t="shared" si="8"/>
        <v>0</v>
      </c>
      <c r="I65" s="11">
        <f t="shared" si="6"/>
        <v>0</v>
      </c>
      <c r="J65" s="20">
        <f t="shared" si="1"/>
        <v>65089</v>
      </c>
      <c r="K65" s="3">
        <f t="shared" si="7"/>
        <v>0</v>
      </c>
    </row>
    <row r="66" spans="1:11" x14ac:dyDescent="0.25">
      <c r="A66" s="9">
        <f>IF(Lease!$H$4="Monthly",DATE(YEAR(Monthly!A65),MONTH(Monthly!A65)+1,DAY(Monthly!A65)),IF(Lease!$H$4="Quarterly",DATE(YEAR(Monthly!A65),MONTH(Monthly!A65)+3,DAY(Monthly!A65)),DATE(YEAR(Monthly!A65)+1,MONTH(Monthly!A65),DAY(Monthly!A65))))</f>
        <v>65454</v>
      </c>
      <c r="B66" s="31">
        <f t="shared" si="2"/>
        <v>2079</v>
      </c>
      <c r="C66" s="9">
        <f t="shared" si="0"/>
        <v>65440</v>
      </c>
      <c r="D66" s="9">
        <f t="shared" si="3"/>
        <v>65470</v>
      </c>
      <c r="E66" s="3">
        <f t="shared" si="4"/>
        <v>31</v>
      </c>
      <c r="F66" s="10">
        <f t="shared" si="5"/>
        <v>17</v>
      </c>
      <c r="G66" s="4">
        <f>Lease!K78</f>
        <v>0</v>
      </c>
      <c r="H66" s="3">
        <f t="shared" si="8"/>
        <v>0</v>
      </c>
      <c r="I66" s="11">
        <f t="shared" si="6"/>
        <v>0</v>
      </c>
      <c r="J66" s="20">
        <f t="shared" si="1"/>
        <v>65454</v>
      </c>
      <c r="K66" s="3">
        <f t="shared" si="7"/>
        <v>0</v>
      </c>
    </row>
    <row r="67" spans="1:11" x14ac:dyDescent="0.25">
      <c r="A67" s="9">
        <f>IF(Lease!$H$4="Monthly",DATE(YEAR(Monthly!A66),MONTH(Monthly!A66)+1,DAY(Monthly!A66)),IF(Lease!$H$4="Quarterly",DATE(YEAR(Monthly!A66),MONTH(Monthly!A66)+3,DAY(Monthly!A66)),DATE(YEAR(Monthly!A66)+1,MONTH(Monthly!A66),DAY(Monthly!A66))))</f>
        <v>65820</v>
      </c>
      <c r="B67" s="31">
        <f t="shared" si="2"/>
        <v>2080</v>
      </c>
      <c r="C67" s="9">
        <f t="shared" si="0"/>
        <v>65806</v>
      </c>
      <c r="D67" s="9">
        <f t="shared" si="3"/>
        <v>65836</v>
      </c>
      <c r="E67" s="3">
        <f t="shared" si="4"/>
        <v>31</v>
      </c>
      <c r="F67" s="10">
        <f t="shared" si="5"/>
        <v>17</v>
      </c>
      <c r="G67" s="4">
        <f>Lease!K79</f>
        <v>0</v>
      </c>
      <c r="H67" s="3">
        <f t="shared" si="8"/>
        <v>0</v>
      </c>
      <c r="I67" s="11">
        <f t="shared" si="6"/>
        <v>0</v>
      </c>
      <c r="J67" s="20">
        <f t="shared" si="1"/>
        <v>65820</v>
      </c>
      <c r="K67" s="3">
        <f t="shared" si="7"/>
        <v>0</v>
      </c>
    </row>
    <row r="68" spans="1:11" x14ac:dyDescent="0.25">
      <c r="A68" s="9">
        <f>IF(Lease!$H$4="Monthly",DATE(YEAR(Monthly!A67),MONTH(Monthly!A67)+1,DAY(Monthly!A67)),IF(Lease!$H$4="Quarterly",DATE(YEAR(Monthly!A67),MONTH(Monthly!A67)+3,DAY(Monthly!A67)),DATE(YEAR(Monthly!A67)+1,MONTH(Monthly!A67),DAY(Monthly!A67))))</f>
        <v>66185</v>
      </c>
      <c r="B68" s="31">
        <f t="shared" si="2"/>
        <v>2081</v>
      </c>
      <c r="C68" s="9">
        <f t="shared" ref="C68:C100" si="9">EOMONTH(A68,-1)+1</f>
        <v>66171</v>
      </c>
      <c r="D68" s="9">
        <f t="shared" si="3"/>
        <v>66201</v>
      </c>
      <c r="E68" s="3">
        <f t="shared" si="4"/>
        <v>31</v>
      </c>
      <c r="F68" s="10">
        <f t="shared" si="5"/>
        <v>17</v>
      </c>
      <c r="G68" s="4">
        <f>Lease!K80</f>
        <v>0</v>
      </c>
      <c r="H68" s="3">
        <f t="shared" si="8"/>
        <v>0</v>
      </c>
      <c r="I68" s="11">
        <f t="shared" si="6"/>
        <v>0</v>
      </c>
      <c r="J68" s="20">
        <f t="shared" ref="J68:J100" si="10">A68</f>
        <v>66185</v>
      </c>
      <c r="K68" s="3">
        <f t="shared" si="7"/>
        <v>0</v>
      </c>
    </row>
    <row r="69" spans="1:11" x14ac:dyDescent="0.25">
      <c r="A69" s="9">
        <f>IF(Lease!$H$4="Monthly",DATE(YEAR(Monthly!A68),MONTH(Monthly!A68)+1,DAY(Monthly!A68)),IF(Lease!$H$4="Quarterly",DATE(YEAR(Monthly!A68),MONTH(Monthly!A68)+3,DAY(Monthly!A68)),DATE(YEAR(Monthly!A68)+1,MONTH(Monthly!A68),DAY(Monthly!A68))))</f>
        <v>66550</v>
      </c>
      <c r="B69" s="31">
        <f t="shared" ref="B69:B100" si="11">YEAR(A69)</f>
        <v>2082</v>
      </c>
      <c r="C69" s="9">
        <f t="shared" si="9"/>
        <v>66536</v>
      </c>
      <c r="D69" s="9">
        <f t="shared" ref="D69:D100" si="12">EOMONTH(A69,0)</f>
        <v>66566</v>
      </c>
      <c r="E69" s="3">
        <f t="shared" ref="E69:E100" si="13">D69-C69+1</f>
        <v>31</v>
      </c>
      <c r="F69" s="10">
        <f t="shared" ref="F69:F100" si="14">D69-A69+1</f>
        <v>17</v>
      </c>
      <c r="G69" s="4">
        <f>Lease!K81</f>
        <v>0</v>
      </c>
      <c r="H69" s="3">
        <f t="shared" ref="H69:H99" si="15">G70/E69*F69</f>
        <v>0</v>
      </c>
      <c r="I69" s="11">
        <f t="shared" si="6"/>
        <v>0</v>
      </c>
      <c r="J69" s="20">
        <f t="shared" si="10"/>
        <v>66550</v>
      </c>
      <c r="K69" s="3">
        <f t="shared" si="7"/>
        <v>0</v>
      </c>
    </row>
    <row r="70" spans="1:11" x14ac:dyDescent="0.25">
      <c r="A70" s="9">
        <f>IF(Lease!$H$4="Monthly",DATE(YEAR(Monthly!A69),MONTH(Monthly!A69)+1,DAY(Monthly!A69)),IF(Lease!$H$4="Quarterly",DATE(YEAR(Monthly!A69),MONTH(Monthly!A69)+3,DAY(Monthly!A69)),DATE(YEAR(Monthly!A69)+1,MONTH(Monthly!A69),DAY(Monthly!A69))))</f>
        <v>66915</v>
      </c>
      <c r="B70" s="31">
        <f t="shared" si="11"/>
        <v>2083</v>
      </c>
      <c r="C70" s="9">
        <f t="shared" si="9"/>
        <v>66901</v>
      </c>
      <c r="D70" s="9">
        <f t="shared" si="12"/>
        <v>66931</v>
      </c>
      <c r="E70" s="3">
        <f t="shared" si="13"/>
        <v>31</v>
      </c>
      <c r="F70" s="10">
        <f t="shared" si="14"/>
        <v>17</v>
      </c>
      <c r="G70" s="4">
        <f>Lease!K82</f>
        <v>0</v>
      </c>
      <c r="H70" s="3">
        <f t="shared" si="15"/>
        <v>0</v>
      </c>
      <c r="I70" s="11">
        <f t="shared" ref="I70:I100" si="16">G70-H69</f>
        <v>0</v>
      </c>
      <c r="J70" s="20">
        <f t="shared" si="10"/>
        <v>66915</v>
      </c>
      <c r="K70" s="3">
        <f t="shared" ref="K70:K100" si="17">H70+I70</f>
        <v>0</v>
      </c>
    </row>
    <row r="71" spans="1:11" x14ac:dyDescent="0.25">
      <c r="A71" s="9">
        <f>IF(Lease!$H$4="Monthly",DATE(YEAR(Monthly!A70),MONTH(Monthly!A70)+1,DAY(Monthly!A70)),IF(Lease!$H$4="Quarterly",DATE(YEAR(Monthly!A70),MONTH(Monthly!A70)+3,DAY(Monthly!A70)),DATE(YEAR(Monthly!A70)+1,MONTH(Monthly!A70),DAY(Monthly!A70))))</f>
        <v>67281</v>
      </c>
      <c r="B71" s="31">
        <f t="shared" si="11"/>
        <v>2084</v>
      </c>
      <c r="C71" s="9">
        <f t="shared" si="9"/>
        <v>67267</v>
      </c>
      <c r="D71" s="9">
        <f t="shared" si="12"/>
        <v>67297</v>
      </c>
      <c r="E71" s="3">
        <f t="shared" si="13"/>
        <v>31</v>
      </c>
      <c r="F71" s="10">
        <f t="shared" si="14"/>
        <v>17</v>
      </c>
      <c r="G71" s="4">
        <f>Lease!K83</f>
        <v>0</v>
      </c>
      <c r="H71" s="3">
        <f t="shared" si="15"/>
        <v>0</v>
      </c>
      <c r="I71" s="11">
        <f t="shared" si="16"/>
        <v>0</v>
      </c>
      <c r="J71" s="20">
        <f t="shared" si="10"/>
        <v>67281</v>
      </c>
      <c r="K71" s="3">
        <f t="shared" si="17"/>
        <v>0</v>
      </c>
    </row>
    <row r="72" spans="1:11" x14ac:dyDescent="0.25">
      <c r="A72" s="9">
        <f>IF(Lease!$H$4="Monthly",DATE(YEAR(Monthly!A71),MONTH(Monthly!A71)+1,DAY(Monthly!A71)),IF(Lease!$H$4="Quarterly",DATE(YEAR(Monthly!A71),MONTH(Monthly!A71)+3,DAY(Monthly!A71)),DATE(YEAR(Monthly!A71)+1,MONTH(Monthly!A71),DAY(Monthly!A71))))</f>
        <v>67646</v>
      </c>
      <c r="B72" s="31">
        <f t="shared" si="11"/>
        <v>2085</v>
      </c>
      <c r="C72" s="9">
        <f t="shared" si="9"/>
        <v>67632</v>
      </c>
      <c r="D72" s="9">
        <f t="shared" si="12"/>
        <v>67662</v>
      </c>
      <c r="E72" s="3">
        <f t="shared" si="13"/>
        <v>31</v>
      </c>
      <c r="F72" s="10">
        <f t="shared" si="14"/>
        <v>17</v>
      </c>
      <c r="G72" s="4">
        <f>Lease!K84</f>
        <v>0</v>
      </c>
      <c r="H72" s="3">
        <f t="shared" si="15"/>
        <v>0</v>
      </c>
      <c r="I72" s="11">
        <f t="shared" si="16"/>
        <v>0</v>
      </c>
      <c r="J72" s="20">
        <f t="shared" si="10"/>
        <v>67646</v>
      </c>
      <c r="K72" s="3">
        <f t="shared" si="17"/>
        <v>0</v>
      </c>
    </row>
    <row r="73" spans="1:11" x14ac:dyDescent="0.25">
      <c r="A73" s="9">
        <f>IF(Lease!$H$4="Monthly",DATE(YEAR(Monthly!A72),MONTH(Monthly!A72)+1,DAY(Monthly!A72)),IF(Lease!$H$4="Quarterly",DATE(YEAR(Monthly!A72),MONTH(Monthly!A72)+3,DAY(Monthly!A72)),DATE(YEAR(Monthly!A72)+1,MONTH(Monthly!A72),DAY(Monthly!A72))))</f>
        <v>68011</v>
      </c>
      <c r="B73" s="31">
        <f t="shared" si="11"/>
        <v>2086</v>
      </c>
      <c r="C73" s="9">
        <f t="shared" si="9"/>
        <v>67997</v>
      </c>
      <c r="D73" s="9">
        <f t="shared" si="12"/>
        <v>68027</v>
      </c>
      <c r="E73" s="3">
        <f t="shared" si="13"/>
        <v>31</v>
      </c>
      <c r="F73" s="10">
        <f t="shared" si="14"/>
        <v>17</v>
      </c>
      <c r="G73" s="4">
        <f>Lease!K85</f>
        <v>0</v>
      </c>
      <c r="H73" s="3">
        <f t="shared" si="15"/>
        <v>0</v>
      </c>
      <c r="I73" s="11">
        <f t="shared" si="16"/>
        <v>0</v>
      </c>
      <c r="J73" s="20">
        <f t="shared" si="10"/>
        <v>68011</v>
      </c>
      <c r="K73" s="3">
        <f t="shared" si="17"/>
        <v>0</v>
      </c>
    </row>
    <row r="74" spans="1:11" x14ac:dyDescent="0.25">
      <c r="A74" s="9">
        <f>IF(Lease!$H$4="Monthly",DATE(YEAR(Monthly!A73),MONTH(Monthly!A73)+1,DAY(Monthly!A73)),IF(Lease!$H$4="Quarterly",DATE(YEAR(Monthly!A73),MONTH(Monthly!A73)+3,DAY(Monthly!A73)),DATE(YEAR(Monthly!A73)+1,MONTH(Monthly!A73),DAY(Monthly!A73))))</f>
        <v>68376</v>
      </c>
      <c r="B74" s="31">
        <f t="shared" si="11"/>
        <v>2087</v>
      </c>
      <c r="C74" s="9">
        <f t="shared" si="9"/>
        <v>68362</v>
      </c>
      <c r="D74" s="9">
        <f t="shared" si="12"/>
        <v>68392</v>
      </c>
      <c r="E74" s="3">
        <f t="shared" si="13"/>
        <v>31</v>
      </c>
      <c r="F74" s="10">
        <f t="shared" si="14"/>
        <v>17</v>
      </c>
      <c r="G74" s="4">
        <f>Lease!K86</f>
        <v>0</v>
      </c>
      <c r="H74" s="3">
        <f t="shared" si="15"/>
        <v>0</v>
      </c>
      <c r="I74" s="11">
        <f t="shared" si="16"/>
        <v>0</v>
      </c>
      <c r="J74" s="20">
        <f t="shared" si="10"/>
        <v>68376</v>
      </c>
      <c r="K74" s="3">
        <f t="shared" si="17"/>
        <v>0</v>
      </c>
    </row>
    <row r="75" spans="1:11" x14ac:dyDescent="0.25">
      <c r="A75" s="9">
        <f>IF(Lease!$H$4="Monthly",DATE(YEAR(Monthly!A74),MONTH(Monthly!A74)+1,DAY(Monthly!A74)),IF(Lease!$H$4="Quarterly",DATE(YEAR(Monthly!A74),MONTH(Monthly!A74)+3,DAY(Monthly!A74)),DATE(YEAR(Monthly!A74)+1,MONTH(Monthly!A74),DAY(Monthly!A74))))</f>
        <v>68742</v>
      </c>
      <c r="B75" s="31">
        <f t="shared" si="11"/>
        <v>2088</v>
      </c>
      <c r="C75" s="9">
        <f t="shared" si="9"/>
        <v>68728</v>
      </c>
      <c r="D75" s="9">
        <f t="shared" si="12"/>
        <v>68758</v>
      </c>
      <c r="E75" s="3">
        <f t="shared" si="13"/>
        <v>31</v>
      </c>
      <c r="F75" s="10">
        <f t="shared" si="14"/>
        <v>17</v>
      </c>
      <c r="G75" s="4">
        <f>Lease!K87</f>
        <v>0</v>
      </c>
      <c r="H75" s="3">
        <f t="shared" si="15"/>
        <v>0</v>
      </c>
      <c r="I75" s="11">
        <f t="shared" si="16"/>
        <v>0</v>
      </c>
      <c r="J75" s="20">
        <f t="shared" si="10"/>
        <v>68742</v>
      </c>
      <c r="K75" s="3">
        <f t="shared" si="17"/>
        <v>0</v>
      </c>
    </row>
    <row r="76" spans="1:11" x14ac:dyDescent="0.25">
      <c r="A76" s="9">
        <f>IF(Lease!$H$4="Monthly",DATE(YEAR(Monthly!A75),MONTH(Monthly!A75)+1,DAY(Monthly!A75)),IF(Lease!$H$4="Quarterly",DATE(YEAR(Monthly!A75),MONTH(Monthly!A75)+3,DAY(Monthly!A75)),DATE(YEAR(Monthly!A75)+1,MONTH(Monthly!A75),DAY(Monthly!A75))))</f>
        <v>69107</v>
      </c>
      <c r="B76" s="31">
        <f t="shared" si="11"/>
        <v>2089</v>
      </c>
      <c r="C76" s="9">
        <f t="shared" si="9"/>
        <v>69093</v>
      </c>
      <c r="D76" s="9">
        <f t="shared" si="12"/>
        <v>69123</v>
      </c>
      <c r="E76" s="3">
        <f t="shared" si="13"/>
        <v>31</v>
      </c>
      <c r="F76" s="10">
        <f t="shared" si="14"/>
        <v>17</v>
      </c>
      <c r="G76" s="4">
        <f>Lease!K88</f>
        <v>0</v>
      </c>
      <c r="H76" s="3">
        <f t="shared" si="15"/>
        <v>0</v>
      </c>
      <c r="I76" s="11">
        <f t="shared" si="16"/>
        <v>0</v>
      </c>
      <c r="J76" s="20">
        <f t="shared" si="10"/>
        <v>69107</v>
      </c>
      <c r="K76" s="3">
        <f t="shared" si="17"/>
        <v>0</v>
      </c>
    </row>
    <row r="77" spans="1:11" x14ac:dyDescent="0.25">
      <c r="A77" s="9">
        <f>IF(Lease!$H$4="Monthly",DATE(YEAR(Monthly!A76),MONTH(Monthly!A76)+1,DAY(Monthly!A76)),IF(Lease!$H$4="Quarterly",DATE(YEAR(Monthly!A76),MONTH(Monthly!A76)+3,DAY(Monthly!A76)),DATE(YEAR(Monthly!A76)+1,MONTH(Monthly!A76),DAY(Monthly!A76))))</f>
        <v>69472</v>
      </c>
      <c r="B77" s="31">
        <f t="shared" si="11"/>
        <v>2090</v>
      </c>
      <c r="C77" s="9">
        <f t="shared" si="9"/>
        <v>69458</v>
      </c>
      <c r="D77" s="9">
        <f t="shared" si="12"/>
        <v>69488</v>
      </c>
      <c r="E77" s="3">
        <f t="shared" si="13"/>
        <v>31</v>
      </c>
      <c r="F77" s="10">
        <f t="shared" si="14"/>
        <v>17</v>
      </c>
      <c r="G77" s="4">
        <f>Lease!K89</f>
        <v>0</v>
      </c>
      <c r="H77" s="3">
        <f t="shared" si="15"/>
        <v>0</v>
      </c>
      <c r="I77" s="11">
        <f t="shared" si="16"/>
        <v>0</v>
      </c>
      <c r="J77" s="20">
        <f t="shared" si="10"/>
        <v>69472</v>
      </c>
      <c r="K77" s="3">
        <f t="shared" si="17"/>
        <v>0</v>
      </c>
    </row>
    <row r="78" spans="1:11" x14ac:dyDescent="0.25">
      <c r="A78" s="9">
        <f>IF(Lease!$H$4="Monthly",DATE(YEAR(Monthly!A77),MONTH(Monthly!A77)+1,DAY(Monthly!A77)),IF(Lease!$H$4="Quarterly",DATE(YEAR(Monthly!A77),MONTH(Monthly!A77)+3,DAY(Monthly!A77)),DATE(YEAR(Monthly!A77)+1,MONTH(Monthly!A77),DAY(Monthly!A77))))</f>
        <v>69837</v>
      </c>
      <c r="B78" s="31">
        <f t="shared" si="11"/>
        <v>2091</v>
      </c>
      <c r="C78" s="9">
        <f t="shared" si="9"/>
        <v>69823</v>
      </c>
      <c r="D78" s="9">
        <f t="shared" si="12"/>
        <v>69853</v>
      </c>
      <c r="E78" s="3">
        <f t="shared" si="13"/>
        <v>31</v>
      </c>
      <c r="F78" s="10">
        <f t="shared" si="14"/>
        <v>17</v>
      </c>
      <c r="G78" s="4">
        <f>Lease!K90</f>
        <v>0</v>
      </c>
      <c r="H78" s="3">
        <f t="shared" si="15"/>
        <v>0</v>
      </c>
      <c r="I78" s="11">
        <f t="shared" si="16"/>
        <v>0</v>
      </c>
      <c r="J78" s="20">
        <f t="shared" si="10"/>
        <v>69837</v>
      </c>
      <c r="K78" s="3">
        <f t="shared" si="17"/>
        <v>0</v>
      </c>
    </row>
    <row r="79" spans="1:11" x14ac:dyDescent="0.25">
      <c r="A79" s="9">
        <f>IF(Lease!$H$4="Monthly",DATE(YEAR(Monthly!A78),MONTH(Monthly!A78)+1,DAY(Monthly!A78)),IF(Lease!$H$4="Quarterly",DATE(YEAR(Monthly!A78),MONTH(Monthly!A78)+3,DAY(Monthly!A78)),DATE(YEAR(Monthly!A78)+1,MONTH(Monthly!A78),DAY(Monthly!A78))))</f>
        <v>70203</v>
      </c>
      <c r="B79" s="31">
        <f t="shared" si="11"/>
        <v>2092</v>
      </c>
      <c r="C79" s="9">
        <f t="shared" si="9"/>
        <v>70189</v>
      </c>
      <c r="D79" s="9">
        <f t="shared" si="12"/>
        <v>70219</v>
      </c>
      <c r="E79" s="3">
        <f t="shared" si="13"/>
        <v>31</v>
      </c>
      <c r="F79" s="10">
        <f t="shared" si="14"/>
        <v>17</v>
      </c>
      <c r="G79" s="4">
        <f>Lease!K91</f>
        <v>0</v>
      </c>
      <c r="H79" s="3">
        <f t="shared" si="15"/>
        <v>0</v>
      </c>
      <c r="I79" s="11">
        <f t="shared" si="16"/>
        <v>0</v>
      </c>
      <c r="J79" s="20">
        <f t="shared" si="10"/>
        <v>70203</v>
      </c>
      <c r="K79" s="3">
        <f t="shared" si="17"/>
        <v>0</v>
      </c>
    </row>
    <row r="80" spans="1:11" x14ac:dyDescent="0.25">
      <c r="A80" s="9">
        <f>IF(Lease!$H$4="Monthly",DATE(YEAR(Monthly!A79),MONTH(Monthly!A79)+1,DAY(Monthly!A79)),IF(Lease!$H$4="Quarterly",DATE(YEAR(Monthly!A79),MONTH(Monthly!A79)+3,DAY(Monthly!A79)),DATE(YEAR(Monthly!A79)+1,MONTH(Monthly!A79),DAY(Monthly!A79))))</f>
        <v>70568</v>
      </c>
      <c r="B80" s="31">
        <f t="shared" si="11"/>
        <v>2093</v>
      </c>
      <c r="C80" s="9">
        <f t="shared" si="9"/>
        <v>70554</v>
      </c>
      <c r="D80" s="9">
        <f t="shared" si="12"/>
        <v>70584</v>
      </c>
      <c r="E80" s="3">
        <f t="shared" si="13"/>
        <v>31</v>
      </c>
      <c r="F80" s="10">
        <f t="shared" si="14"/>
        <v>17</v>
      </c>
      <c r="G80" s="4">
        <f>Lease!K92</f>
        <v>0</v>
      </c>
      <c r="H80" s="3">
        <f t="shared" si="15"/>
        <v>0</v>
      </c>
      <c r="I80" s="11">
        <f t="shared" si="16"/>
        <v>0</v>
      </c>
      <c r="J80" s="20">
        <f t="shared" si="10"/>
        <v>70568</v>
      </c>
      <c r="K80" s="3">
        <f t="shared" si="17"/>
        <v>0</v>
      </c>
    </row>
    <row r="81" spans="1:11" x14ac:dyDescent="0.25">
      <c r="A81" s="9">
        <f>IF(Lease!$H$4="Monthly",DATE(YEAR(Monthly!A80),MONTH(Monthly!A80)+1,DAY(Monthly!A80)),IF(Lease!$H$4="Quarterly",DATE(YEAR(Monthly!A80),MONTH(Monthly!A80)+3,DAY(Monthly!A80)),DATE(YEAR(Monthly!A80)+1,MONTH(Monthly!A80),DAY(Monthly!A80))))</f>
        <v>70933</v>
      </c>
      <c r="B81" s="31">
        <f t="shared" si="11"/>
        <v>2094</v>
      </c>
      <c r="C81" s="9">
        <f t="shared" si="9"/>
        <v>70919</v>
      </c>
      <c r="D81" s="9">
        <f t="shared" si="12"/>
        <v>70949</v>
      </c>
      <c r="E81" s="3">
        <f t="shared" si="13"/>
        <v>31</v>
      </c>
      <c r="F81" s="10">
        <f t="shared" si="14"/>
        <v>17</v>
      </c>
      <c r="G81" s="4">
        <f>Lease!K93</f>
        <v>0</v>
      </c>
      <c r="H81" s="3">
        <f t="shared" si="15"/>
        <v>0</v>
      </c>
      <c r="I81" s="11">
        <f t="shared" si="16"/>
        <v>0</v>
      </c>
      <c r="J81" s="20">
        <f t="shared" si="10"/>
        <v>70933</v>
      </c>
      <c r="K81" s="3">
        <f t="shared" si="17"/>
        <v>0</v>
      </c>
    </row>
    <row r="82" spans="1:11" x14ac:dyDescent="0.25">
      <c r="A82" s="9">
        <f>IF(Lease!$H$4="Monthly",DATE(YEAR(Monthly!A81),MONTH(Monthly!A81)+1,DAY(Monthly!A81)),IF(Lease!$H$4="Quarterly",DATE(YEAR(Monthly!A81),MONTH(Monthly!A81)+3,DAY(Monthly!A81)),DATE(YEAR(Monthly!A81)+1,MONTH(Monthly!A81),DAY(Monthly!A81))))</f>
        <v>71298</v>
      </c>
      <c r="B82" s="31">
        <f t="shared" si="11"/>
        <v>2095</v>
      </c>
      <c r="C82" s="9">
        <f t="shared" si="9"/>
        <v>71284</v>
      </c>
      <c r="D82" s="9">
        <f t="shared" si="12"/>
        <v>71314</v>
      </c>
      <c r="E82" s="3">
        <f t="shared" si="13"/>
        <v>31</v>
      </c>
      <c r="F82" s="10">
        <f t="shared" si="14"/>
        <v>17</v>
      </c>
      <c r="G82" s="4">
        <f>Lease!K94</f>
        <v>0</v>
      </c>
      <c r="H82" s="3">
        <f t="shared" si="15"/>
        <v>0</v>
      </c>
      <c r="I82" s="11">
        <f t="shared" si="16"/>
        <v>0</v>
      </c>
      <c r="J82" s="20">
        <f t="shared" si="10"/>
        <v>71298</v>
      </c>
      <c r="K82" s="3">
        <f t="shared" si="17"/>
        <v>0</v>
      </c>
    </row>
    <row r="83" spans="1:11" x14ac:dyDescent="0.25">
      <c r="A83" s="9">
        <f>IF(Lease!$H$4="Monthly",DATE(YEAR(Monthly!A82),MONTH(Monthly!A82)+1,DAY(Monthly!A82)),IF(Lease!$H$4="Quarterly",DATE(YEAR(Monthly!A82),MONTH(Monthly!A82)+3,DAY(Monthly!A82)),DATE(YEAR(Monthly!A82)+1,MONTH(Monthly!A82),DAY(Monthly!A82))))</f>
        <v>71664</v>
      </c>
      <c r="B83" s="31">
        <f t="shared" si="11"/>
        <v>2096</v>
      </c>
      <c r="C83" s="9">
        <f t="shared" si="9"/>
        <v>71650</v>
      </c>
      <c r="D83" s="9">
        <f t="shared" si="12"/>
        <v>71680</v>
      </c>
      <c r="E83" s="3">
        <f t="shared" si="13"/>
        <v>31</v>
      </c>
      <c r="F83" s="10">
        <f t="shared" si="14"/>
        <v>17</v>
      </c>
      <c r="G83" s="4">
        <f>Lease!K95</f>
        <v>0</v>
      </c>
      <c r="H83" s="3">
        <f t="shared" si="15"/>
        <v>0</v>
      </c>
      <c r="I83" s="11">
        <f t="shared" si="16"/>
        <v>0</v>
      </c>
      <c r="J83" s="20">
        <f t="shared" si="10"/>
        <v>71664</v>
      </c>
      <c r="K83" s="3">
        <f t="shared" si="17"/>
        <v>0</v>
      </c>
    </row>
    <row r="84" spans="1:11" x14ac:dyDescent="0.25">
      <c r="A84" s="9">
        <f>IF(Lease!$H$4="Monthly",DATE(YEAR(Monthly!A83),MONTH(Monthly!A83)+1,DAY(Monthly!A83)),IF(Lease!$H$4="Quarterly",DATE(YEAR(Monthly!A83),MONTH(Monthly!A83)+3,DAY(Monthly!A83)),DATE(YEAR(Monthly!A83)+1,MONTH(Monthly!A83),DAY(Monthly!A83))))</f>
        <v>72029</v>
      </c>
      <c r="B84" s="31">
        <f t="shared" si="11"/>
        <v>2097</v>
      </c>
      <c r="C84" s="9">
        <f t="shared" si="9"/>
        <v>72015</v>
      </c>
      <c r="D84" s="9">
        <f t="shared" si="12"/>
        <v>72045</v>
      </c>
      <c r="E84" s="3">
        <f t="shared" si="13"/>
        <v>31</v>
      </c>
      <c r="F84" s="10">
        <f t="shared" si="14"/>
        <v>17</v>
      </c>
      <c r="G84" s="4">
        <f>Lease!K96</f>
        <v>0</v>
      </c>
      <c r="H84" s="3">
        <f t="shared" si="15"/>
        <v>0</v>
      </c>
      <c r="I84" s="11">
        <f t="shared" si="16"/>
        <v>0</v>
      </c>
      <c r="J84" s="20">
        <f t="shared" si="10"/>
        <v>72029</v>
      </c>
      <c r="K84" s="3">
        <f t="shared" si="17"/>
        <v>0</v>
      </c>
    </row>
    <row r="85" spans="1:11" x14ac:dyDescent="0.25">
      <c r="A85" s="9">
        <f>IF(Lease!$H$4="Monthly",DATE(YEAR(Monthly!A84),MONTH(Monthly!A84)+1,DAY(Monthly!A84)),IF(Lease!$H$4="Quarterly",DATE(YEAR(Monthly!A84),MONTH(Monthly!A84)+3,DAY(Monthly!A84)),DATE(YEAR(Monthly!A84)+1,MONTH(Monthly!A84),DAY(Monthly!A84))))</f>
        <v>72394</v>
      </c>
      <c r="B85" s="31">
        <f t="shared" si="11"/>
        <v>2098</v>
      </c>
      <c r="C85" s="9">
        <f t="shared" si="9"/>
        <v>72380</v>
      </c>
      <c r="D85" s="9">
        <f t="shared" si="12"/>
        <v>72410</v>
      </c>
      <c r="E85" s="3">
        <f t="shared" si="13"/>
        <v>31</v>
      </c>
      <c r="F85" s="10">
        <f t="shared" si="14"/>
        <v>17</v>
      </c>
      <c r="G85" s="4">
        <f>Lease!K97</f>
        <v>0</v>
      </c>
      <c r="H85" s="3">
        <f t="shared" si="15"/>
        <v>0</v>
      </c>
      <c r="I85" s="11">
        <f t="shared" si="16"/>
        <v>0</v>
      </c>
      <c r="J85" s="20">
        <f t="shared" si="10"/>
        <v>72394</v>
      </c>
      <c r="K85" s="3">
        <f t="shared" si="17"/>
        <v>0</v>
      </c>
    </row>
    <row r="86" spans="1:11" x14ac:dyDescent="0.25">
      <c r="A86" s="9">
        <f>IF(Lease!$H$4="Monthly",DATE(YEAR(Monthly!A85),MONTH(Monthly!A85)+1,DAY(Monthly!A85)),IF(Lease!$H$4="Quarterly",DATE(YEAR(Monthly!A85),MONTH(Monthly!A85)+3,DAY(Monthly!A85)),DATE(YEAR(Monthly!A85)+1,MONTH(Monthly!A85),DAY(Monthly!A85))))</f>
        <v>72759</v>
      </c>
      <c r="B86" s="31">
        <f t="shared" si="11"/>
        <v>2099</v>
      </c>
      <c r="C86" s="9">
        <f t="shared" si="9"/>
        <v>72745</v>
      </c>
      <c r="D86" s="9">
        <f t="shared" si="12"/>
        <v>72775</v>
      </c>
      <c r="E86" s="3">
        <f t="shared" si="13"/>
        <v>31</v>
      </c>
      <c r="F86" s="10">
        <f t="shared" si="14"/>
        <v>17</v>
      </c>
      <c r="G86" s="4">
        <f>Lease!K98</f>
        <v>0</v>
      </c>
      <c r="H86" s="3">
        <f t="shared" si="15"/>
        <v>0</v>
      </c>
      <c r="I86" s="11">
        <f t="shared" si="16"/>
        <v>0</v>
      </c>
      <c r="J86" s="20">
        <f t="shared" si="10"/>
        <v>72759</v>
      </c>
      <c r="K86" s="3">
        <f t="shared" si="17"/>
        <v>0</v>
      </c>
    </row>
    <row r="87" spans="1:11" x14ac:dyDescent="0.25">
      <c r="A87" s="9">
        <f>IF(Lease!$H$4="Monthly",DATE(YEAR(Monthly!A86),MONTH(Monthly!A86)+1,DAY(Monthly!A86)),IF(Lease!$H$4="Quarterly",DATE(YEAR(Monthly!A86),MONTH(Monthly!A86)+3,DAY(Monthly!A86)),DATE(YEAR(Monthly!A86)+1,MONTH(Monthly!A86),DAY(Monthly!A86))))</f>
        <v>73124</v>
      </c>
      <c r="B87" s="31">
        <f t="shared" si="11"/>
        <v>2100</v>
      </c>
      <c r="C87" s="9">
        <f t="shared" si="9"/>
        <v>73110</v>
      </c>
      <c r="D87" s="9">
        <f t="shared" si="12"/>
        <v>73140</v>
      </c>
      <c r="E87" s="3">
        <f t="shared" si="13"/>
        <v>31</v>
      </c>
      <c r="F87" s="10">
        <f t="shared" si="14"/>
        <v>17</v>
      </c>
      <c r="G87" s="4">
        <f>Lease!K99</f>
        <v>0</v>
      </c>
      <c r="H87" s="3">
        <f t="shared" si="15"/>
        <v>0</v>
      </c>
      <c r="I87" s="11">
        <f t="shared" si="16"/>
        <v>0</v>
      </c>
      <c r="J87" s="20">
        <f t="shared" si="10"/>
        <v>73124</v>
      </c>
      <c r="K87" s="3">
        <f t="shared" si="17"/>
        <v>0</v>
      </c>
    </row>
    <row r="88" spans="1:11" x14ac:dyDescent="0.25">
      <c r="A88" s="9">
        <f>IF(Lease!$H$4="Monthly",DATE(YEAR(Monthly!A87),MONTH(Monthly!A87)+1,DAY(Monthly!A87)),IF(Lease!$H$4="Quarterly",DATE(YEAR(Monthly!A87),MONTH(Monthly!A87)+3,DAY(Monthly!A87)),DATE(YEAR(Monthly!A87)+1,MONTH(Monthly!A87),DAY(Monthly!A87))))</f>
        <v>73489</v>
      </c>
      <c r="B88" s="31">
        <f t="shared" si="11"/>
        <v>2101</v>
      </c>
      <c r="C88" s="9">
        <f t="shared" si="9"/>
        <v>73475</v>
      </c>
      <c r="D88" s="9">
        <f t="shared" si="12"/>
        <v>73505</v>
      </c>
      <c r="E88" s="3">
        <f t="shared" si="13"/>
        <v>31</v>
      </c>
      <c r="F88" s="10">
        <f t="shared" si="14"/>
        <v>17</v>
      </c>
      <c r="G88" s="4">
        <f>Lease!K100</f>
        <v>0</v>
      </c>
      <c r="H88" s="3" t="e">
        <f t="shared" si="15"/>
        <v>#REF!</v>
      </c>
      <c r="I88" s="11">
        <f t="shared" si="16"/>
        <v>0</v>
      </c>
      <c r="J88" s="20">
        <f t="shared" si="10"/>
        <v>73489</v>
      </c>
      <c r="K88" s="3" t="e">
        <f t="shared" si="17"/>
        <v>#REF!</v>
      </c>
    </row>
    <row r="89" spans="1:11" x14ac:dyDescent="0.25">
      <c r="A89" s="9">
        <f>IF(Lease!$H$4="Monthly",DATE(YEAR(Monthly!A88),MONTH(Monthly!A88)+1,DAY(Monthly!A88)),IF(Lease!$H$4="Quarterly",DATE(YEAR(Monthly!A88),MONTH(Monthly!A88)+3,DAY(Monthly!A88)),DATE(YEAR(Monthly!A88)+1,MONTH(Monthly!A88),DAY(Monthly!A88))))</f>
        <v>73854</v>
      </c>
      <c r="B89" s="31">
        <f t="shared" si="11"/>
        <v>2102</v>
      </c>
      <c r="C89" s="9">
        <f t="shared" si="9"/>
        <v>73840</v>
      </c>
      <c r="D89" s="9">
        <f t="shared" si="12"/>
        <v>73870</v>
      </c>
      <c r="E89" s="3">
        <f t="shared" si="13"/>
        <v>31</v>
      </c>
      <c r="F89" s="10">
        <f t="shared" si="14"/>
        <v>17</v>
      </c>
      <c r="G89" s="4" t="e">
        <f>Lease!#REF!</f>
        <v>#REF!</v>
      </c>
      <c r="H89" s="3" t="e">
        <f t="shared" si="15"/>
        <v>#REF!</v>
      </c>
      <c r="I89" s="11" t="e">
        <f t="shared" si="16"/>
        <v>#REF!</v>
      </c>
      <c r="J89" s="20">
        <f t="shared" si="10"/>
        <v>73854</v>
      </c>
      <c r="K89" s="3" t="e">
        <f t="shared" si="17"/>
        <v>#REF!</v>
      </c>
    </row>
    <row r="90" spans="1:11" x14ac:dyDescent="0.25">
      <c r="A90" s="9">
        <f>IF(Lease!$H$4="Monthly",DATE(YEAR(Monthly!A89),MONTH(Monthly!A89)+1,DAY(Monthly!A89)),IF(Lease!$H$4="Quarterly",DATE(YEAR(Monthly!A89),MONTH(Monthly!A89)+3,DAY(Monthly!A89)),DATE(YEAR(Monthly!A89)+1,MONTH(Monthly!A89),DAY(Monthly!A89))))</f>
        <v>74219</v>
      </c>
      <c r="B90" s="31">
        <f t="shared" si="11"/>
        <v>2103</v>
      </c>
      <c r="C90" s="9">
        <f t="shared" si="9"/>
        <v>74205</v>
      </c>
      <c r="D90" s="9">
        <f t="shared" si="12"/>
        <v>74235</v>
      </c>
      <c r="E90" s="3">
        <f t="shared" si="13"/>
        <v>31</v>
      </c>
      <c r="F90" s="10">
        <f t="shared" si="14"/>
        <v>17</v>
      </c>
      <c r="G90" s="4" t="e">
        <f>Lease!#REF!</f>
        <v>#REF!</v>
      </c>
      <c r="H90" s="3" t="e">
        <f t="shared" si="15"/>
        <v>#REF!</v>
      </c>
      <c r="I90" s="11" t="e">
        <f t="shared" si="16"/>
        <v>#REF!</v>
      </c>
      <c r="J90" s="20">
        <f t="shared" si="10"/>
        <v>74219</v>
      </c>
      <c r="K90" s="3" t="e">
        <f t="shared" si="17"/>
        <v>#REF!</v>
      </c>
    </row>
    <row r="91" spans="1:11" x14ac:dyDescent="0.25">
      <c r="A91" s="9">
        <f>IF(Lease!$H$4="Monthly",DATE(YEAR(Monthly!A90),MONTH(Monthly!A90)+1,DAY(Monthly!A90)),IF(Lease!$H$4="Quarterly",DATE(YEAR(Monthly!A90),MONTH(Monthly!A90)+3,DAY(Monthly!A90)),DATE(YEAR(Monthly!A90)+1,MONTH(Monthly!A90),DAY(Monthly!A90))))</f>
        <v>74585</v>
      </c>
      <c r="B91" s="31">
        <f t="shared" si="11"/>
        <v>2104</v>
      </c>
      <c r="C91" s="9">
        <f t="shared" si="9"/>
        <v>74571</v>
      </c>
      <c r="D91" s="9">
        <f t="shared" si="12"/>
        <v>74601</v>
      </c>
      <c r="E91" s="3">
        <f t="shared" si="13"/>
        <v>31</v>
      </c>
      <c r="F91" s="10">
        <f t="shared" si="14"/>
        <v>17</v>
      </c>
      <c r="G91" s="4" t="e">
        <f>Lease!#REF!</f>
        <v>#REF!</v>
      </c>
      <c r="H91" s="3" t="e">
        <f t="shared" si="15"/>
        <v>#REF!</v>
      </c>
      <c r="I91" s="11" t="e">
        <f t="shared" si="16"/>
        <v>#REF!</v>
      </c>
      <c r="J91" s="20">
        <f t="shared" si="10"/>
        <v>74585</v>
      </c>
      <c r="K91" s="3" t="e">
        <f t="shared" si="17"/>
        <v>#REF!</v>
      </c>
    </row>
    <row r="92" spans="1:11" x14ac:dyDescent="0.25">
      <c r="A92" s="9">
        <f>IF(Lease!$H$4="Monthly",DATE(YEAR(Monthly!A91),MONTH(Monthly!A91)+1,DAY(Monthly!A91)),IF(Lease!$H$4="Quarterly",DATE(YEAR(Monthly!A91),MONTH(Monthly!A91)+3,DAY(Monthly!A91)),DATE(YEAR(Monthly!A91)+1,MONTH(Monthly!A91),DAY(Monthly!A91))))</f>
        <v>74950</v>
      </c>
      <c r="B92" s="31">
        <f t="shared" si="11"/>
        <v>2105</v>
      </c>
      <c r="C92" s="9">
        <f t="shared" si="9"/>
        <v>74936</v>
      </c>
      <c r="D92" s="9">
        <f t="shared" si="12"/>
        <v>74966</v>
      </c>
      <c r="E92" s="3">
        <f t="shared" si="13"/>
        <v>31</v>
      </c>
      <c r="F92" s="10">
        <f t="shared" si="14"/>
        <v>17</v>
      </c>
      <c r="G92" s="4" t="e">
        <f>Lease!#REF!</f>
        <v>#REF!</v>
      </c>
      <c r="H92" s="3" t="e">
        <f t="shared" si="15"/>
        <v>#REF!</v>
      </c>
      <c r="I92" s="11" t="e">
        <f t="shared" si="16"/>
        <v>#REF!</v>
      </c>
      <c r="J92" s="20">
        <f t="shared" si="10"/>
        <v>74950</v>
      </c>
      <c r="K92" s="3" t="e">
        <f t="shared" si="17"/>
        <v>#REF!</v>
      </c>
    </row>
    <row r="93" spans="1:11" x14ac:dyDescent="0.25">
      <c r="A93" s="9">
        <f>IF(Lease!$H$4="Monthly",DATE(YEAR(Monthly!A92),MONTH(Monthly!A92)+1,DAY(Monthly!A92)),IF(Lease!$H$4="Quarterly",DATE(YEAR(Monthly!A92),MONTH(Monthly!A92)+3,DAY(Monthly!A92)),DATE(YEAR(Monthly!A92)+1,MONTH(Monthly!A92),DAY(Monthly!A92))))</f>
        <v>75315</v>
      </c>
      <c r="B93" s="31">
        <f t="shared" si="11"/>
        <v>2106</v>
      </c>
      <c r="C93" s="9">
        <f t="shared" si="9"/>
        <v>75301</v>
      </c>
      <c r="D93" s="9">
        <f t="shared" si="12"/>
        <v>75331</v>
      </c>
      <c r="E93" s="3">
        <f t="shared" si="13"/>
        <v>31</v>
      </c>
      <c r="F93" s="10">
        <f t="shared" si="14"/>
        <v>17</v>
      </c>
      <c r="G93" s="4" t="e">
        <f>Lease!#REF!</f>
        <v>#REF!</v>
      </c>
      <c r="H93" s="3" t="e">
        <f t="shared" si="15"/>
        <v>#REF!</v>
      </c>
      <c r="I93" s="11" t="e">
        <f t="shared" si="16"/>
        <v>#REF!</v>
      </c>
      <c r="J93" s="20">
        <f t="shared" si="10"/>
        <v>75315</v>
      </c>
      <c r="K93" s="3" t="e">
        <f t="shared" si="17"/>
        <v>#REF!</v>
      </c>
    </row>
    <row r="94" spans="1:11" x14ac:dyDescent="0.25">
      <c r="A94" s="9">
        <f>IF(Lease!$H$4="Monthly",DATE(YEAR(Monthly!A93),MONTH(Monthly!A93)+1,DAY(Monthly!A93)),IF(Lease!$H$4="Quarterly",DATE(YEAR(Monthly!A93),MONTH(Monthly!A93)+3,DAY(Monthly!A93)),DATE(YEAR(Monthly!A93)+1,MONTH(Monthly!A93),DAY(Monthly!A93))))</f>
        <v>75680</v>
      </c>
      <c r="B94" s="31">
        <f t="shared" si="11"/>
        <v>2107</v>
      </c>
      <c r="C94" s="9">
        <f t="shared" si="9"/>
        <v>75666</v>
      </c>
      <c r="D94" s="9">
        <f t="shared" si="12"/>
        <v>75696</v>
      </c>
      <c r="E94" s="3">
        <f t="shared" si="13"/>
        <v>31</v>
      </c>
      <c r="F94" s="10">
        <f t="shared" si="14"/>
        <v>17</v>
      </c>
      <c r="G94" s="4" t="e">
        <f>Lease!#REF!</f>
        <v>#REF!</v>
      </c>
      <c r="H94" s="3" t="e">
        <f t="shared" si="15"/>
        <v>#REF!</v>
      </c>
      <c r="I94" s="11" t="e">
        <f t="shared" si="16"/>
        <v>#REF!</v>
      </c>
      <c r="J94" s="20">
        <f t="shared" si="10"/>
        <v>75680</v>
      </c>
      <c r="K94" s="3" t="e">
        <f t="shared" si="17"/>
        <v>#REF!</v>
      </c>
    </row>
    <row r="95" spans="1:11" x14ac:dyDescent="0.25">
      <c r="A95" s="9">
        <f>IF(Lease!$H$4="Monthly",DATE(YEAR(Monthly!A94),MONTH(Monthly!A94)+1,DAY(Monthly!A94)),IF(Lease!$H$4="Quarterly",DATE(YEAR(Monthly!A94),MONTH(Monthly!A94)+3,DAY(Monthly!A94)),DATE(YEAR(Monthly!A94)+1,MONTH(Monthly!A94),DAY(Monthly!A94))))</f>
        <v>76046</v>
      </c>
      <c r="B95" s="31">
        <f t="shared" si="11"/>
        <v>2108</v>
      </c>
      <c r="C95" s="9">
        <f t="shared" si="9"/>
        <v>76032</v>
      </c>
      <c r="D95" s="9">
        <f t="shared" si="12"/>
        <v>76062</v>
      </c>
      <c r="E95" s="3">
        <f t="shared" si="13"/>
        <v>31</v>
      </c>
      <c r="F95" s="10">
        <f t="shared" si="14"/>
        <v>17</v>
      </c>
      <c r="G95" s="4" t="e">
        <f>Lease!#REF!</f>
        <v>#REF!</v>
      </c>
      <c r="H95" s="3" t="e">
        <f t="shared" si="15"/>
        <v>#REF!</v>
      </c>
      <c r="I95" s="11" t="e">
        <f t="shared" si="16"/>
        <v>#REF!</v>
      </c>
      <c r="J95" s="20">
        <f t="shared" si="10"/>
        <v>76046</v>
      </c>
      <c r="K95" s="3" t="e">
        <f t="shared" si="17"/>
        <v>#REF!</v>
      </c>
    </row>
    <row r="96" spans="1:11" x14ac:dyDescent="0.25">
      <c r="A96" s="9">
        <f>IF(Lease!$H$4="Monthly",DATE(YEAR(Monthly!A95),MONTH(Monthly!A95)+1,DAY(Monthly!A95)),IF(Lease!$H$4="Quarterly",DATE(YEAR(Monthly!A95),MONTH(Monthly!A95)+3,DAY(Monthly!A95)),DATE(YEAR(Monthly!A95)+1,MONTH(Monthly!A95),DAY(Monthly!A95))))</f>
        <v>76411</v>
      </c>
      <c r="B96" s="31">
        <f t="shared" si="11"/>
        <v>2109</v>
      </c>
      <c r="C96" s="9">
        <f t="shared" si="9"/>
        <v>76397</v>
      </c>
      <c r="D96" s="9">
        <f t="shared" si="12"/>
        <v>76427</v>
      </c>
      <c r="E96" s="3">
        <f t="shared" si="13"/>
        <v>31</v>
      </c>
      <c r="F96" s="10">
        <f t="shared" si="14"/>
        <v>17</v>
      </c>
      <c r="G96" s="4" t="e">
        <f>Lease!#REF!</f>
        <v>#REF!</v>
      </c>
      <c r="H96" s="3" t="e">
        <f t="shared" si="15"/>
        <v>#REF!</v>
      </c>
      <c r="I96" s="11" t="e">
        <f t="shared" si="16"/>
        <v>#REF!</v>
      </c>
      <c r="J96" s="20">
        <f t="shared" si="10"/>
        <v>76411</v>
      </c>
      <c r="K96" s="3" t="e">
        <f t="shared" si="17"/>
        <v>#REF!</v>
      </c>
    </row>
    <row r="97" spans="1:11" x14ac:dyDescent="0.25">
      <c r="A97" s="9">
        <f>IF(Lease!$H$4="Monthly",DATE(YEAR(Monthly!A96),MONTH(Monthly!A96)+1,DAY(Monthly!A96)),IF(Lease!$H$4="Quarterly",DATE(YEAR(Monthly!A96),MONTH(Monthly!A96)+3,DAY(Monthly!A96)),DATE(YEAR(Monthly!A96)+1,MONTH(Monthly!A96),DAY(Monthly!A96))))</f>
        <v>76776</v>
      </c>
      <c r="B97" s="31">
        <f t="shared" si="11"/>
        <v>2110</v>
      </c>
      <c r="C97" s="9">
        <f t="shared" si="9"/>
        <v>76762</v>
      </c>
      <c r="D97" s="9">
        <f t="shared" si="12"/>
        <v>76792</v>
      </c>
      <c r="E97" s="3">
        <f t="shared" si="13"/>
        <v>31</v>
      </c>
      <c r="F97" s="10">
        <f t="shared" si="14"/>
        <v>17</v>
      </c>
      <c r="G97" s="4" t="e">
        <f>Lease!#REF!</f>
        <v>#REF!</v>
      </c>
      <c r="H97" s="3" t="e">
        <f t="shared" si="15"/>
        <v>#REF!</v>
      </c>
      <c r="I97" s="11" t="e">
        <f t="shared" si="16"/>
        <v>#REF!</v>
      </c>
      <c r="J97" s="20">
        <f t="shared" si="10"/>
        <v>76776</v>
      </c>
      <c r="K97" s="3" t="e">
        <f t="shared" si="17"/>
        <v>#REF!</v>
      </c>
    </row>
    <row r="98" spans="1:11" x14ac:dyDescent="0.25">
      <c r="A98" s="9">
        <f>IF(Lease!$H$4="Monthly",DATE(YEAR(Monthly!A97),MONTH(Monthly!A97)+1,DAY(Monthly!A97)),IF(Lease!$H$4="Quarterly",DATE(YEAR(Monthly!A97),MONTH(Monthly!A97)+3,DAY(Monthly!A97)),DATE(YEAR(Monthly!A97)+1,MONTH(Monthly!A97),DAY(Monthly!A97))))</f>
        <v>77141</v>
      </c>
      <c r="B98" s="31">
        <f t="shared" si="11"/>
        <v>2111</v>
      </c>
      <c r="C98" s="9">
        <f t="shared" si="9"/>
        <v>77127</v>
      </c>
      <c r="D98" s="9">
        <f t="shared" si="12"/>
        <v>77157</v>
      </c>
      <c r="E98" s="3">
        <f t="shared" si="13"/>
        <v>31</v>
      </c>
      <c r="F98" s="10">
        <f t="shared" si="14"/>
        <v>17</v>
      </c>
      <c r="G98" s="4" t="e">
        <f>Lease!#REF!</f>
        <v>#REF!</v>
      </c>
      <c r="H98" s="3" t="e">
        <f t="shared" si="15"/>
        <v>#REF!</v>
      </c>
      <c r="I98" s="11" t="e">
        <f t="shared" si="16"/>
        <v>#REF!</v>
      </c>
      <c r="J98" s="20">
        <f t="shared" si="10"/>
        <v>77141</v>
      </c>
      <c r="K98" s="3" t="e">
        <f t="shared" si="17"/>
        <v>#REF!</v>
      </c>
    </row>
    <row r="99" spans="1:11" x14ac:dyDescent="0.25">
      <c r="A99" s="9">
        <f>IF(Lease!$H$4="Monthly",DATE(YEAR(Monthly!A98),MONTH(Monthly!A98)+1,DAY(Monthly!A98)),IF(Lease!$H$4="Quarterly",DATE(YEAR(Monthly!A98),MONTH(Monthly!A98)+3,DAY(Monthly!A98)),DATE(YEAR(Monthly!A98)+1,MONTH(Monthly!A98),DAY(Monthly!A98))))</f>
        <v>77507</v>
      </c>
      <c r="B99" s="31">
        <f t="shared" si="11"/>
        <v>2112</v>
      </c>
      <c r="C99" s="9">
        <f t="shared" si="9"/>
        <v>77493</v>
      </c>
      <c r="D99" s="9">
        <f t="shared" si="12"/>
        <v>77523</v>
      </c>
      <c r="E99" s="3">
        <f t="shared" si="13"/>
        <v>31</v>
      </c>
      <c r="F99" s="10">
        <f t="shared" si="14"/>
        <v>17</v>
      </c>
      <c r="G99" s="4" t="e">
        <f>Lease!#REF!</f>
        <v>#REF!</v>
      </c>
      <c r="H99" s="3" t="e">
        <f t="shared" si="15"/>
        <v>#REF!</v>
      </c>
      <c r="I99" s="11" t="e">
        <f t="shared" si="16"/>
        <v>#REF!</v>
      </c>
      <c r="J99" s="20">
        <f t="shared" si="10"/>
        <v>77507</v>
      </c>
      <c r="K99" s="3" t="e">
        <f t="shared" si="17"/>
        <v>#REF!</v>
      </c>
    </row>
    <row r="100" spans="1:11" x14ac:dyDescent="0.25">
      <c r="A100" s="9">
        <f>IF(Lease!$H$4="Monthly",DATE(YEAR(Monthly!A99),MONTH(Monthly!A99)+1,DAY(Monthly!A99)),IF(Lease!$H$4="Quarterly",DATE(YEAR(Monthly!A99),MONTH(Monthly!A99)+3,DAY(Monthly!A99)),DATE(YEAR(Monthly!A99)+1,MONTH(Monthly!A99),DAY(Monthly!A99))))</f>
        <v>77872</v>
      </c>
      <c r="B100" s="31">
        <f t="shared" si="11"/>
        <v>2113</v>
      </c>
      <c r="C100" s="9">
        <f t="shared" si="9"/>
        <v>77858</v>
      </c>
      <c r="D100" s="9">
        <f t="shared" si="12"/>
        <v>77888</v>
      </c>
      <c r="E100" s="3">
        <f t="shared" si="13"/>
        <v>31</v>
      </c>
      <c r="F100" s="10">
        <f t="shared" si="14"/>
        <v>17</v>
      </c>
      <c r="G100" s="4" t="e">
        <f>Lease!#REF!</f>
        <v>#REF!</v>
      </c>
      <c r="H100" s="3" t="e">
        <f>#REF!/E100*F100</f>
        <v>#REF!</v>
      </c>
      <c r="I100" s="11" t="e">
        <f t="shared" si="16"/>
        <v>#REF!</v>
      </c>
      <c r="J100" s="20">
        <f t="shared" si="10"/>
        <v>77872</v>
      </c>
      <c r="K100" s="3" t="e">
        <f t="shared" si="17"/>
        <v>#REF!</v>
      </c>
    </row>
  </sheetData>
  <phoneticPr fontId="5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GridLines="0" topLeftCell="A76" workbookViewId="0">
      <selection activeCell="F99" sqref="F99"/>
    </sheetView>
  </sheetViews>
  <sheetFormatPr baseColWidth="10" defaultColWidth="9.140625" defaultRowHeight="15" x14ac:dyDescent="0.25"/>
  <cols>
    <col min="1" max="1" width="15.7109375" customWidth="1"/>
    <col min="2" max="2" width="18.85546875" bestFit="1" customWidth="1"/>
    <col min="3" max="5" width="15.7109375" customWidth="1"/>
    <col min="6" max="6" width="13.28515625" bestFit="1" customWidth="1"/>
    <col min="7" max="7" width="31.42578125" bestFit="1" customWidth="1"/>
    <col min="8" max="8" width="13.85546875" bestFit="1" customWidth="1"/>
    <col min="9" max="9" width="21.5703125" bestFit="1" customWidth="1"/>
    <col min="10" max="10" width="21.5703125" customWidth="1"/>
    <col min="11" max="11" width="12.28515625" bestFit="1" customWidth="1"/>
  </cols>
  <sheetData>
    <row r="1" spans="1:11" x14ac:dyDescent="0.25">
      <c r="A1" s="2" t="str">
        <f>Lease!H4</f>
        <v>Yearly</v>
      </c>
      <c r="F1" s="12"/>
      <c r="G1" s="18"/>
      <c r="K1" s="1"/>
    </row>
    <row r="2" spans="1:11" x14ac:dyDescent="0.25">
      <c r="G2" s="12"/>
      <c r="K2" s="1"/>
    </row>
    <row r="3" spans="1:11" x14ac:dyDescent="0.25">
      <c r="E3" s="12"/>
      <c r="F3" s="12"/>
      <c r="G3" s="12"/>
      <c r="K3" s="1"/>
    </row>
    <row r="4" spans="1:11" x14ac:dyDescent="0.25">
      <c r="G4" s="12"/>
      <c r="K4" s="1"/>
    </row>
    <row r="5" spans="1:11" ht="90" x14ac:dyDescent="0.25">
      <c r="A5" s="25" t="s">
        <v>51</v>
      </c>
      <c r="B5" s="26" t="s">
        <v>60</v>
      </c>
      <c r="C5" s="26" t="s">
        <v>61</v>
      </c>
      <c r="D5" s="26" t="s">
        <v>63</v>
      </c>
      <c r="E5" s="26" t="s">
        <v>64</v>
      </c>
      <c r="F5" s="27" t="s">
        <v>62</v>
      </c>
      <c r="G5" s="28" t="str">
        <f>"Finance charge for "&amp;MONTH(A6)&amp;" and "&amp;MONTH(A7)&amp;" month etc"</f>
        <v>Finance charge for 3 and 3 month etc</v>
      </c>
      <c r="H5" s="28" t="str">
        <f>"Finance charge for "&amp;MONTH(A6)+1&amp;" and "&amp;MONTH(A7)+1&amp;" month etc"</f>
        <v>Finance charge for 4 and 4 month etc</v>
      </c>
      <c r="I5" s="28" t="str">
        <f>"Finance charge for "&amp;MONTH(A6)+2&amp;" and "&amp;MONTH(A7)+2&amp;" month etc"</f>
        <v>Finance charge for 5 and 5 month etc</v>
      </c>
      <c r="J5" s="28" t="s">
        <v>65</v>
      </c>
      <c r="K5" s="25" t="s">
        <v>50</v>
      </c>
    </row>
    <row r="6" spans="1:11" x14ac:dyDescent="0.25">
      <c r="A6" s="9">
        <f>Lease!B4</f>
        <v>42809</v>
      </c>
      <c r="B6" s="9">
        <f t="shared" ref="B6:B69" si="0">EOMONTH(A6,-1)+1</f>
        <v>42795</v>
      </c>
      <c r="C6" s="9">
        <f>EOMONTH(A6,0)</f>
        <v>42825</v>
      </c>
      <c r="D6" s="3">
        <f t="shared" ref="D6:D69" si="1">C6-B6+1</f>
        <v>31</v>
      </c>
      <c r="E6" s="10">
        <f t="shared" ref="E6:E69" si="2">C6-A6+1</f>
        <v>17</v>
      </c>
      <c r="F6" s="4"/>
      <c r="G6" s="3">
        <f>F7/(A7-A6+1)*E6</f>
        <v>0</v>
      </c>
      <c r="H6" s="11">
        <f t="shared" ref="H6" si="3">(F7)/(A7-A6+1)*((((EOMONTH(DATE(YEAR(A6),MONTH(A6)+1,DAY(A6)),0)))-DATE(YEAR(A6),MONTH(EOMONTH(A6,-1)+1)+1,1))+1)</f>
        <v>0</v>
      </c>
      <c r="I6" s="11">
        <f t="shared" ref="I6" si="4">(F7)/(A7-A6+1)*(((((EOMONTH(DATE(YEAR(A6),MONTH(A6)+2,DAY(A6)),0)))-DATE(YEAR(A6),MONTH(EOMONTH(A6,-1)+2)+2,1)))+1)</f>
        <v>0</v>
      </c>
      <c r="J6" s="4">
        <f t="shared" ref="J6" si="5">F7/(A7-A6+1)*(A7-DATE(YEAR(A7),MONTH(EOMONTH(A7,-1)+1),DAY(1))+1)</f>
        <v>0</v>
      </c>
      <c r="K6" s="3">
        <f>G6+J6+I6+H6</f>
        <v>0</v>
      </c>
    </row>
    <row r="7" spans="1:11" x14ac:dyDescent="0.25">
      <c r="A7" s="9">
        <f>IF(Lease!$H$4="Monthly",DATE(YEAR(Quarterly!A6),MONTH(Quarterly!A6)+1,DAY(Quarterly!A6)),IF(Lease!$H$4="Quarterly",DATE(YEAR(Quarterly!A6),MONTH(Quarterly!A6)+3,DAY(Quarterly!A6)),DATE(YEAR(Quarterly!A6)+1,MONTH(Quarterly!A6),DAY(Quarterly!A6))))</f>
        <v>43174</v>
      </c>
      <c r="B7" s="9">
        <f t="shared" si="0"/>
        <v>43160</v>
      </c>
      <c r="C7" s="9">
        <f t="shared" ref="C7:C70" si="6">EOMONTH(A7,0)</f>
        <v>43190</v>
      </c>
      <c r="D7" s="3">
        <f t="shared" si="1"/>
        <v>31</v>
      </c>
      <c r="E7" s="10">
        <f t="shared" si="2"/>
        <v>17</v>
      </c>
      <c r="F7" s="4">
        <f>Lease!K17</f>
        <v>0</v>
      </c>
      <c r="G7" s="3">
        <f t="shared" ref="G7:G70" si="7">(F8/(A8-A7+1)*E7)+J6</f>
        <v>3366.4755153349683</v>
      </c>
      <c r="H7" s="11">
        <f t="shared" ref="H7:H70" si="8">(F8)/(A8-A7+1)*((((EOMONTH(DATE(YEAR(A7),MONTH(A7)+1,DAY(A7)),0)))-DATE(YEAR(A7),MONTH(EOMONTH(A7,-1)+1)+1,1))+1)</f>
        <v>5940.8391447087679</v>
      </c>
      <c r="I7" s="11">
        <f t="shared" ref="I7:I70" si="9">(F8)/(A8-A7+1)*(((((EOMONTH(DATE(YEAR(A7),MONTH(A7)+2,DAY(A7)),0)))-DATE(YEAR(A7),MONTH(EOMONTH(A7,-1)+2)+2,1)))+1)</f>
        <v>6138.8671161990596</v>
      </c>
      <c r="J7" s="4">
        <f t="shared" ref="J7:J70" si="10">F8/(A8-A7+1)*(A8-DATE(YEAR(A8),MONTH(EOMONTH(A8,-1)+1),DAY(1))+1)</f>
        <v>2970.4195723543839</v>
      </c>
      <c r="K7" s="3">
        <f>G7+J7+I7+H7-J6</f>
        <v>18416.601348597178</v>
      </c>
    </row>
    <row r="8" spans="1:11" x14ac:dyDescent="0.25">
      <c r="A8" s="9">
        <f>IF(Lease!$H$4="Monthly",DATE(YEAR(Quarterly!A7),MONTH(Quarterly!A7)+1,DAY(Quarterly!A7)),IF(Lease!$H$4="Quarterly",DATE(YEAR(Quarterly!A7),MONTH(Quarterly!A7)+3,DAY(Quarterly!A7)),DATE(YEAR(Quarterly!A7)+1,MONTH(Quarterly!A7),DAY(Quarterly!A7))))</f>
        <v>43539</v>
      </c>
      <c r="B8" s="9">
        <f t="shared" si="0"/>
        <v>43525</v>
      </c>
      <c r="C8" s="9">
        <f t="shared" si="6"/>
        <v>43555</v>
      </c>
      <c r="D8" s="3">
        <f t="shared" si="1"/>
        <v>31</v>
      </c>
      <c r="E8" s="10">
        <f t="shared" si="2"/>
        <v>17</v>
      </c>
      <c r="F8" s="4">
        <f>Lease!K18</f>
        <v>72478.237565446965</v>
      </c>
      <c r="G8" s="3">
        <f t="shared" si="7"/>
        <v>6263.9796283304822</v>
      </c>
      <c r="H8" s="11">
        <f t="shared" si="8"/>
        <v>5812.1648046637029</v>
      </c>
      <c r="I8" s="11">
        <f t="shared" si="9"/>
        <v>6005.9036314858258</v>
      </c>
      <c r="J8" s="4">
        <f t="shared" si="10"/>
        <v>2906.0824023318514</v>
      </c>
      <c r="K8" s="3">
        <f t="shared" ref="K8:K70" si="11">G8+J8+I8+H8-J7</f>
        <v>18017.710894457476</v>
      </c>
    </row>
    <row r="9" spans="1:11" x14ac:dyDescent="0.25">
      <c r="A9" s="9">
        <f>IF(Lease!$H$4="Monthly",DATE(YEAR(Quarterly!A8),MONTH(Quarterly!A8)+1,DAY(Quarterly!A8)),IF(Lease!$H$4="Quarterly",DATE(YEAR(Quarterly!A8),MONTH(Quarterly!A8)+3,DAY(Quarterly!A8)),DATE(YEAR(Quarterly!A8)+1,MONTH(Quarterly!A8),DAY(Quarterly!A8))))</f>
        <v>43905</v>
      </c>
      <c r="B9" s="9">
        <f t="shared" si="0"/>
        <v>43891</v>
      </c>
      <c r="C9" s="9">
        <f t="shared" si="6"/>
        <v>43921</v>
      </c>
      <c r="D9" s="3">
        <f t="shared" si="1"/>
        <v>31</v>
      </c>
      <c r="E9" s="10">
        <f t="shared" si="2"/>
        <v>17</v>
      </c>
      <c r="F9" s="4">
        <f>Lease!K19</f>
        <v>71102.149443719303</v>
      </c>
      <c r="G9" s="3">
        <f t="shared" si="7"/>
        <v>6118.3047180979429</v>
      </c>
      <c r="H9" s="11">
        <f t="shared" si="8"/>
        <v>5668.6276160578082</v>
      </c>
      <c r="I9" s="11">
        <f t="shared" si="9"/>
        <v>5857.5818699264019</v>
      </c>
      <c r="J9" s="4">
        <f t="shared" si="10"/>
        <v>2834.3138080289041</v>
      </c>
      <c r="K9" s="3">
        <f t="shared" si="11"/>
        <v>17572.745609779206</v>
      </c>
    </row>
    <row r="10" spans="1:11" x14ac:dyDescent="0.25">
      <c r="A10" s="9">
        <f>IF(Lease!$H$4="Monthly",DATE(YEAR(Quarterly!A9),MONTH(Quarterly!A9)+1,DAY(Quarterly!A9)),IF(Lease!$H$4="Quarterly",DATE(YEAR(Quarterly!A9),MONTH(Quarterly!A9)+3,DAY(Quarterly!A9)),DATE(YEAR(Quarterly!A9)+1,MONTH(Quarterly!A9),DAY(Quarterly!A9))))</f>
        <v>44270</v>
      </c>
      <c r="B10" s="9">
        <f t="shared" si="0"/>
        <v>44256</v>
      </c>
      <c r="C10" s="9">
        <f t="shared" si="6"/>
        <v>44286</v>
      </c>
      <c r="D10" s="3">
        <f t="shared" si="1"/>
        <v>31</v>
      </c>
      <c r="E10" s="10">
        <f t="shared" si="2"/>
        <v>17</v>
      </c>
      <c r="F10" s="4">
        <f>Lease!K20</f>
        <v>69157.256915905265</v>
      </c>
      <c r="G10" s="3">
        <f t="shared" si="7"/>
        <v>5951.6827587089838</v>
      </c>
      <c r="H10" s="11">
        <f t="shared" si="8"/>
        <v>5501.2393247295522</v>
      </c>
      <c r="I10" s="11">
        <f t="shared" si="9"/>
        <v>5684.6139688872045</v>
      </c>
      <c r="J10" s="4">
        <f t="shared" si="10"/>
        <v>2750.6196623647761</v>
      </c>
      <c r="K10" s="3">
        <f t="shared" si="11"/>
        <v>17053.841906661615</v>
      </c>
    </row>
    <row r="11" spans="1:11" x14ac:dyDescent="0.25">
      <c r="A11" s="9">
        <f>IF(Lease!$H$4="Monthly",DATE(YEAR(Quarterly!A10),MONTH(Quarterly!A10)+1,DAY(Quarterly!A10)),IF(Lease!$H$4="Quarterly",DATE(YEAR(Quarterly!A10),MONTH(Quarterly!A10)+3,DAY(Quarterly!A10)),DATE(YEAR(Quarterly!A10)+1,MONTH(Quarterly!A10),DAY(Quarterly!A10))))</f>
        <v>44635</v>
      </c>
      <c r="B11" s="9">
        <f t="shared" si="0"/>
        <v>44621</v>
      </c>
      <c r="C11" s="9">
        <f t="shared" si="6"/>
        <v>44651</v>
      </c>
      <c r="D11" s="3">
        <f t="shared" si="1"/>
        <v>31</v>
      </c>
      <c r="E11" s="10">
        <f t="shared" si="2"/>
        <v>17</v>
      </c>
      <c r="F11" s="4">
        <f>Lease!K21</f>
        <v>67115.119761700538</v>
      </c>
      <c r="G11" s="3">
        <f t="shared" si="7"/>
        <v>5742.8461316171106</v>
      </c>
      <c r="H11" s="11">
        <f t="shared" si="8"/>
        <v>5280.3996516217667</v>
      </c>
      <c r="I11" s="11">
        <f t="shared" si="9"/>
        <v>5456.4129733424925</v>
      </c>
      <c r="J11" s="4">
        <f t="shared" si="10"/>
        <v>2640.1998258108833</v>
      </c>
      <c r="K11" s="3">
        <f t="shared" si="11"/>
        <v>16369.238920027479</v>
      </c>
    </row>
    <row r="12" spans="1:11" x14ac:dyDescent="0.25">
      <c r="A12" s="9">
        <f>IF(Lease!$H$4="Monthly",DATE(YEAR(Quarterly!A11),MONTH(Quarterly!A11)+1,DAY(Quarterly!A11)),IF(Lease!$H$4="Quarterly",DATE(YEAR(Quarterly!A11),MONTH(Quarterly!A11)+3,DAY(Quarterly!A11)),DATE(YEAR(Quarterly!A11)+1,MONTH(Quarterly!A11),DAY(Quarterly!A11))))</f>
        <v>45000</v>
      </c>
      <c r="B12" s="9">
        <f t="shared" si="0"/>
        <v>44986</v>
      </c>
      <c r="C12" s="9">
        <f t="shared" si="6"/>
        <v>45016</v>
      </c>
      <c r="D12" s="3">
        <f t="shared" si="1"/>
        <v>31</v>
      </c>
      <c r="E12" s="10">
        <f t="shared" si="2"/>
        <v>17</v>
      </c>
      <c r="F12" s="4">
        <f>Lease!K22</f>
        <v>64420.875749785562</v>
      </c>
      <c r="G12" s="3">
        <f t="shared" si="7"/>
        <v>5493.2315209980006</v>
      </c>
      <c r="H12" s="11">
        <f t="shared" si="8"/>
        <v>5034.7618150360895</v>
      </c>
      <c r="I12" s="11">
        <f t="shared" si="9"/>
        <v>5202.5872088706265</v>
      </c>
      <c r="J12" s="4">
        <f t="shared" si="10"/>
        <v>2517.3809075180448</v>
      </c>
      <c r="K12" s="3">
        <f t="shared" si="11"/>
        <v>15607.761626611878</v>
      </c>
    </row>
    <row r="13" spans="1:11" x14ac:dyDescent="0.25">
      <c r="A13" s="9">
        <f>IF(Lease!$H$4="Monthly",DATE(YEAR(Quarterly!A12),MONTH(Quarterly!A12)+1,DAY(Quarterly!A12)),IF(Lease!$H$4="Quarterly",DATE(YEAR(Quarterly!A12),MONTH(Quarterly!A12)+3,DAY(Quarterly!A12)),DATE(YEAR(Quarterly!A12)+1,MONTH(Quarterly!A12),DAY(Quarterly!A12))))</f>
        <v>45366</v>
      </c>
      <c r="B13" s="9">
        <f t="shared" si="0"/>
        <v>45352</v>
      </c>
      <c r="C13" s="9">
        <f t="shared" si="6"/>
        <v>45382</v>
      </c>
      <c r="D13" s="3">
        <f t="shared" si="1"/>
        <v>31</v>
      </c>
      <c r="E13" s="10">
        <f t="shared" si="2"/>
        <v>17</v>
      </c>
      <c r="F13" s="4">
        <f>Lease!K23</f>
        <v>61591.919537274836</v>
      </c>
      <c r="G13" s="3">
        <f t="shared" si="7"/>
        <v>5212.137092600984</v>
      </c>
      <c r="H13" s="11">
        <f t="shared" si="8"/>
        <v>4755.4520913228343</v>
      </c>
      <c r="I13" s="11">
        <f t="shared" si="9"/>
        <v>4913.9671610335954</v>
      </c>
      <c r="J13" s="4">
        <f t="shared" si="10"/>
        <v>2377.7260456614172</v>
      </c>
      <c r="K13" s="3">
        <f t="shared" si="11"/>
        <v>14741.901483100786</v>
      </c>
    </row>
    <row r="14" spans="1:11" x14ac:dyDescent="0.25">
      <c r="A14" s="9">
        <f>IF(Lease!$H$4="Monthly",DATE(YEAR(Quarterly!A13),MONTH(Quarterly!A13)+1,DAY(Quarterly!A13)),IF(Lease!$H$4="Quarterly",DATE(YEAR(Quarterly!A13),MONTH(Quarterly!A13)+3,DAY(Quarterly!A13)),DATE(YEAR(Quarterly!A13)+1,MONTH(Quarterly!A13),DAY(Quarterly!A13))))</f>
        <v>45731</v>
      </c>
      <c r="B14" s="9">
        <f t="shared" si="0"/>
        <v>45717</v>
      </c>
      <c r="C14" s="9">
        <f t="shared" si="6"/>
        <v>45747</v>
      </c>
      <c r="D14" s="3">
        <f t="shared" si="1"/>
        <v>31</v>
      </c>
      <c r="E14" s="10">
        <f t="shared" si="2"/>
        <v>17</v>
      </c>
      <c r="F14" s="4">
        <f>Lease!K24</f>
        <v>58016.515514138577</v>
      </c>
      <c r="G14" s="3">
        <f t="shared" si="7"/>
        <v>4898.1080181405796</v>
      </c>
      <c r="H14" s="11">
        <f t="shared" si="8"/>
        <v>4447.7328926102873</v>
      </c>
      <c r="I14" s="11">
        <f t="shared" si="9"/>
        <v>4595.9906556972974</v>
      </c>
      <c r="J14" s="4">
        <f t="shared" si="10"/>
        <v>2223.8664463051437</v>
      </c>
      <c r="K14" s="3">
        <f t="shared" si="11"/>
        <v>13787.971967091891</v>
      </c>
    </row>
    <row r="15" spans="1:11" x14ac:dyDescent="0.25">
      <c r="A15" s="9">
        <f>IF(Lease!$H$4="Monthly",DATE(YEAR(Quarterly!A14),MONTH(Quarterly!A14)+1,DAY(Quarterly!A14)),IF(Lease!$H$4="Quarterly",DATE(YEAR(Quarterly!A14),MONTH(Quarterly!A14)+3,DAY(Quarterly!A14)),DATE(YEAR(Quarterly!A14)+1,MONTH(Quarterly!A14),DAY(Quarterly!A14))))</f>
        <v>46096</v>
      </c>
      <c r="B15" s="9">
        <f t="shared" si="0"/>
        <v>46082</v>
      </c>
      <c r="C15" s="9">
        <f t="shared" si="6"/>
        <v>46112</v>
      </c>
      <c r="D15" s="3">
        <f t="shared" si="1"/>
        <v>31</v>
      </c>
      <c r="E15" s="10">
        <f t="shared" si="2"/>
        <v>17</v>
      </c>
      <c r="F15" s="4">
        <f>Lease!K25</f>
        <v>54262.341289845506</v>
      </c>
      <c r="G15" s="3">
        <f t="shared" si="7"/>
        <v>4530.2442933645489</v>
      </c>
      <c r="H15" s="11">
        <f t="shared" si="8"/>
        <v>4070.0785536342446</v>
      </c>
      <c r="I15" s="11">
        <f t="shared" si="9"/>
        <v>4205.7478387553856</v>
      </c>
      <c r="J15" s="4">
        <f t="shared" si="10"/>
        <v>2035.0392768171223</v>
      </c>
      <c r="K15" s="3">
        <f t="shared" si="11"/>
        <v>12617.243516266157</v>
      </c>
    </row>
    <row r="16" spans="1:11" x14ac:dyDescent="0.25">
      <c r="A16" s="9">
        <f>IF(Lease!$H$4="Monthly",DATE(YEAR(Quarterly!A15),MONTH(Quarterly!A15)+1,DAY(Quarterly!A15)),IF(Lease!$H$4="Quarterly",DATE(YEAR(Quarterly!A15),MONTH(Quarterly!A15)+3,DAY(Quarterly!A15)),DATE(YEAR(Quarterly!A15)+1,MONTH(Quarterly!A15),DAY(Quarterly!A15))))</f>
        <v>46461</v>
      </c>
      <c r="B16" s="9">
        <f t="shared" si="0"/>
        <v>46447</v>
      </c>
      <c r="C16" s="9">
        <f t="shared" si="6"/>
        <v>46477</v>
      </c>
      <c r="D16" s="3">
        <f t="shared" si="1"/>
        <v>31</v>
      </c>
      <c r="E16" s="10">
        <f t="shared" si="2"/>
        <v>17</v>
      </c>
      <c r="F16" s="4">
        <f>Lease!K26</f>
        <v>49654.958354337781</v>
      </c>
      <c r="G16" s="3">
        <f t="shared" si="7"/>
        <v>4111.0406572665215</v>
      </c>
      <c r="H16" s="11">
        <f t="shared" si="8"/>
        <v>3663.5318478518807</v>
      </c>
      <c r="I16" s="11">
        <f t="shared" si="9"/>
        <v>3785.6495761136098</v>
      </c>
      <c r="J16" s="4">
        <f t="shared" si="10"/>
        <v>1831.7659239259403</v>
      </c>
      <c r="K16" s="3">
        <f t="shared" si="11"/>
        <v>11356.948728340829</v>
      </c>
    </row>
    <row r="17" spans="1:11" x14ac:dyDescent="0.25">
      <c r="A17" s="9">
        <f>IF(Lease!$H$4="Monthly",DATE(YEAR(Quarterly!A16),MONTH(Quarterly!A16)+1,DAY(Quarterly!A16)),IF(Lease!$H$4="Quarterly",DATE(YEAR(Quarterly!A16),MONTH(Quarterly!A16)+3,DAY(Quarterly!A16)),DATE(YEAR(Quarterly!A16)+1,MONTH(Quarterly!A16),DAY(Quarterly!A16))))</f>
        <v>46827</v>
      </c>
      <c r="B17" s="9">
        <f t="shared" si="0"/>
        <v>46813</v>
      </c>
      <c r="C17" s="9">
        <f t="shared" si="6"/>
        <v>46843</v>
      </c>
      <c r="D17" s="3">
        <f t="shared" si="1"/>
        <v>31</v>
      </c>
      <c r="E17" s="10">
        <f t="shared" si="2"/>
        <v>17</v>
      </c>
      <c r="F17" s="4">
        <f>Lease!K27</f>
        <v>44817.206272054675</v>
      </c>
      <c r="G17" s="3">
        <f t="shared" si="7"/>
        <v>3643.4975686149455</v>
      </c>
      <c r="H17" s="11">
        <f t="shared" si="8"/>
        <v>3197.1734906276565</v>
      </c>
      <c r="I17" s="11">
        <f t="shared" si="9"/>
        <v>3303.7459403152448</v>
      </c>
      <c r="J17" s="4">
        <f t="shared" si="10"/>
        <v>1598.5867453138283</v>
      </c>
      <c r="K17" s="3">
        <f t="shared" si="11"/>
        <v>9911.2378209457329</v>
      </c>
    </row>
    <row r="18" spans="1:11" x14ac:dyDescent="0.25">
      <c r="A18" s="9">
        <f>IF(Lease!$H$4="Monthly",DATE(YEAR(Quarterly!A17),MONTH(Quarterly!A17)+1,DAY(Quarterly!A17)),IF(Lease!$H$4="Quarterly",DATE(YEAR(Quarterly!A17),MONTH(Quarterly!A17)+3,DAY(Quarterly!A17)),DATE(YEAR(Quarterly!A17)+1,MONTH(Quarterly!A17),DAY(Quarterly!A17))))</f>
        <v>47192</v>
      </c>
      <c r="B18" s="9">
        <f t="shared" si="0"/>
        <v>47178</v>
      </c>
      <c r="C18" s="9">
        <f t="shared" si="6"/>
        <v>47208</v>
      </c>
      <c r="D18" s="3">
        <f t="shared" si="1"/>
        <v>31</v>
      </c>
      <c r="E18" s="10">
        <f t="shared" si="2"/>
        <v>17</v>
      </c>
      <c r="F18" s="4">
        <f>Lease!K28</f>
        <v>39005.516585657409</v>
      </c>
      <c r="G18" s="3">
        <f t="shared" si="7"/>
        <v>3126.8794257891968</v>
      </c>
      <c r="H18" s="11">
        <f t="shared" si="8"/>
        <v>2696.9870831918261</v>
      </c>
      <c r="I18" s="11">
        <f t="shared" si="9"/>
        <v>2786.8866526315537</v>
      </c>
      <c r="J18" s="4">
        <f t="shared" si="10"/>
        <v>1348.493541595913</v>
      </c>
      <c r="K18" s="3">
        <f t="shared" si="11"/>
        <v>8360.6599578946607</v>
      </c>
    </row>
    <row r="19" spans="1:11" x14ac:dyDescent="0.25">
      <c r="A19" s="9">
        <f>IF(Lease!$H$4="Monthly",DATE(YEAR(Quarterly!A18),MONTH(Quarterly!A18)+1,DAY(Quarterly!A18)),IF(Lease!$H$4="Quarterly",DATE(YEAR(Quarterly!A18),MONTH(Quarterly!A18)+3,DAY(Quarterly!A18)),DATE(YEAR(Quarterly!A18)+1,MONTH(Quarterly!A18),DAY(Quarterly!A18))))</f>
        <v>47557</v>
      </c>
      <c r="B19" s="9">
        <f t="shared" si="0"/>
        <v>47543</v>
      </c>
      <c r="C19" s="9">
        <f t="shared" si="6"/>
        <v>47573</v>
      </c>
      <c r="D19" s="3">
        <f t="shared" si="1"/>
        <v>31</v>
      </c>
      <c r="E19" s="10">
        <f t="shared" si="2"/>
        <v>17</v>
      </c>
      <c r="F19" s="4">
        <f>Lease!K29</f>
        <v>32903.24241494028</v>
      </c>
      <c r="G19" s="3">
        <f t="shared" si="7"/>
        <v>2541.7727550021532</v>
      </c>
      <c r="H19" s="11">
        <f t="shared" si="8"/>
        <v>2105.7868471874826</v>
      </c>
      <c r="I19" s="11">
        <f t="shared" si="9"/>
        <v>2175.9797420937321</v>
      </c>
      <c r="J19" s="4">
        <f t="shared" si="10"/>
        <v>1052.8934235937413</v>
      </c>
      <c r="K19" s="3">
        <f t="shared" si="11"/>
        <v>6527.9392262811962</v>
      </c>
    </row>
    <row r="20" spans="1:11" x14ac:dyDescent="0.25">
      <c r="A20" s="9">
        <f>IF(Lease!$H$4="Monthly",DATE(YEAR(Quarterly!A19),MONTH(Quarterly!A19)+1,DAY(Quarterly!A19)),IF(Lease!$H$4="Quarterly",DATE(YEAR(Quarterly!A19),MONTH(Quarterly!A19)+3,DAY(Quarterly!A19)),DATE(YEAR(Quarterly!A19)+1,MONTH(Quarterly!A19),DAY(Quarterly!A19))))</f>
        <v>47922</v>
      </c>
      <c r="B20" s="9">
        <f t="shared" si="0"/>
        <v>47908</v>
      </c>
      <c r="C20" s="9">
        <f t="shared" si="6"/>
        <v>47938</v>
      </c>
      <c r="D20" s="3">
        <f t="shared" si="1"/>
        <v>31</v>
      </c>
      <c r="E20" s="10">
        <f t="shared" si="2"/>
        <v>17</v>
      </c>
      <c r="F20" s="4">
        <f>Lease!K30</f>
        <v>25690.599535687288</v>
      </c>
      <c r="G20" s="3">
        <f t="shared" si="7"/>
        <v>1892.1155399752615</v>
      </c>
      <c r="H20" s="11">
        <f t="shared" si="8"/>
        <v>1480.9802053791534</v>
      </c>
      <c r="I20" s="11">
        <f t="shared" si="9"/>
        <v>1530.3462122251253</v>
      </c>
      <c r="J20" s="4">
        <f t="shared" si="10"/>
        <v>740.4901026895767</v>
      </c>
      <c r="K20" s="3">
        <f t="shared" si="11"/>
        <v>4591.0386366753755</v>
      </c>
    </row>
    <row r="21" spans="1:11" x14ac:dyDescent="0.25">
      <c r="A21" s="9">
        <f>IF(Lease!$H$4="Monthly",DATE(YEAR(Quarterly!A20),MONTH(Quarterly!A20)+1,DAY(Quarterly!A20)),IF(Lease!$H$4="Quarterly",DATE(YEAR(Quarterly!A20),MONTH(Quarterly!A20)+3,DAY(Quarterly!A20)),DATE(YEAR(Quarterly!A20)+1,MONTH(Quarterly!A20),DAY(Quarterly!A20))))</f>
        <v>48288</v>
      </c>
      <c r="B21" s="9">
        <f t="shared" si="0"/>
        <v>48274</v>
      </c>
      <c r="C21" s="9">
        <f t="shared" si="6"/>
        <v>48304</v>
      </c>
      <c r="D21" s="3">
        <f t="shared" si="1"/>
        <v>31</v>
      </c>
      <c r="E21" s="10">
        <f t="shared" si="2"/>
        <v>17</v>
      </c>
      <c r="F21" s="4">
        <f>Lease!K31</f>
        <v>18117.324512471645</v>
      </c>
      <c r="G21" s="3">
        <f t="shared" si="7"/>
        <v>1171.510018120229</v>
      </c>
      <c r="H21" s="11">
        <f t="shared" si="8"/>
        <v>760.62338017173931</v>
      </c>
      <c r="I21" s="11">
        <f t="shared" si="9"/>
        <v>785.97749284413055</v>
      </c>
      <c r="J21" s="4">
        <f t="shared" si="10"/>
        <v>380.31169008586966</v>
      </c>
      <c r="K21" s="3">
        <f t="shared" si="11"/>
        <v>2357.932478532392</v>
      </c>
    </row>
    <row r="22" spans="1:11" x14ac:dyDescent="0.25">
      <c r="A22" s="9">
        <f>IF(Lease!$H$4="Monthly",DATE(YEAR(Quarterly!A21),MONTH(Quarterly!A21)+1,DAY(Quarterly!A21)),IF(Lease!$H$4="Quarterly",DATE(YEAR(Quarterly!A21),MONTH(Quarterly!A21)+3,DAY(Quarterly!A21)),DATE(YEAR(Quarterly!A21)+1,MONTH(Quarterly!A21),DAY(Quarterly!A21))))</f>
        <v>48653</v>
      </c>
      <c r="B22" s="9">
        <f t="shared" si="0"/>
        <v>48639</v>
      </c>
      <c r="C22" s="9">
        <f t="shared" si="6"/>
        <v>48669</v>
      </c>
      <c r="D22" s="3">
        <f t="shared" si="1"/>
        <v>31</v>
      </c>
      <c r="E22" s="10">
        <f t="shared" si="2"/>
        <v>17</v>
      </c>
      <c r="F22" s="4">
        <f>Lease!K32</f>
        <v>9279.6052380952187</v>
      </c>
      <c r="G22" s="3">
        <f t="shared" si="7"/>
        <v>380.31169008586966</v>
      </c>
      <c r="H22" s="11">
        <f t="shared" si="8"/>
        <v>0</v>
      </c>
      <c r="I22" s="11">
        <f t="shared" si="9"/>
        <v>0</v>
      </c>
      <c r="J22" s="4">
        <f t="shared" si="10"/>
        <v>0</v>
      </c>
      <c r="K22" s="3">
        <f t="shared" si="11"/>
        <v>0</v>
      </c>
    </row>
    <row r="23" spans="1:11" x14ac:dyDescent="0.25">
      <c r="A23" s="9">
        <f>IF(Lease!$H$4="Monthly",DATE(YEAR(Quarterly!A22),MONTH(Quarterly!A22)+1,DAY(Quarterly!A22)),IF(Lease!$H$4="Quarterly",DATE(YEAR(Quarterly!A22),MONTH(Quarterly!A22)+3,DAY(Quarterly!A22)),DATE(YEAR(Quarterly!A22)+1,MONTH(Quarterly!A22),DAY(Quarterly!A22))))</f>
        <v>49018</v>
      </c>
      <c r="B23" s="9">
        <f t="shared" si="0"/>
        <v>49004</v>
      </c>
      <c r="C23" s="9">
        <f t="shared" si="6"/>
        <v>49034</v>
      </c>
      <c r="D23" s="3">
        <f t="shared" si="1"/>
        <v>31</v>
      </c>
      <c r="E23" s="10">
        <f t="shared" si="2"/>
        <v>17</v>
      </c>
      <c r="F23" s="4">
        <f>Lease!K33</f>
        <v>0</v>
      </c>
      <c r="G23" s="3">
        <f t="shared" si="7"/>
        <v>0</v>
      </c>
      <c r="H23" s="11">
        <f t="shared" si="8"/>
        <v>0</v>
      </c>
      <c r="I23" s="11">
        <f t="shared" si="9"/>
        <v>0</v>
      </c>
      <c r="J23" s="4">
        <f t="shared" si="10"/>
        <v>0</v>
      </c>
      <c r="K23" s="3">
        <f t="shared" si="11"/>
        <v>0</v>
      </c>
    </row>
    <row r="24" spans="1:11" x14ac:dyDescent="0.25">
      <c r="A24" s="9">
        <f>IF(Lease!$H$4="Monthly",DATE(YEAR(Quarterly!A23),MONTH(Quarterly!A23)+1,DAY(Quarterly!A23)),IF(Lease!$H$4="Quarterly",DATE(YEAR(Quarterly!A23),MONTH(Quarterly!A23)+3,DAY(Quarterly!A23)),DATE(YEAR(Quarterly!A23)+1,MONTH(Quarterly!A23),DAY(Quarterly!A23))))</f>
        <v>49383</v>
      </c>
      <c r="B24" s="9">
        <f t="shared" si="0"/>
        <v>49369</v>
      </c>
      <c r="C24" s="9">
        <f t="shared" si="6"/>
        <v>49399</v>
      </c>
      <c r="D24" s="3">
        <f t="shared" si="1"/>
        <v>31</v>
      </c>
      <c r="E24" s="10">
        <f t="shared" si="2"/>
        <v>17</v>
      </c>
      <c r="F24" s="4">
        <f>Lease!K34</f>
        <v>0</v>
      </c>
      <c r="G24" s="3">
        <f t="shared" si="7"/>
        <v>0</v>
      </c>
      <c r="H24" s="11">
        <f t="shared" si="8"/>
        <v>0</v>
      </c>
      <c r="I24" s="11">
        <f t="shared" si="9"/>
        <v>0</v>
      </c>
      <c r="J24" s="4">
        <f t="shared" si="10"/>
        <v>0</v>
      </c>
      <c r="K24" s="3">
        <f t="shared" si="11"/>
        <v>0</v>
      </c>
    </row>
    <row r="25" spans="1:11" x14ac:dyDescent="0.25">
      <c r="A25" s="9">
        <f>IF(Lease!$H$4="Monthly",DATE(YEAR(Quarterly!A24),MONTH(Quarterly!A24)+1,DAY(Quarterly!A24)),IF(Lease!$H$4="Quarterly",DATE(YEAR(Quarterly!A24),MONTH(Quarterly!A24)+3,DAY(Quarterly!A24)),DATE(YEAR(Quarterly!A24)+1,MONTH(Quarterly!A24),DAY(Quarterly!A24))))</f>
        <v>49749</v>
      </c>
      <c r="B25" s="9">
        <f t="shared" si="0"/>
        <v>49735</v>
      </c>
      <c r="C25" s="9">
        <f t="shared" si="6"/>
        <v>49765</v>
      </c>
      <c r="D25" s="3">
        <f t="shared" si="1"/>
        <v>31</v>
      </c>
      <c r="E25" s="10">
        <f t="shared" si="2"/>
        <v>17</v>
      </c>
      <c r="F25" s="4">
        <f>Lease!K35</f>
        <v>0</v>
      </c>
      <c r="G25" s="3">
        <f t="shared" si="7"/>
        <v>0</v>
      </c>
      <c r="H25" s="11">
        <f t="shared" si="8"/>
        <v>0</v>
      </c>
      <c r="I25" s="11">
        <f t="shared" si="9"/>
        <v>0</v>
      </c>
      <c r="J25" s="4">
        <f t="shared" si="10"/>
        <v>0</v>
      </c>
      <c r="K25" s="3">
        <f t="shared" si="11"/>
        <v>0</v>
      </c>
    </row>
    <row r="26" spans="1:11" x14ac:dyDescent="0.25">
      <c r="A26" s="9">
        <f>IF(Lease!$H$4="Monthly",DATE(YEAR(Quarterly!A25),MONTH(Quarterly!A25)+1,DAY(Quarterly!A25)),IF(Lease!$H$4="Quarterly",DATE(YEAR(Quarterly!A25),MONTH(Quarterly!A25)+3,DAY(Quarterly!A25)),DATE(YEAR(Quarterly!A25)+1,MONTH(Quarterly!A25),DAY(Quarterly!A25))))</f>
        <v>50114</v>
      </c>
      <c r="B26" s="9">
        <f t="shared" si="0"/>
        <v>50100</v>
      </c>
      <c r="C26" s="9">
        <f t="shared" si="6"/>
        <v>50130</v>
      </c>
      <c r="D26" s="3">
        <f t="shared" si="1"/>
        <v>31</v>
      </c>
      <c r="E26" s="10">
        <f t="shared" si="2"/>
        <v>17</v>
      </c>
      <c r="F26" s="4">
        <f>Lease!K36</f>
        <v>0</v>
      </c>
      <c r="G26" s="3">
        <f t="shared" si="7"/>
        <v>0</v>
      </c>
      <c r="H26" s="11">
        <f t="shared" si="8"/>
        <v>0</v>
      </c>
      <c r="I26" s="11">
        <f t="shared" si="9"/>
        <v>0</v>
      </c>
      <c r="J26" s="4">
        <f t="shared" si="10"/>
        <v>0</v>
      </c>
      <c r="K26" s="3">
        <f t="shared" si="11"/>
        <v>0</v>
      </c>
    </row>
    <row r="27" spans="1:11" x14ac:dyDescent="0.25">
      <c r="A27" s="9">
        <f>IF(Lease!$H$4="Monthly",DATE(YEAR(Quarterly!A26),MONTH(Quarterly!A26)+1,DAY(Quarterly!A26)),IF(Lease!$H$4="Quarterly",DATE(YEAR(Quarterly!A26),MONTH(Quarterly!A26)+3,DAY(Quarterly!A26)),DATE(YEAR(Quarterly!A26)+1,MONTH(Quarterly!A26),DAY(Quarterly!A26))))</f>
        <v>50479</v>
      </c>
      <c r="B27" s="9">
        <f t="shared" si="0"/>
        <v>50465</v>
      </c>
      <c r="C27" s="9">
        <f t="shared" si="6"/>
        <v>50495</v>
      </c>
      <c r="D27" s="3">
        <f t="shared" si="1"/>
        <v>31</v>
      </c>
      <c r="E27" s="10">
        <f t="shared" si="2"/>
        <v>17</v>
      </c>
      <c r="F27" s="4">
        <f>Lease!K37</f>
        <v>0</v>
      </c>
      <c r="G27" s="3">
        <f t="shared" si="7"/>
        <v>0</v>
      </c>
      <c r="H27" s="11">
        <f t="shared" si="8"/>
        <v>0</v>
      </c>
      <c r="I27" s="11">
        <f t="shared" si="9"/>
        <v>0</v>
      </c>
      <c r="J27" s="4">
        <f t="shared" si="10"/>
        <v>0</v>
      </c>
      <c r="K27" s="3">
        <f t="shared" si="11"/>
        <v>0</v>
      </c>
    </row>
    <row r="28" spans="1:11" x14ac:dyDescent="0.25">
      <c r="A28" s="9">
        <f>IF(Lease!$H$4="Monthly",DATE(YEAR(Quarterly!A27),MONTH(Quarterly!A27)+1,DAY(Quarterly!A27)),IF(Lease!$H$4="Quarterly",DATE(YEAR(Quarterly!A27),MONTH(Quarterly!A27)+3,DAY(Quarterly!A27)),DATE(YEAR(Quarterly!A27)+1,MONTH(Quarterly!A27),DAY(Quarterly!A27))))</f>
        <v>50844</v>
      </c>
      <c r="B28" s="9">
        <f t="shared" si="0"/>
        <v>50830</v>
      </c>
      <c r="C28" s="9">
        <f t="shared" si="6"/>
        <v>50860</v>
      </c>
      <c r="D28" s="3">
        <f t="shared" si="1"/>
        <v>31</v>
      </c>
      <c r="E28" s="10">
        <f t="shared" si="2"/>
        <v>17</v>
      </c>
      <c r="F28" s="4">
        <f>Lease!K38</f>
        <v>0</v>
      </c>
      <c r="G28" s="3">
        <f t="shared" si="7"/>
        <v>0</v>
      </c>
      <c r="H28" s="11">
        <f t="shared" si="8"/>
        <v>0</v>
      </c>
      <c r="I28" s="11">
        <f t="shared" si="9"/>
        <v>0</v>
      </c>
      <c r="J28" s="4">
        <f t="shared" si="10"/>
        <v>0</v>
      </c>
      <c r="K28" s="3">
        <f t="shared" si="11"/>
        <v>0</v>
      </c>
    </row>
    <row r="29" spans="1:11" x14ac:dyDescent="0.25">
      <c r="A29" s="9">
        <f>IF(Lease!$H$4="Monthly",DATE(YEAR(Quarterly!A28),MONTH(Quarterly!A28)+1,DAY(Quarterly!A28)),IF(Lease!$H$4="Quarterly",DATE(YEAR(Quarterly!A28),MONTH(Quarterly!A28)+3,DAY(Quarterly!A28)),DATE(YEAR(Quarterly!A28)+1,MONTH(Quarterly!A28),DAY(Quarterly!A28))))</f>
        <v>51210</v>
      </c>
      <c r="B29" s="9">
        <f t="shared" si="0"/>
        <v>51196</v>
      </c>
      <c r="C29" s="9">
        <f t="shared" si="6"/>
        <v>51226</v>
      </c>
      <c r="D29" s="3">
        <f t="shared" si="1"/>
        <v>31</v>
      </c>
      <c r="E29" s="10">
        <f t="shared" si="2"/>
        <v>17</v>
      </c>
      <c r="F29" s="4">
        <f>Lease!K39</f>
        <v>0</v>
      </c>
      <c r="G29" s="3">
        <f t="shared" si="7"/>
        <v>0</v>
      </c>
      <c r="H29" s="11">
        <f t="shared" si="8"/>
        <v>0</v>
      </c>
      <c r="I29" s="11">
        <f t="shared" si="9"/>
        <v>0</v>
      </c>
      <c r="J29" s="4">
        <f t="shared" si="10"/>
        <v>0</v>
      </c>
      <c r="K29" s="3">
        <f t="shared" si="11"/>
        <v>0</v>
      </c>
    </row>
    <row r="30" spans="1:11" x14ac:dyDescent="0.25">
      <c r="A30" s="9">
        <f>IF(Lease!$H$4="Monthly",DATE(YEAR(Quarterly!A29),MONTH(Quarterly!A29)+1,DAY(Quarterly!A29)),IF(Lease!$H$4="Quarterly",DATE(YEAR(Quarterly!A29),MONTH(Quarterly!A29)+3,DAY(Quarterly!A29)),DATE(YEAR(Quarterly!A29)+1,MONTH(Quarterly!A29),DAY(Quarterly!A29))))</f>
        <v>51575</v>
      </c>
      <c r="B30" s="9">
        <f t="shared" si="0"/>
        <v>51561</v>
      </c>
      <c r="C30" s="9">
        <f t="shared" si="6"/>
        <v>51591</v>
      </c>
      <c r="D30" s="3">
        <f t="shared" si="1"/>
        <v>31</v>
      </c>
      <c r="E30" s="10">
        <f t="shared" si="2"/>
        <v>17</v>
      </c>
      <c r="F30" s="4">
        <f>Lease!K40</f>
        <v>0</v>
      </c>
      <c r="G30" s="3">
        <f t="shared" si="7"/>
        <v>0</v>
      </c>
      <c r="H30" s="11">
        <f t="shared" si="8"/>
        <v>0</v>
      </c>
      <c r="I30" s="11">
        <f t="shared" si="9"/>
        <v>0</v>
      </c>
      <c r="J30" s="4">
        <f t="shared" si="10"/>
        <v>0</v>
      </c>
      <c r="K30" s="3">
        <f t="shared" si="11"/>
        <v>0</v>
      </c>
    </row>
    <row r="31" spans="1:11" x14ac:dyDescent="0.25">
      <c r="A31" s="9">
        <f>IF(Lease!$H$4="Monthly",DATE(YEAR(Quarterly!A30),MONTH(Quarterly!A30)+1,DAY(Quarterly!A30)),IF(Lease!$H$4="Quarterly",DATE(YEAR(Quarterly!A30),MONTH(Quarterly!A30)+3,DAY(Quarterly!A30)),DATE(YEAR(Quarterly!A30)+1,MONTH(Quarterly!A30),DAY(Quarterly!A30))))</f>
        <v>51940</v>
      </c>
      <c r="B31" s="9">
        <f t="shared" si="0"/>
        <v>51926</v>
      </c>
      <c r="C31" s="9">
        <f t="shared" si="6"/>
        <v>51956</v>
      </c>
      <c r="D31" s="3">
        <f t="shared" si="1"/>
        <v>31</v>
      </c>
      <c r="E31" s="10">
        <f t="shared" si="2"/>
        <v>17</v>
      </c>
      <c r="F31" s="4">
        <f>Lease!K41</f>
        <v>0</v>
      </c>
      <c r="G31" s="3">
        <f t="shared" si="7"/>
        <v>0</v>
      </c>
      <c r="H31" s="11">
        <f t="shared" si="8"/>
        <v>0</v>
      </c>
      <c r="I31" s="11">
        <f t="shared" si="9"/>
        <v>0</v>
      </c>
      <c r="J31" s="4">
        <f t="shared" si="10"/>
        <v>0</v>
      </c>
      <c r="K31" s="3">
        <f t="shared" si="11"/>
        <v>0</v>
      </c>
    </row>
    <row r="32" spans="1:11" x14ac:dyDescent="0.25">
      <c r="A32" s="9">
        <f>IF(Lease!$H$4="Monthly",DATE(YEAR(Quarterly!A31),MONTH(Quarterly!A31)+1,DAY(Quarterly!A31)),IF(Lease!$H$4="Quarterly",DATE(YEAR(Quarterly!A31),MONTH(Quarterly!A31)+3,DAY(Quarterly!A31)),DATE(YEAR(Quarterly!A31)+1,MONTH(Quarterly!A31),DAY(Quarterly!A31))))</f>
        <v>52305</v>
      </c>
      <c r="B32" s="9">
        <f t="shared" si="0"/>
        <v>52291</v>
      </c>
      <c r="C32" s="9">
        <f t="shared" si="6"/>
        <v>52321</v>
      </c>
      <c r="D32" s="3">
        <f t="shared" si="1"/>
        <v>31</v>
      </c>
      <c r="E32" s="10">
        <f t="shared" si="2"/>
        <v>17</v>
      </c>
      <c r="F32" s="4">
        <f>Lease!K42</f>
        <v>0</v>
      </c>
      <c r="G32" s="3">
        <f t="shared" si="7"/>
        <v>0</v>
      </c>
      <c r="H32" s="11">
        <f t="shared" si="8"/>
        <v>0</v>
      </c>
      <c r="I32" s="11">
        <f t="shared" si="9"/>
        <v>0</v>
      </c>
      <c r="J32" s="4">
        <f t="shared" si="10"/>
        <v>0</v>
      </c>
      <c r="K32" s="3">
        <f t="shared" si="11"/>
        <v>0</v>
      </c>
    </row>
    <row r="33" spans="1:11" x14ac:dyDescent="0.25">
      <c r="A33" s="9">
        <f>IF(Lease!$H$4="Monthly",DATE(YEAR(Quarterly!A32),MONTH(Quarterly!A32)+1,DAY(Quarterly!A32)),IF(Lease!$H$4="Quarterly",DATE(YEAR(Quarterly!A32),MONTH(Quarterly!A32)+3,DAY(Quarterly!A32)),DATE(YEAR(Quarterly!A32)+1,MONTH(Quarterly!A32),DAY(Quarterly!A32))))</f>
        <v>52671</v>
      </c>
      <c r="B33" s="9">
        <f t="shared" si="0"/>
        <v>52657</v>
      </c>
      <c r="C33" s="9">
        <f t="shared" si="6"/>
        <v>52687</v>
      </c>
      <c r="D33" s="3">
        <f t="shared" si="1"/>
        <v>31</v>
      </c>
      <c r="E33" s="10">
        <f t="shared" si="2"/>
        <v>17</v>
      </c>
      <c r="F33" s="4">
        <f>Lease!K43</f>
        <v>0</v>
      </c>
      <c r="G33" s="3">
        <f t="shared" si="7"/>
        <v>0</v>
      </c>
      <c r="H33" s="11">
        <f t="shared" si="8"/>
        <v>0</v>
      </c>
      <c r="I33" s="11">
        <f t="shared" si="9"/>
        <v>0</v>
      </c>
      <c r="J33" s="4">
        <f t="shared" si="10"/>
        <v>0</v>
      </c>
      <c r="K33" s="3">
        <f t="shared" si="11"/>
        <v>0</v>
      </c>
    </row>
    <row r="34" spans="1:11" x14ac:dyDescent="0.25">
      <c r="A34" s="9">
        <f>IF(Lease!$H$4="Monthly",DATE(YEAR(Quarterly!A33),MONTH(Quarterly!A33)+1,DAY(Quarterly!A33)),IF(Lease!$H$4="Quarterly",DATE(YEAR(Quarterly!A33),MONTH(Quarterly!A33)+3,DAY(Quarterly!A33)),DATE(YEAR(Quarterly!A33)+1,MONTH(Quarterly!A33),DAY(Quarterly!A33))))</f>
        <v>53036</v>
      </c>
      <c r="B34" s="9">
        <f t="shared" si="0"/>
        <v>53022</v>
      </c>
      <c r="C34" s="9">
        <f t="shared" si="6"/>
        <v>53052</v>
      </c>
      <c r="D34" s="3">
        <f t="shared" si="1"/>
        <v>31</v>
      </c>
      <c r="E34" s="10">
        <f t="shared" si="2"/>
        <v>17</v>
      </c>
      <c r="F34" s="4">
        <f>Lease!K44</f>
        <v>0</v>
      </c>
      <c r="G34" s="3">
        <f t="shared" si="7"/>
        <v>0</v>
      </c>
      <c r="H34" s="11">
        <f t="shared" si="8"/>
        <v>0</v>
      </c>
      <c r="I34" s="11">
        <f t="shared" si="9"/>
        <v>0</v>
      </c>
      <c r="J34" s="4">
        <f t="shared" si="10"/>
        <v>0</v>
      </c>
      <c r="K34" s="3">
        <f t="shared" si="11"/>
        <v>0</v>
      </c>
    </row>
    <row r="35" spans="1:11" x14ac:dyDescent="0.25">
      <c r="A35" s="9">
        <f>IF(Lease!$H$4="Monthly",DATE(YEAR(Quarterly!A34),MONTH(Quarterly!A34)+1,DAY(Quarterly!A34)),IF(Lease!$H$4="Quarterly",DATE(YEAR(Quarterly!A34),MONTH(Quarterly!A34)+3,DAY(Quarterly!A34)),DATE(YEAR(Quarterly!A34)+1,MONTH(Quarterly!A34),DAY(Quarterly!A34))))</f>
        <v>53401</v>
      </c>
      <c r="B35" s="9">
        <f t="shared" si="0"/>
        <v>53387</v>
      </c>
      <c r="C35" s="9">
        <f t="shared" si="6"/>
        <v>53417</v>
      </c>
      <c r="D35" s="3">
        <f t="shared" si="1"/>
        <v>31</v>
      </c>
      <c r="E35" s="10">
        <f t="shared" si="2"/>
        <v>17</v>
      </c>
      <c r="F35" s="4">
        <f>Lease!K45</f>
        <v>0</v>
      </c>
      <c r="G35" s="3">
        <f t="shared" si="7"/>
        <v>0</v>
      </c>
      <c r="H35" s="11">
        <f t="shared" si="8"/>
        <v>0</v>
      </c>
      <c r="I35" s="11">
        <f t="shared" si="9"/>
        <v>0</v>
      </c>
      <c r="J35" s="4">
        <f t="shared" si="10"/>
        <v>0</v>
      </c>
      <c r="K35" s="3">
        <f t="shared" si="11"/>
        <v>0</v>
      </c>
    </row>
    <row r="36" spans="1:11" x14ac:dyDescent="0.25">
      <c r="A36" s="9">
        <f>IF(Lease!$H$4="Monthly",DATE(YEAR(Quarterly!A35),MONTH(Quarterly!A35)+1,DAY(Quarterly!A35)),IF(Lease!$H$4="Quarterly",DATE(YEAR(Quarterly!A35),MONTH(Quarterly!A35)+3,DAY(Quarterly!A35)),DATE(YEAR(Quarterly!A35)+1,MONTH(Quarterly!A35),DAY(Quarterly!A35))))</f>
        <v>53766</v>
      </c>
      <c r="B36" s="9">
        <f t="shared" si="0"/>
        <v>53752</v>
      </c>
      <c r="C36" s="9">
        <f t="shared" si="6"/>
        <v>53782</v>
      </c>
      <c r="D36" s="3">
        <f t="shared" si="1"/>
        <v>31</v>
      </c>
      <c r="E36" s="10">
        <f t="shared" si="2"/>
        <v>17</v>
      </c>
      <c r="F36" s="4">
        <f>Lease!K46</f>
        <v>0</v>
      </c>
      <c r="G36" s="3">
        <f t="shared" si="7"/>
        <v>0</v>
      </c>
      <c r="H36" s="11">
        <f t="shared" si="8"/>
        <v>0</v>
      </c>
      <c r="I36" s="11">
        <f t="shared" si="9"/>
        <v>0</v>
      </c>
      <c r="J36" s="4">
        <f t="shared" si="10"/>
        <v>0</v>
      </c>
      <c r="K36" s="3">
        <f t="shared" si="11"/>
        <v>0</v>
      </c>
    </row>
    <row r="37" spans="1:11" x14ac:dyDescent="0.25">
      <c r="A37" s="9">
        <f>IF(Lease!$H$4="Monthly",DATE(YEAR(Quarterly!A36),MONTH(Quarterly!A36)+1,DAY(Quarterly!A36)),IF(Lease!$H$4="Quarterly",DATE(YEAR(Quarterly!A36),MONTH(Quarterly!A36)+3,DAY(Quarterly!A36)),DATE(YEAR(Quarterly!A36)+1,MONTH(Quarterly!A36),DAY(Quarterly!A36))))</f>
        <v>54132</v>
      </c>
      <c r="B37" s="9">
        <f t="shared" si="0"/>
        <v>54118</v>
      </c>
      <c r="C37" s="9">
        <f t="shared" si="6"/>
        <v>54148</v>
      </c>
      <c r="D37" s="3">
        <f t="shared" si="1"/>
        <v>31</v>
      </c>
      <c r="E37" s="10">
        <f t="shared" si="2"/>
        <v>17</v>
      </c>
      <c r="F37" s="4">
        <f>Lease!K47</f>
        <v>0</v>
      </c>
      <c r="G37" s="3">
        <f t="shared" si="7"/>
        <v>0</v>
      </c>
      <c r="H37" s="11">
        <f t="shared" si="8"/>
        <v>0</v>
      </c>
      <c r="I37" s="11">
        <f t="shared" si="9"/>
        <v>0</v>
      </c>
      <c r="J37" s="4">
        <f t="shared" si="10"/>
        <v>0</v>
      </c>
      <c r="K37" s="3">
        <f t="shared" si="11"/>
        <v>0</v>
      </c>
    </row>
    <row r="38" spans="1:11" x14ac:dyDescent="0.25">
      <c r="A38" s="9">
        <f>IF(Lease!$H$4="Monthly",DATE(YEAR(Quarterly!A37),MONTH(Quarterly!A37)+1,DAY(Quarterly!A37)),IF(Lease!$H$4="Quarterly",DATE(YEAR(Quarterly!A37),MONTH(Quarterly!A37)+3,DAY(Quarterly!A37)),DATE(YEAR(Quarterly!A37)+1,MONTH(Quarterly!A37),DAY(Quarterly!A37))))</f>
        <v>54497</v>
      </c>
      <c r="B38" s="9">
        <f t="shared" si="0"/>
        <v>54483</v>
      </c>
      <c r="C38" s="9">
        <f t="shared" si="6"/>
        <v>54513</v>
      </c>
      <c r="D38" s="3">
        <f t="shared" si="1"/>
        <v>31</v>
      </c>
      <c r="E38" s="10">
        <f t="shared" si="2"/>
        <v>17</v>
      </c>
      <c r="F38" s="4">
        <f>Lease!K48</f>
        <v>0</v>
      </c>
      <c r="G38" s="3">
        <f t="shared" si="7"/>
        <v>0</v>
      </c>
      <c r="H38" s="11">
        <f t="shared" si="8"/>
        <v>0</v>
      </c>
      <c r="I38" s="11">
        <f t="shared" si="9"/>
        <v>0</v>
      </c>
      <c r="J38" s="4">
        <f t="shared" si="10"/>
        <v>0</v>
      </c>
      <c r="K38" s="3">
        <f t="shared" si="11"/>
        <v>0</v>
      </c>
    </row>
    <row r="39" spans="1:11" x14ac:dyDescent="0.25">
      <c r="A39" s="9">
        <f>IF(Lease!$H$4="Monthly",DATE(YEAR(Quarterly!A38),MONTH(Quarterly!A38)+1,DAY(Quarterly!A38)),IF(Lease!$H$4="Quarterly",DATE(YEAR(Quarterly!A38),MONTH(Quarterly!A38)+3,DAY(Quarterly!A38)),DATE(YEAR(Quarterly!A38)+1,MONTH(Quarterly!A38),DAY(Quarterly!A38))))</f>
        <v>54862</v>
      </c>
      <c r="B39" s="9">
        <f t="shared" si="0"/>
        <v>54848</v>
      </c>
      <c r="C39" s="9">
        <f t="shared" si="6"/>
        <v>54878</v>
      </c>
      <c r="D39" s="3">
        <f t="shared" si="1"/>
        <v>31</v>
      </c>
      <c r="E39" s="10">
        <f t="shared" si="2"/>
        <v>17</v>
      </c>
      <c r="F39" s="4">
        <f>Lease!K49</f>
        <v>0</v>
      </c>
      <c r="G39" s="3">
        <f t="shared" si="7"/>
        <v>0</v>
      </c>
      <c r="H39" s="11">
        <f t="shared" si="8"/>
        <v>0</v>
      </c>
      <c r="I39" s="11">
        <f t="shared" si="9"/>
        <v>0</v>
      </c>
      <c r="J39" s="4">
        <f t="shared" si="10"/>
        <v>0</v>
      </c>
      <c r="K39" s="3">
        <f t="shared" si="11"/>
        <v>0</v>
      </c>
    </row>
    <row r="40" spans="1:11" x14ac:dyDescent="0.25">
      <c r="A40" s="9">
        <f>IF(Lease!$H$4="Monthly",DATE(YEAR(Quarterly!A39),MONTH(Quarterly!A39)+1,DAY(Quarterly!A39)),IF(Lease!$H$4="Quarterly",DATE(YEAR(Quarterly!A39),MONTH(Quarterly!A39)+3,DAY(Quarterly!A39)),DATE(YEAR(Quarterly!A39)+1,MONTH(Quarterly!A39),DAY(Quarterly!A39))))</f>
        <v>55227</v>
      </c>
      <c r="B40" s="9">
        <f t="shared" si="0"/>
        <v>55213</v>
      </c>
      <c r="C40" s="9">
        <f t="shared" si="6"/>
        <v>55243</v>
      </c>
      <c r="D40" s="3">
        <f t="shared" si="1"/>
        <v>31</v>
      </c>
      <c r="E40" s="10">
        <f t="shared" si="2"/>
        <v>17</v>
      </c>
      <c r="F40" s="4">
        <f>Lease!K50</f>
        <v>0</v>
      </c>
      <c r="G40" s="3">
        <f t="shared" si="7"/>
        <v>0</v>
      </c>
      <c r="H40" s="11">
        <f t="shared" si="8"/>
        <v>0</v>
      </c>
      <c r="I40" s="11">
        <f t="shared" si="9"/>
        <v>0</v>
      </c>
      <c r="J40" s="4">
        <f t="shared" si="10"/>
        <v>0</v>
      </c>
      <c r="K40" s="3">
        <f t="shared" si="11"/>
        <v>0</v>
      </c>
    </row>
    <row r="41" spans="1:11" x14ac:dyDescent="0.25">
      <c r="A41" s="9">
        <f>IF(Lease!$H$4="Monthly",DATE(YEAR(Quarterly!A40),MONTH(Quarterly!A40)+1,DAY(Quarterly!A40)),IF(Lease!$H$4="Quarterly",DATE(YEAR(Quarterly!A40),MONTH(Quarterly!A40)+3,DAY(Quarterly!A40)),DATE(YEAR(Quarterly!A40)+1,MONTH(Quarterly!A40),DAY(Quarterly!A40))))</f>
        <v>55593</v>
      </c>
      <c r="B41" s="9">
        <f t="shared" si="0"/>
        <v>55579</v>
      </c>
      <c r="C41" s="9">
        <f t="shared" si="6"/>
        <v>55609</v>
      </c>
      <c r="D41" s="3">
        <f t="shared" si="1"/>
        <v>31</v>
      </c>
      <c r="E41" s="10">
        <f t="shared" si="2"/>
        <v>17</v>
      </c>
      <c r="F41" s="4">
        <f>Lease!K51</f>
        <v>0</v>
      </c>
      <c r="G41" s="3">
        <f t="shared" si="7"/>
        <v>0</v>
      </c>
      <c r="H41" s="11">
        <f t="shared" si="8"/>
        <v>0</v>
      </c>
      <c r="I41" s="11">
        <f t="shared" si="9"/>
        <v>0</v>
      </c>
      <c r="J41" s="4">
        <f t="shared" si="10"/>
        <v>0</v>
      </c>
      <c r="K41" s="3">
        <f t="shared" si="11"/>
        <v>0</v>
      </c>
    </row>
    <row r="42" spans="1:11" x14ac:dyDescent="0.25">
      <c r="A42" s="9">
        <f>IF(Lease!$H$4="Monthly",DATE(YEAR(Quarterly!A41),MONTH(Quarterly!A41)+1,DAY(Quarterly!A41)),IF(Lease!$H$4="Quarterly",DATE(YEAR(Quarterly!A41),MONTH(Quarterly!A41)+3,DAY(Quarterly!A41)),DATE(YEAR(Quarterly!A41)+1,MONTH(Quarterly!A41),DAY(Quarterly!A41))))</f>
        <v>55958</v>
      </c>
      <c r="B42" s="9">
        <f t="shared" si="0"/>
        <v>55944</v>
      </c>
      <c r="C42" s="9">
        <f t="shared" si="6"/>
        <v>55974</v>
      </c>
      <c r="D42" s="3">
        <f t="shared" si="1"/>
        <v>31</v>
      </c>
      <c r="E42" s="10">
        <f t="shared" si="2"/>
        <v>17</v>
      </c>
      <c r="F42" s="4">
        <f>Lease!K52</f>
        <v>0</v>
      </c>
      <c r="G42" s="3">
        <f t="shared" si="7"/>
        <v>0</v>
      </c>
      <c r="H42" s="11">
        <f t="shared" si="8"/>
        <v>0</v>
      </c>
      <c r="I42" s="11">
        <f t="shared" si="9"/>
        <v>0</v>
      </c>
      <c r="J42" s="4">
        <f t="shared" si="10"/>
        <v>0</v>
      </c>
      <c r="K42" s="3">
        <f t="shared" si="11"/>
        <v>0</v>
      </c>
    </row>
    <row r="43" spans="1:11" x14ac:dyDescent="0.25">
      <c r="A43" s="9">
        <f>IF(Lease!$H$4="Monthly",DATE(YEAR(Quarterly!A42),MONTH(Quarterly!A42)+1,DAY(Quarterly!A42)),IF(Lease!$H$4="Quarterly",DATE(YEAR(Quarterly!A42),MONTH(Quarterly!A42)+3,DAY(Quarterly!A42)),DATE(YEAR(Quarterly!A42)+1,MONTH(Quarterly!A42),DAY(Quarterly!A42))))</f>
        <v>56323</v>
      </c>
      <c r="B43" s="9">
        <f t="shared" si="0"/>
        <v>56309</v>
      </c>
      <c r="C43" s="9">
        <f t="shared" si="6"/>
        <v>56339</v>
      </c>
      <c r="D43" s="3">
        <f t="shared" si="1"/>
        <v>31</v>
      </c>
      <c r="E43" s="10">
        <f t="shared" si="2"/>
        <v>17</v>
      </c>
      <c r="F43" s="4">
        <f>Lease!K53</f>
        <v>0</v>
      </c>
      <c r="G43" s="3">
        <f t="shared" si="7"/>
        <v>0</v>
      </c>
      <c r="H43" s="11">
        <f t="shared" si="8"/>
        <v>0</v>
      </c>
      <c r="I43" s="11">
        <f t="shared" si="9"/>
        <v>0</v>
      </c>
      <c r="J43" s="4">
        <f t="shared" si="10"/>
        <v>0</v>
      </c>
      <c r="K43" s="3">
        <f t="shared" si="11"/>
        <v>0</v>
      </c>
    </row>
    <row r="44" spans="1:11" x14ac:dyDescent="0.25">
      <c r="A44" s="9">
        <f>IF(Lease!$H$4="Monthly",DATE(YEAR(Quarterly!A43),MONTH(Quarterly!A43)+1,DAY(Quarterly!A43)),IF(Lease!$H$4="Quarterly",DATE(YEAR(Quarterly!A43),MONTH(Quarterly!A43)+3,DAY(Quarterly!A43)),DATE(YEAR(Quarterly!A43)+1,MONTH(Quarterly!A43),DAY(Quarterly!A43))))</f>
        <v>56688</v>
      </c>
      <c r="B44" s="9">
        <f t="shared" si="0"/>
        <v>56674</v>
      </c>
      <c r="C44" s="9">
        <f t="shared" si="6"/>
        <v>56704</v>
      </c>
      <c r="D44" s="3">
        <f t="shared" si="1"/>
        <v>31</v>
      </c>
      <c r="E44" s="10">
        <f t="shared" si="2"/>
        <v>17</v>
      </c>
      <c r="F44" s="4">
        <f>Lease!K54</f>
        <v>0</v>
      </c>
      <c r="G44" s="3">
        <f t="shared" si="7"/>
        <v>0</v>
      </c>
      <c r="H44" s="11">
        <f t="shared" si="8"/>
        <v>0</v>
      </c>
      <c r="I44" s="11">
        <f t="shared" si="9"/>
        <v>0</v>
      </c>
      <c r="J44" s="4">
        <f t="shared" si="10"/>
        <v>0</v>
      </c>
      <c r="K44" s="3">
        <f t="shared" si="11"/>
        <v>0</v>
      </c>
    </row>
    <row r="45" spans="1:11" x14ac:dyDescent="0.25">
      <c r="A45" s="9">
        <f>IF(Lease!$H$4="Monthly",DATE(YEAR(Quarterly!A44),MONTH(Quarterly!A44)+1,DAY(Quarterly!A44)),IF(Lease!$H$4="Quarterly",DATE(YEAR(Quarterly!A44),MONTH(Quarterly!A44)+3,DAY(Quarterly!A44)),DATE(YEAR(Quarterly!A44)+1,MONTH(Quarterly!A44),DAY(Quarterly!A44))))</f>
        <v>57054</v>
      </c>
      <c r="B45" s="9">
        <f t="shared" si="0"/>
        <v>57040</v>
      </c>
      <c r="C45" s="9">
        <f t="shared" si="6"/>
        <v>57070</v>
      </c>
      <c r="D45" s="3">
        <f t="shared" si="1"/>
        <v>31</v>
      </c>
      <c r="E45" s="10">
        <f t="shared" si="2"/>
        <v>17</v>
      </c>
      <c r="F45" s="4">
        <f>Lease!K55</f>
        <v>0</v>
      </c>
      <c r="G45" s="3">
        <f t="shared" si="7"/>
        <v>0</v>
      </c>
      <c r="H45" s="11">
        <f t="shared" si="8"/>
        <v>0</v>
      </c>
      <c r="I45" s="11">
        <f t="shared" si="9"/>
        <v>0</v>
      </c>
      <c r="J45" s="4">
        <f t="shared" si="10"/>
        <v>0</v>
      </c>
      <c r="K45" s="3">
        <f t="shared" si="11"/>
        <v>0</v>
      </c>
    </row>
    <row r="46" spans="1:11" x14ac:dyDescent="0.25">
      <c r="A46" s="9">
        <f>IF(Lease!$H$4="Monthly",DATE(YEAR(Quarterly!A45),MONTH(Quarterly!A45)+1,DAY(Quarterly!A45)),IF(Lease!$H$4="Quarterly",DATE(YEAR(Quarterly!A45),MONTH(Quarterly!A45)+3,DAY(Quarterly!A45)),DATE(YEAR(Quarterly!A45)+1,MONTH(Quarterly!A45),DAY(Quarterly!A45))))</f>
        <v>57419</v>
      </c>
      <c r="B46" s="9">
        <f t="shared" si="0"/>
        <v>57405</v>
      </c>
      <c r="C46" s="9">
        <f t="shared" si="6"/>
        <v>57435</v>
      </c>
      <c r="D46" s="3">
        <f t="shared" si="1"/>
        <v>31</v>
      </c>
      <c r="E46" s="10">
        <f t="shared" si="2"/>
        <v>17</v>
      </c>
      <c r="F46" s="4">
        <f>Lease!K56</f>
        <v>0</v>
      </c>
      <c r="G46" s="3">
        <f t="shared" si="7"/>
        <v>0</v>
      </c>
      <c r="H46" s="11">
        <f t="shared" si="8"/>
        <v>0</v>
      </c>
      <c r="I46" s="11">
        <f t="shared" si="9"/>
        <v>0</v>
      </c>
      <c r="J46" s="4">
        <f t="shared" si="10"/>
        <v>0</v>
      </c>
      <c r="K46" s="3">
        <f t="shared" si="11"/>
        <v>0</v>
      </c>
    </row>
    <row r="47" spans="1:11" x14ac:dyDescent="0.25">
      <c r="A47" s="9">
        <f>IF(Lease!$H$4="Monthly",DATE(YEAR(Quarterly!A46),MONTH(Quarterly!A46)+1,DAY(Quarterly!A46)),IF(Lease!$H$4="Quarterly",DATE(YEAR(Quarterly!A46),MONTH(Quarterly!A46)+3,DAY(Quarterly!A46)),DATE(YEAR(Quarterly!A46)+1,MONTH(Quarterly!A46),DAY(Quarterly!A46))))</f>
        <v>57784</v>
      </c>
      <c r="B47" s="9">
        <f t="shared" si="0"/>
        <v>57770</v>
      </c>
      <c r="C47" s="9">
        <f t="shared" si="6"/>
        <v>57800</v>
      </c>
      <c r="D47" s="3">
        <f t="shared" si="1"/>
        <v>31</v>
      </c>
      <c r="E47" s="10">
        <f t="shared" si="2"/>
        <v>17</v>
      </c>
      <c r="F47" s="4">
        <f>Lease!K57</f>
        <v>0</v>
      </c>
      <c r="G47" s="3">
        <f t="shared" si="7"/>
        <v>0</v>
      </c>
      <c r="H47" s="11">
        <f t="shared" si="8"/>
        <v>0</v>
      </c>
      <c r="I47" s="11">
        <f t="shared" si="9"/>
        <v>0</v>
      </c>
      <c r="J47" s="4">
        <f t="shared" si="10"/>
        <v>0</v>
      </c>
      <c r="K47" s="3">
        <f t="shared" si="11"/>
        <v>0</v>
      </c>
    </row>
    <row r="48" spans="1:11" x14ac:dyDescent="0.25">
      <c r="A48" s="9">
        <f>IF(Lease!$H$4="Monthly",DATE(YEAR(Quarterly!A47),MONTH(Quarterly!A47)+1,DAY(Quarterly!A47)),IF(Lease!$H$4="Quarterly",DATE(YEAR(Quarterly!A47),MONTH(Quarterly!A47)+3,DAY(Quarterly!A47)),DATE(YEAR(Quarterly!A47)+1,MONTH(Quarterly!A47),DAY(Quarterly!A47))))</f>
        <v>58149</v>
      </c>
      <c r="B48" s="9">
        <f t="shared" si="0"/>
        <v>58135</v>
      </c>
      <c r="C48" s="9">
        <f t="shared" si="6"/>
        <v>58165</v>
      </c>
      <c r="D48" s="3">
        <f t="shared" si="1"/>
        <v>31</v>
      </c>
      <c r="E48" s="10">
        <f t="shared" si="2"/>
        <v>17</v>
      </c>
      <c r="F48" s="4">
        <f>Lease!K58</f>
        <v>0</v>
      </c>
      <c r="G48" s="3">
        <f t="shared" si="7"/>
        <v>0</v>
      </c>
      <c r="H48" s="11">
        <f t="shared" si="8"/>
        <v>0</v>
      </c>
      <c r="I48" s="11">
        <f t="shared" si="9"/>
        <v>0</v>
      </c>
      <c r="J48" s="4">
        <f t="shared" si="10"/>
        <v>0</v>
      </c>
      <c r="K48" s="3">
        <f t="shared" si="11"/>
        <v>0</v>
      </c>
    </row>
    <row r="49" spans="1:11" x14ac:dyDescent="0.25">
      <c r="A49" s="9">
        <f>IF(Lease!$H$4="Monthly",DATE(YEAR(Quarterly!A48),MONTH(Quarterly!A48)+1,DAY(Quarterly!A48)),IF(Lease!$H$4="Quarterly",DATE(YEAR(Quarterly!A48),MONTH(Quarterly!A48)+3,DAY(Quarterly!A48)),DATE(YEAR(Quarterly!A48)+1,MONTH(Quarterly!A48),DAY(Quarterly!A48))))</f>
        <v>58515</v>
      </c>
      <c r="B49" s="9">
        <f t="shared" si="0"/>
        <v>58501</v>
      </c>
      <c r="C49" s="9">
        <f t="shared" si="6"/>
        <v>58531</v>
      </c>
      <c r="D49" s="3">
        <f t="shared" si="1"/>
        <v>31</v>
      </c>
      <c r="E49" s="10">
        <f t="shared" si="2"/>
        <v>17</v>
      </c>
      <c r="F49" s="4">
        <f>Lease!K59</f>
        <v>0</v>
      </c>
      <c r="G49" s="3">
        <f t="shared" si="7"/>
        <v>0</v>
      </c>
      <c r="H49" s="11">
        <f t="shared" si="8"/>
        <v>0</v>
      </c>
      <c r="I49" s="11">
        <f t="shared" si="9"/>
        <v>0</v>
      </c>
      <c r="J49" s="4">
        <f t="shared" si="10"/>
        <v>0</v>
      </c>
      <c r="K49" s="3">
        <f t="shared" si="11"/>
        <v>0</v>
      </c>
    </row>
    <row r="50" spans="1:11" x14ac:dyDescent="0.25">
      <c r="A50" s="9">
        <f>IF(Lease!$H$4="Monthly",DATE(YEAR(Quarterly!A49),MONTH(Quarterly!A49)+1,DAY(Quarterly!A49)),IF(Lease!$H$4="Quarterly",DATE(YEAR(Quarterly!A49),MONTH(Quarterly!A49)+3,DAY(Quarterly!A49)),DATE(YEAR(Quarterly!A49)+1,MONTH(Quarterly!A49),DAY(Quarterly!A49))))</f>
        <v>58880</v>
      </c>
      <c r="B50" s="9">
        <f t="shared" si="0"/>
        <v>58866</v>
      </c>
      <c r="C50" s="9">
        <f t="shared" si="6"/>
        <v>58896</v>
      </c>
      <c r="D50" s="3">
        <f t="shared" si="1"/>
        <v>31</v>
      </c>
      <c r="E50" s="10">
        <f t="shared" si="2"/>
        <v>17</v>
      </c>
      <c r="F50" s="4">
        <f>Lease!K60</f>
        <v>0</v>
      </c>
      <c r="G50" s="3">
        <f t="shared" si="7"/>
        <v>0</v>
      </c>
      <c r="H50" s="11">
        <f t="shared" si="8"/>
        <v>0</v>
      </c>
      <c r="I50" s="11">
        <f t="shared" si="9"/>
        <v>0</v>
      </c>
      <c r="J50" s="4">
        <f t="shared" si="10"/>
        <v>0</v>
      </c>
      <c r="K50" s="3">
        <f t="shared" si="11"/>
        <v>0</v>
      </c>
    </row>
    <row r="51" spans="1:11" x14ac:dyDescent="0.25">
      <c r="A51" s="9">
        <f>IF(Lease!$H$4="Monthly",DATE(YEAR(Quarterly!A50),MONTH(Quarterly!A50)+1,DAY(Quarterly!A50)),IF(Lease!$H$4="Quarterly",DATE(YEAR(Quarterly!A50),MONTH(Quarterly!A50)+3,DAY(Quarterly!A50)),DATE(YEAR(Quarterly!A50)+1,MONTH(Quarterly!A50),DAY(Quarterly!A50))))</f>
        <v>59245</v>
      </c>
      <c r="B51" s="9">
        <f t="shared" si="0"/>
        <v>59231</v>
      </c>
      <c r="C51" s="9">
        <f t="shared" si="6"/>
        <v>59261</v>
      </c>
      <c r="D51" s="3">
        <f t="shared" si="1"/>
        <v>31</v>
      </c>
      <c r="E51" s="10">
        <f t="shared" si="2"/>
        <v>17</v>
      </c>
      <c r="F51" s="4">
        <f>Lease!K61</f>
        <v>0</v>
      </c>
      <c r="G51" s="3">
        <f t="shared" si="7"/>
        <v>0</v>
      </c>
      <c r="H51" s="11">
        <f t="shared" si="8"/>
        <v>0</v>
      </c>
      <c r="I51" s="11">
        <f t="shared" si="9"/>
        <v>0</v>
      </c>
      <c r="J51" s="4">
        <f t="shared" si="10"/>
        <v>0</v>
      </c>
      <c r="K51" s="3">
        <f t="shared" si="11"/>
        <v>0</v>
      </c>
    </row>
    <row r="52" spans="1:11" x14ac:dyDescent="0.25">
      <c r="A52" s="9">
        <f>IF(Lease!$H$4="Monthly",DATE(YEAR(Quarterly!A51),MONTH(Quarterly!A51)+1,DAY(Quarterly!A51)),IF(Lease!$H$4="Quarterly",DATE(YEAR(Quarterly!A51),MONTH(Quarterly!A51)+3,DAY(Quarterly!A51)),DATE(YEAR(Quarterly!A51)+1,MONTH(Quarterly!A51),DAY(Quarterly!A51))))</f>
        <v>59610</v>
      </c>
      <c r="B52" s="9">
        <f t="shared" si="0"/>
        <v>59596</v>
      </c>
      <c r="C52" s="9">
        <f t="shared" si="6"/>
        <v>59626</v>
      </c>
      <c r="D52" s="3">
        <f t="shared" si="1"/>
        <v>31</v>
      </c>
      <c r="E52" s="10">
        <f t="shared" si="2"/>
        <v>17</v>
      </c>
      <c r="F52" s="4">
        <f>Lease!K62</f>
        <v>0</v>
      </c>
      <c r="G52" s="3">
        <f t="shared" si="7"/>
        <v>0</v>
      </c>
      <c r="H52" s="11">
        <f t="shared" si="8"/>
        <v>0</v>
      </c>
      <c r="I52" s="11">
        <f t="shared" si="9"/>
        <v>0</v>
      </c>
      <c r="J52" s="4">
        <f t="shared" si="10"/>
        <v>0</v>
      </c>
      <c r="K52" s="3">
        <f t="shared" si="11"/>
        <v>0</v>
      </c>
    </row>
    <row r="53" spans="1:11" x14ac:dyDescent="0.25">
      <c r="A53" s="9">
        <f>IF(Lease!$H$4="Monthly",DATE(YEAR(Quarterly!A52),MONTH(Quarterly!A52)+1,DAY(Quarterly!A52)),IF(Lease!$H$4="Quarterly",DATE(YEAR(Quarterly!A52),MONTH(Quarterly!A52)+3,DAY(Quarterly!A52)),DATE(YEAR(Quarterly!A52)+1,MONTH(Quarterly!A52),DAY(Quarterly!A52))))</f>
        <v>59976</v>
      </c>
      <c r="B53" s="9">
        <f t="shared" si="0"/>
        <v>59962</v>
      </c>
      <c r="C53" s="9">
        <f t="shared" si="6"/>
        <v>59992</v>
      </c>
      <c r="D53" s="3">
        <f t="shared" si="1"/>
        <v>31</v>
      </c>
      <c r="E53" s="10">
        <f t="shared" si="2"/>
        <v>17</v>
      </c>
      <c r="F53" s="4">
        <f>Lease!K63</f>
        <v>0</v>
      </c>
      <c r="G53" s="3">
        <f t="shared" si="7"/>
        <v>0</v>
      </c>
      <c r="H53" s="11">
        <f t="shared" si="8"/>
        <v>0</v>
      </c>
      <c r="I53" s="11">
        <f t="shared" si="9"/>
        <v>0</v>
      </c>
      <c r="J53" s="4">
        <f t="shared" si="10"/>
        <v>0</v>
      </c>
      <c r="K53" s="3">
        <f t="shared" si="11"/>
        <v>0</v>
      </c>
    </row>
    <row r="54" spans="1:11" x14ac:dyDescent="0.25">
      <c r="A54" s="9">
        <f>IF(Lease!$H$4="Monthly",DATE(YEAR(Quarterly!A53),MONTH(Quarterly!A53)+1,DAY(Quarterly!A53)),IF(Lease!$H$4="Quarterly",DATE(YEAR(Quarterly!A53),MONTH(Quarterly!A53)+3,DAY(Quarterly!A53)),DATE(YEAR(Quarterly!A53)+1,MONTH(Quarterly!A53),DAY(Quarterly!A53))))</f>
        <v>60341</v>
      </c>
      <c r="B54" s="9">
        <f t="shared" si="0"/>
        <v>60327</v>
      </c>
      <c r="C54" s="9">
        <f t="shared" si="6"/>
        <v>60357</v>
      </c>
      <c r="D54" s="3">
        <f t="shared" si="1"/>
        <v>31</v>
      </c>
      <c r="E54" s="10">
        <f t="shared" si="2"/>
        <v>17</v>
      </c>
      <c r="F54" s="4">
        <f>Lease!K64</f>
        <v>0</v>
      </c>
      <c r="G54" s="3">
        <f t="shared" si="7"/>
        <v>0</v>
      </c>
      <c r="H54" s="11">
        <f t="shared" si="8"/>
        <v>0</v>
      </c>
      <c r="I54" s="11">
        <f t="shared" si="9"/>
        <v>0</v>
      </c>
      <c r="J54" s="4">
        <f t="shared" si="10"/>
        <v>0</v>
      </c>
      <c r="K54" s="3">
        <f t="shared" si="11"/>
        <v>0</v>
      </c>
    </row>
    <row r="55" spans="1:11" x14ac:dyDescent="0.25">
      <c r="A55" s="9">
        <f>IF(Lease!$H$4="Monthly",DATE(YEAR(Quarterly!A54),MONTH(Quarterly!A54)+1,DAY(Quarterly!A54)),IF(Lease!$H$4="Quarterly",DATE(YEAR(Quarterly!A54),MONTH(Quarterly!A54)+3,DAY(Quarterly!A54)),DATE(YEAR(Quarterly!A54)+1,MONTH(Quarterly!A54),DAY(Quarterly!A54))))</f>
        <v>60706</v>
      </c>
      <c r="B55" s="9">
        <f t="shared" si="0"/>
        <v>60692</v>
      </c>
      <c r="C55" s="9">
        <f t="shared" si="6"/>
        <v>60722</v>
      </c>
      <c r="D55" s="3">
        <f t="shared" si="1"/>
        <v>31</v>
      </c>
      <c r="E55" s="10">
        <f t="shared" si="2"/>
        <v>17</v>
      </c>
      <c r="F55" s="4">
        <f>Lease!K65</f>
        <v>0</v>
      </c>
      <c r="G55" s="3">
        <f t="shared" si="7"/>
        <v>0</v>
      </c>
      <c r="H55" s="11">
        <f t="shared" si="8"/>
        <v>0</v>
      </c>
      <c r="I55" s="11">
        <f t="shared" si="9"/>
        <v>0</v>
      </c>
      <c r="J55" s="4">
        <f t="shared" si="10"/>
        <v>0</v>
      </c>
      <c r="K55" s="3">
        <f t="shared" si="11"/>
        <v>0</v>
      </c>
    </row>
    <row r="56" spans="1:11" x14ac:dyDescent="0.25">
      <c r="A56" s="9">
        <f>IF(Lease!$H$4="Monthly",DATE(YEAR(Quarterly!A55),MONTH(Quarterly!A55)+1,DAY(Quarterly!A55)),IF(Lease!$H$4="Quarterly",DATE(YEAR(Quarterly!A55),MONTH(Quarterly!A55)+3,DAY(Quarterly!A55)),DATE(YEAR(Quarterly!A55)+1,MONTH(Quarterly!A55),DAY(Quarterly!A55))))</f>
        <v>61071</v>
      </c>
      <c r="B56" s="9">
        <f t="shared" si="0"/>
        <v>61057</v>
      </c>
      <c r="C56" s="9">
        <f t="shared" si="6"/>
        <v>61087</v>
      </c>
      <c r="D56" s="3">
        <f t="shared" si="1"/>
        <v>31</v>
      </c>
      <c r="E56" s="10">
        <f t="shared" si="2"/>
        <v>17</v>
      </c>
      <c r="F56" s="4">
        <f>Lease!K66</f>
        <v>0</v>
      </c>
      <c r="G56" s="3">
        <f t="shared" si="7"/>
        <v>0</v>
      </c>
      <c r="H56" s="11">
        <f t="shared" si="8"/>
        <v>0</v>
      </c>
      <c r="I56" s="11">
        <f t="shared" si="9"/>
        <v>0</v>
      </c>
      <c r="J56" s="4">
        <f t="shared" si="10"/>
        <v>0</v>
      </c>
      <c r="K56" s="3">
        <f t="shared" si="11"/>
        <v>0</v>
      </c>
    </row>
    <row r="57" spans="1:11" x14ac:dyDescent="0.25">
      <c r="A57" s="9">
        <f>IF(Lease!$H$4="Monthly",DATE(YEAR(Quarterly!A56),MONTH(Quarterly!A56)+1,DAY(Quarterly!A56)),IF(Lease!$H$4="Quarterly",DATE(YEAR(Quarterly!A56),MONTH(Quarterly!A56)+3,DAY(Quarterly!A56)),DATE(YEAR(Quarterly!A56)+1,MONTH(Quarterly!A56),DAY(Quarterly!A56))))</f>
        <v>61437</v>
      </c>
      <c r="B57" s="9">
        <f t="shared" si="0"/>
        <v>61423</v>
      </c>
      <c r="C57" s="9">
        <f t="shared" si="6"/>
        <v>61453</v>
      </c>
      <c r="D57" s="3">
        <f t="shared" si="1"/>
        <v>31</v>
      </c>
      <c r="E57" s="10">
        <f t="shared" si="2"/>
        <v>17</v>
      </c>
      <c r="F57" s="4">
        <f>Lease!K67</f>
        <v>0</v>
      </c>
      <c r="G57" s="3">
        <f t="shared" si="7"/>
        <v>0</v>
      </c>
      <c r="H57" s="11">
        <f t="shared" si="8"/>
        <v>0</v>
      </c>
      <c r="I57" s="11">
        <f t="shared" si="9"/>
        <v>0</v>
      </c>
      <c r="J57" s="4">
        <f t="shared" si="10"/>
        <v>0</v>
      </c>
      <c r="K57" s="3">
        <f t="shared" si="11"/>
        <v>0</v>
      </c>
    </row>
    <row r="58" spans="1:11" x14ac:dyDescent="0.25">
      <c r="A58" s="9">
        <f>IF(Lease!$H$4="Monthly",DATE(YEAR(Quarterly!A57),MONTH(Quarterly!A57)+1,DAY(Quarterly!A57)),IF(Lease!$H$4="Quarterly",DATE(YEAR(Quarterly!A57),MONTH(Quarterly!A57)+3,DAY(Quarterly!A57)),DATE(YEAR(Quarterly!A57)+1,MONTH(Quarterly!A57),DAY(Quarterly!A57))))</f>
        <v>61802</v>
      </c>
      <c r="B58" s="9">
        <f t="shared" si="0"/>
        <v>61788</v>
      </c>
      <c r="C58" s="9">
        <f t="shared" si="6"/>
        <v>61818</v>
      </c>
      <c r="D58" s="3">
        <f t="shared" si="1"/>
        <v>31</v>
      </c>
      <c r="E58" s="10">
        <f t="shared" si="2"/>
        <v>17</v>
      </c>
      <c r="F58" s="4">
        <f>Lease!K68</f>
        <v>0</v>
      </c>
      <c r="G58" s="3">
        <f t="shared" si="7"/>
        <v>0</v>
      </c>
      <c r="H58" s="11">
        <f t="shared" si="8"/>
        <v>0</v>
      </c>
      <c r="I58" s="11">
        <f t="shared" si="9"/>
        <v>0</v>
      </c>
      <c r="J58" s="4">
        <f t="shared" si="10"/>
        <v>0</v>
      </c>
      <c r="K58" s="3">
        <f t="shared" si="11"/>
        <v>0</v>
      </c>
    </row>
    <row r="59" spans="1:11" x14ac:dyDescent="0.25">
      <c r="A59" s="9">
        <f>IF(Lease!$H$4="Monthly",DATE(YEAR(Quarterly!A58),MONTH(Quarterly!A58)+1,DAY(Quarterly!A58)),IF(Lease!$H$4="Quarterly",DATE(YEAR(Quarterly!A58),MONTH(Quarterly!A58)+3,DAY(Quarterly!A58)),DATE(YEAR(Quarterly!A58)+1,MONTH(Quarterly!A58),DAY(Quarterly!A58))))</f>
        <v>62167</v>
      </c>
      <c r="B59" s="9">
        <f t="shared" si="0"/>
        <v>62153</v>
      </c>
      <c r="C59" s="9">
        <f t="shared" si="6"/>
        <v>62183</v>
      </c>
      <c r="D59" s="3">
        <f t="shared" si="1"/>
        <v>31</v>
      </c>
      <c r="E59" s="10">
        <f t="shared" si="2"/>
        <v>17</v>
      </c>
      <c r="F59" s="4">
        <f>Lease!K69</f>
        <v>0</v>
      </c>
      <c r="G59" s="3">
        <f t="shared" si="7"/>
        <v>0</v>
      </c>
      <c r="H59" s="11">
        <f t="shared" si="8"/>
        <v>0</v>
      </c>
      <c r="I59" s="11">
        <f t="shared" si="9"/>
        <v>0</v>
      </c>
      <c r="J59" s="4">
        <f t="shared" si="10"/>
        <v>0</v>
      </c>
      <c r="K59" s="3">
        <f t="shared" si="11"/>
        <v>0</v>
      </c>
    </row>
    <row r="60" spans="1:11" x14ac:dyDescent="0.25">
      <c r="A60" s="9">
        <f>IF(Lease!$H$4="Monthly",DATE(YEAR(Quarterly!A59),MONTH(Quarterly!A59)+1,DAY(Quarterly!A59)),IF(Lease!$H$4="Quarterly",DATE(YEAR(Quarterly!A59),MONTH(Quarterly!A59)+3,DAY(Quarterly!A59)),DATE(YEAR(Quarterly!A59)+1,MONTH(Quarterly!A59),DAY(Quarterly!A59))))</f>
        <v>62532</v>
      </c>
      <c r="B60" s="9">
        <f t="shared" si="0"/>
        <v>62518</v>
      </c>
      <c r="C60" s="9">
        <f t="shared" si="6"/>
        <v>62548</v>
      </c>
      <c r="D60" s="3">
        <f t="shared" si="1"/>
        <v>31</v>
      </c>
      <c r="E60" s="10">
        <f t="shared" si="2"/>
        <v>17</v>
      </c>
      <c r="F60" s="4">
        <f>Lease!K70</f>
        <v>0</v>
      </c>
      <c r="G60" s="3">
        <f t="shared" si="7"/>
        <v>0</v>
      </c>
      <c r="H60" s="11">
        <f t="shared" si="8"/>
        <v>0</v>
      </c>
      <c r="I60" s="11">
        <f t="shared" si="9"/>
        <v>0</v>
      </c>
      <c r="J60" s="4">
        <f t="shared" si="10"/>
        <v>0</v>
      </c>
      <c r="K60" s="3">
        <f t="shared" si="11"/>
        <v>0</v>
      </c>
    </row>
    <row r="61" spans="1:11" x14ac:dyDescent="0.25">
      <c r="A61" s="9">
        <f>IF(Lease!$H$4="Monthly",DATE(YEAR(Quarterly!A60),MONTH(Quarterly!A60)+1,DAY(Quarterly!A60)),IF(Lease!$H$4="Quarterly",DATE(YEAR(Quarterly!A60),MONTH(Quarterly!A60)+3,DAY(Quarterly!A60)),DATE(YEAR(Quarterly!A60)+1,MONTH(Quarterly!A60),DAY(Quarterly!A60))))</f>
        <v>62898</v>
      </c>
      <c r="B61" s="9">
        <f t="shared" si="0"/>
        <v>62884</v>
      </c>
      <c r="C61" s="9">
        <f t="shared" si="6"/>
        <v>62914</v>
      </c>
      <c r="D61" s="3">
        <f t="shared" si="1"/>
        <v>31</v>
      </c>
      <c r="E61" s="10">
        <f t="shared" si="2"/>
        <v>17</v>
      </c>
      <c r="F61" s="4">
        <f>Lease!K71</f>
        <v>0</v>
      </c>
      <c r="G61" s="3">
        <f t="shared" si="7"/>
        <v>0</v>
      </c>
      <c r="H61" s="11">
        <f t="shared" si="8"/>
        <v>0</v>
      </c>
      <c r="I61" s="11">
        <f t="shared" si="9"/>
        <v>0</v>
      </c>
      <c r="J61" s="4">
        <f t="shared" si="10"/>
        <v>0</v>
      </c>
      <c r="K61" s="3">
        <f t="shared" si="11"/>
        <v>0</v>
      </c>
    </row>
    <row r="62" spans="1:11" x14ac:dyDescent="0.25">
      <c r="A62" s="9">
        <f>IF(Lease!$H$4="Monthly",DATE(YEAR(Quarterly!A61),MONTH(Quarterly!A61)+1,DAY(Quarterly!A61)),IF(Lease!$H$4="Quarterly",DATE(YEAR(Quarterly!A61),MONTH(Quarterly!A61)+3,DAY(Quarterly!A61)),DATE(YEAR(Quarterly!A61)+1,MONTH(Quarterly!A61),DAY(Quarterly!A61))))</f>
        <v>63263</v>
      </c>
      <c r="B62" s="9">
        <f t="shared" si="0"/>
        <v>63249</v>
      </c>
      <c r="C62" s="9">
        <f t="shared" si="6"/>
        <v>63279</v>
      </c>
      <c r="D62" s="3">
        <f t="shared" si="1"/>
        <v>31</v>
      </c>
      <c r="E62" s="10">
        <f t="shared" si="2"/>
        <v>17</v>
      </c>
      <c r="F62" s="4">
        <f>Lease!K72</f>
        <v>0</v>
      </c>
      <c r="G62" s="3">
        <f t="shared" si="7"/>
        <v>0</v>
      </c>
      <c r="H62" s="11">
        <f t="shared" si="8"/>
        <v>0</v>
      </c>
      <c r="I62" s="11">
        <f t="shared" si="9"/>
        <v>0</v>
      </c>
      <c r="J62" s="4">
        <f t="shared" si="10"/>
        <v>0</v>
      </c>
      <c r="K62" s="3">
        <f t="shared" si="11"/>
        <v>0</v>
      </c>
    </row>
    <row r="63" spans="1:11" x14ac:dyDescent="0.25">
      <c r="A63" s="9">
        <f>IF(Lease!$H$4="Monthly",DATE(YEAR(Quarterly!A62),MONTH(Quarterly!A62)+1,DAY(Quarterly!A62)),IF(Lease!$H$4="Quarterly",DATE(YEAR(Quarterly!A62),MONTH(Quarterly!A62)+3,DAY(Quarterly!A62)),DATE(YEAR(Quarterly!A62)+1,MONTH(Quarterly!A62),DAY(Quarterly!A62))))</f>
        <v>63628</v>
      </c>
      <c r="B63" s="9">
        <f t="shared" si="0"/>
        <v>63614</v>
      </c>
      <c r="C63" s="9">
        <f t="shared" si="6"/>
        <v>63644</v>
      </c>
      <c r="D63" s="3">
        <f t="shared" si="1"/>
        <v>31</v>
      </c>
      <c r="E63" s="10">
        <f t="shared" si="2"/>
        <v>17</v>
      </c>
      <c r="F63" s="4">
        <f>Lease!K73</f>
        <v>0</v>
      </c>
      <c r="G63" s="3">
        <f t="shared" si="7"/>
        <v>0</v>
      </c>
      <c r="H63" s="11">
        <f t="shared" si="8"/>
        <v>0</v>
      </c>
      <c r="I63" s="11">
        <f t="shared" si="9"/>
        <v>0</v>
      </c>
      <c r="J63" s="4">
        <f t="shared" si="10"/>
        <v>0</v>
      </c>
      <c r="K63" s="3">
        <f t="shared" si="11"/>
        <v>0</v>
      </c>
    </row>
    <row r="64" spans="1:11" x14ac:dyDescent="0.25">
      <c r="A64" s="9">
        <f>IF(Lease!$H$4="Monthly",DATE(YEAR(Quarterly!A63),MONTH(Quarterly!A63)+1,DAY(Quarterly!A63)),IF(Lease!$H$4="Quarterly",DATE(YEAR(Quarterly!A63),MONTH(Quarterly!A63)+3,DAY(Quarterly!A63)),DATE(YEAR(Quarterly!A63)+1,MONTH(Quarterly!A63),DAY(Quarterly!A63))))</f>
        <v>63993</v>
      </c>
      <c r="B64" s="9">
        <f t="shared" si="0"/>
        <v>63979</v>
      </c>
      <c r="C64" s="9">
        <f t="shared" si="6"/>
        <v>64009</v>
      </c>
      <c r="D64" s="3">
        <f t="shared" si="1"/>
        <v>31</v>
      </c>
      <c r="E64" s="10">
        <f t="shared" si="2"/>
        <v>17</v>
      </c>
      <c r="F64" s="4">
        <f>Lease!K74</f>
        <v>0</v>
      </c>
      <c r="G64" s="3">
        <f t="shared" si="7"/>
        <v>0</v>
      </c>
      <c r="H64" s="11">
        <f t="shared" si="8"/>
        <v>0</v>
      </c>
      <c r="I64" s="11">
        <f t="shared" si="9"/>
        <v>0</v>
      </c>
      <c r="J64" s="4">
        <f t="shared" si="10"/>
        <v>0</v>
      </c>
      <c r="K64" s="3">
        <f t="shared" si="11"/>
        <v>0</v>
      </c>
    </row>
    <row r="65" spans="1:11" x14ac:dyDescent="0.25">
      <c r="A65" s="9">
        <f>IF(Lease!$H$4="Monthly",DATE(YEAR(Quarterly!A64),MONTH(Quarterly!A64)+1,DAY(Quarterly!A64)),IF(Lease!$H$4="Quarterly",DATE(YEAR(Quarterly!A64),MONTH(Quarterly!A64)+3,DAY(Quarterly!A64)),DATE(YEAR(Quarterly!A64)+1,MONTH(Quarterly!A64),DAY(Quarterly!A64))))</f>
        <v>64359</v>
      </c>
      <c r="B65" s="9">
        <f t="shared" si="0"/>
        <v>64345</v>
      </c>
      <c r="C65" s="9">
        <f t="shared" si="6"/>
        <v>64375</v>
      </c>
      <c r="D65" s="3">
        <f t="shared" si="1"/>
        <v>31</v>
      </c>
      <c r="E65" s="10">
        <f t="shared" si="2"/>
        <v>17</v>
      </c>
      <c r="F65" s="4">
        <f>Lease!K75</f>
        <v>0</v>
      </c>
      <c r="G65" s="3">
        <f t="shared" si="7"/>
        <v>0</v>
      </c>
      <c r="H65" s="11">
        <f t="shared" si="8"/>
        <v>0</v>
      </c>
      <c r="I65" s="11">
        <f t="shared" si="9"/>
        <v>0</v>
      </c>
      <c r="J65" s="4">
        <f t="shared" si="10"/>
        <v>0</v>
      </c>
      <c r="K65" s="3">
        <f t="shared" si="11"/>
        <v>0</v>
      </c>
    </row>
    <row r="66" spans="1:11" x14ac:dyDescent="0.25">
      <c r="A66" s="9">
        <f>IF(Lease!$H$4="Monthly",DATE(YEAR(Quarterly!A65),MONTH(Quarterly!A65)+1,DAY(Quarterly!A65)),IF(Lease!$H$4="Quarterly",DATE(YEAR(Quarterly!A65),MONTH(Quarterly!A65)+3,DAY(Quarterly!A65)),DATE(YEAR(Quarterly!A65)+1,MONTH(Quarterly!A65),DAY(Quarterly!A65))))</f>
        <v>64724</v>
      </c>
      <c r="B66" s="9">
        <f t="shared" si="0"/>
        <v>64710</v>
      </c>
      <c r="C66" s="9">
        <f t="shared" si="6"/>
        <v>64740</v>
      </c>
      <c r="D66" s="3">
        <f t="shared" si="1"/>
        <v>31</v>
      </c>
      <c r="E66" s="10">
        <f t="shared" si="2"/>
        <v>17</v>
      </c>
      <c r="F66" s="4">
        <f>Lease!K76</f>
        <v>0</v>
      </c>
      <c r="G66" s="3">
        <f t="shared" si="7"/>
        <v>0</v>
      </c>
      <c r="H66" s="11">
        <f t="shared" si="8"/>
        <v>0</v>
      </c>
      <c r="I66" s="11">
        <f t="shared" si="9"/>
        <v>0</v>
      </c>
      <c r="J66" s="4">
        <f t="shared" si="10"/>
        <v>0</v>
      </c>
      <c r="K66" s="3">
        <f t="shared" si="11"/>
        <v>0</v>
      </c>
    </row>
    <row r="67" spans="1:11" x14ac:dyDescent="0.25">
      <c r="A67" s="9">
        <f>IF(Lease!$H$4="Monthly",DATE(YEAR(Quarterly!A66),MONTH(Quarterly!A66)+1,DAY(Quarterly!A66)),IF(Lease!$H$4="Quarterly",DATE(YEAR(Quarterly!A66),MONTH(Quarterly!A66)+3,DAY(Quarterly!A66)),DATE(YEAR(Quarterly!A66)+1,MONTH(Quarterly!A66),DAY(Quarterly!A66))))</f>
        <v>65089</v>
      </c>
      <c r="B67" s="9">
        <f t="shared" si="0"/>
        <v>65075</v>
      </c>
      <c r="C67" s="9">
        <f t="shared" si="6"/>
        <v>65105</v>
      </c>
      <c r="D67" s="3">
        <f t="shared" si="1"/>
        <v>31</v>
      </c>
      <c r="E67" s="10">
        <f t="shared" si="2"/>
        <v>17</v>
      </c>
      <c r="F67" s="4">
        <f>Lease!K77</f>
        <v>0</v>
      </c>
      <c r="G67" s="3">
        <f t="shared" si="7"/>
        <v>0</v>
      </c>
      <c r="H67" s="11">
        <f t="shared" si="8"/>
        <v>0</v>
      </c>
      <c r="I67" s="11">
        <f t="shared" si="9"/>
        <v>0</v>
      </c>
      <c r="J67" s="4">
        <f t="shared" si="10"/>
        <v>0</v>
      </c>
      <c r="K67" s="3">
        <f t="shared" si="11"/>
        <v>0</v>
      </c>
    </row>
    <row r="68" spans="1:11" x14ac:dyDescent="0.25">
      <c r="A68" s="9">
        <f>IF(Lease!$H$4="Monthly",DATE(YEAR(Quarterly!A67),MONTH(Quarterly!A67)+1,DAY(Quarterly!A67)),IF(Lease!$H$4="Quarterly",DATE(YEAR(Quarterly!A67),MONTH(Quarterly!A67)+3,DAY(Quarterly!A67)),DATE(YEAR(Quarterly!A67)+1,MONTH(Quarterly!A67),DAY(Quarterly!A67))))</f>
        <v>65454</v>
      </c>
      <c r="B68" s="9">
        <f t="shared" si="0"/>
        <v>65440</v>
      </c>
      <c r="C68" s="9">
        <f t="shared" si="6"/>
        <v>65470</v>
      </c>
      <c r="D68" s="3">
        <f t="shared" si="1"/>
        <v>31</v>
      </c>
      <c r="E68" s="10">
        <f t="shared" si="2"/>
        <v>17</v>
      </c>
      <c r="F68" s="4">
        <f>Lease!K78</f>
        <v>0</v>
      </c>
      <c r="G68" s="3">
        <f t="shared" si="7"/>
        <v>0</v>
      </c>
      <c r="H68" s="11">
        <f t="shared" si="8"/>
        <v>0</v>
      </c>
      <c r="I68" s="11">
        <f t="shared" si="9"/>
        <v>0</v>
      </c>
      <c r="J68" s="4">
        <f t="shared" si="10"/>
        <v>0</v>
      </c>
      <c r="K68" s="3">
        <f t="shared" si="11"/>
        <v>0</v>
      </c>
    </row>
    <row r="69" spans="1:11" x14ac:dyDescent="0.25">
      <c r="A69" s="9">
        <f>IF(Lease!$H$4="Monthly",DATE(YEAR(Quarterly!A68),MONTH(Quarterly!A68)+1,DAY(Quarterly!A68)),IF(Lease!$H$4="Quarterly",DATE(YEAR(Quarterly!A68),MONTH(Quarterly!A68)+3,DAY(Quarterly!A68)),DATE(YEAR(Quarterly!A68)+1,MONTH(Quarterly!A68),DAY(Quarterly!A68))))</f>
        <v>65820</v>
      </c>
      <c r="B69" s="9">
        <f t="shared" si="0"/>
        <v>65806</v>
      </c>
      <c r="C69" s="9">
        <f t="shared" si="6"/>
        <v>65836</v>
      </c>
      <c r="D69" s="3">
        <f t="shared" si="1"/>
        <v>31</v>
      </c>
      <c r="E69" s="10">
        <f t="shared" si="2"/>
        <v>17</v>
      </c>
      <c r="F69" s="4">
        <f>Lease!K79</f>
        <v>0</v>
      </c>
      <c r="G69" s="3">
        <f t="shared" si="7"/>
        <v>0</v>
      </c>
      <c r="H69" s="11">
        <f t="shared" si="8"/>
        <v>0</v>
      </c>
      <c r="I69" s="11">
        <f t="shared" si="9"/>
        <v>0</v>
      </c>
      <c r="J69" s="4">
        <f t="shared" si="10"/>
        <v>0</v>
      </c>
      <c r="K69" s="3">
        <f t="shared" si="11"/>
        <v>0</v>
      </c>
    </row>
    <row r="70" spans="1:11" x14ac:dyDescent="0.25">
      <c r="A70" s="9">
        <f>IF(Lease!$H$4="Monthly",DATE(YEAR(Quarterly!A69),MONTH(Quarterly!A69)+1,DAY(Quarterly!A69)),IF(Lease!$H$4="Quarterly",DATE(YEAR(Quarterly!A69),MONTH(Quarterly!A69)+3,DAY(Quarterly!A69)),DATE(YEAR(Quarterly!A69)+1,MONTH(Quarterly!A69),DAY(Quarterly!A69))))</f>
        <v>66185</v>
      </c>
      <c r="B70" s="9">
        <f t="shared" ref="B70:B100" si="12">EOMONTH(A70,-1)+1</f>
        <v>66171</v>
      </c>
      <c r="C70" s="9">
        <f t="shared" si="6"/>
        <v>66201</v>
      </c>
      <c r="D70" s="3">
        <f t="shared" ref="D70:D100" si="13">C70-B70+1</f>
        <v>31</v>
      </c>
      <c r="E70" s="10">
        <f t="shared" ref="E70:E100" si="14">C70-A70+1</f>
        <v>17</v>
      </c>
      <c r="F70" s="4">
        <f>Lease!K80</f>
        <v>0</v>
      </c>
      <c r="G70" s="3">
        <f t="shared" si="7"/>
        <v>0</v>
      </c>
      <c r="H70" s="11">
        <f t="shared" si="8"/>
        <v>0</v>
      </c>
      <c r="I70" s="11">
        <f t="shared" si="9"/>
        <v>0</v>
      </c>
      <c r="J70" s="4">
        <f t="shared" si="10"/>
        <v>0</v>
      </c>
      <c r="K70" s="3">
        <f t="shared" si="11"/>
        <v>0</v>
      </c>
    </row>
    <row r="71" spans="1:11" x14ac:dyDescent="0.25">
      <c r="A71" s="9">
        <f>IF(Lease!$H$4="Monthly",DATE(YEAR(Quarterly!A70),MONTH(Quarterly!A70)+1,DAY(Quarterly!A70)),IF(Lease!$H$4="Quarterly",DATE(YEAR(Quarterly!A70),MONTH(Quarterly!A70)+3,DAY(Quarterly!A70)),DATE(YEAR(Quarterly!A70)+1,MONTH(Quarterly!A70),DAY(Quarterly!A70))))</f>
        <v>66550</v>
      </c>
      <c r="B71" s="9">
        <f t="shared" si="12"/>
        <v>66536</v>
      </c>
      <c r="C71" s="9">
        <f t="shared" ref="C71:C100" si="15">EOMONTH(A71,0)</f>
        <v>66566</v>
      </c>
      <c r="D71" s="3">
        <f t="shared" si="13"/>
        <v>31</v>
      </c>
      <c r="E71" s="10">
        <f t="shared" si="14"/>
        <v>17</v>
      </c>
      <c r="F71" s="4">
        <f>Lease!K81</f>
        <v>0</v>
      </c>
      <c r="G71" s="3">
        <f t="shared" ref="G71:G99" si="16">(F72/(A72-A71+1)*E71)+J70</f>
        <v>0</v>
      </c>
      <c r="H71" s="11">
        <f t="shared" ref="H71:H99" si="17">(F72)/(A72-A71+1)*((((EOMONTH(DATE(YEAR(A71),MONTH(A71)+1,DAY(A71)),0)))-DATE(YEAR(A71),MONTH(EOMONTH(A71,-1)+1)+1,1))+1)</f>
        <v>0</v>
      </c>
      <c r="I71" s="11">
        <f t="shared" ref="I71:I99" si="18">(F72)/(A72-A71+1)*(((((EOMONTH(DATE(YEAR(A71),MONTH(A71)+2,DAY(A71)),0)))-DATE(YEAR(A71),MONTH(EOMONTH(A71,-1)+2)+2,1)))+1)</f>
        <v>0</v>
      </c>
      <c r="J71" s="4">
        <f t="shared" ref="J71:J99" si="19">F72/(A72-A71+1)*(A72-DATE(YEAR(A72),MONTH(EOMONTH(A72,-1)+1),DAY(1))+1)</f>
        <v>0</v>
      </c>
      <c r="K71" s="3">
        <f t="shared" ref="K71:K100" si="20">G71+J71+I71+H71-J70</f>
        <v>0</v>
      </c>
    </row>
    <row r="72" spans="1:11" x14ac:dyDescent="0.25">
      <c r="A72" s="9">
        <f>IF(Lease!$H$4="Monthly",DATE(YEAR(Quarterly!A71),MONTH(Quarterly!A71)+1,DAY(Quarterly!A71)),IF(Lease!$H$4="Quarterly",DATE(YEAR(Quarterly!A71),MONTH(Quarterly!A71)+3,DAY(Quarterly!A71)),DATE(YEAR(Quarterly!A71)+1,MONTH(Quarterly!A71),DAY(Quarterly!A71))))</f>
        <v>66915</v>
      </c>
      <c r="B72" s="9">
        <f t="shared" si="12"/>
        <v>66901</v>
      </c>
      <c r="C72" s="9">
        <f t="shared" si="15"/>
        <v>66931</v>
      </c>
      <c r="D72" s="3">
        <f t="shared" si="13"/>
        <v>31</v>
      </c>
      <c r="E72" s="10">
        <f t="shared" si="14"/>
        <v>17</v>
      </c>
      <c r="F72" s="4">
        <f>Lease!K82</f>
        <v>0</v>
      </c>
      <c r="G72" s="3">
        <f t="shared" si="16"/>
        <v>0</v>
      </c>
      <c r="H72" s="11">
        <f t="shared" si="17"/>
        <v>0</v>
      </c>
      <c r="I72" s="11">
        <f t="shared" si="18"/>
        <v>0</v>
      </c>
      <c r="J72" s="4">
        <f t="shared" si="19"/>
        <v>0</v>
      </c>
      <c r="K72" s="3">
        <f t="shared" si="20"/>
        <v>0</v>
      </c>
    </row>
    <row r="73" spans="1:11" x14ac:dyDescent="0.25">
      <c r="A73" s="9">
        <f>IF(Lease!$H$4="Monthly",DATE(YEAR(Quarterly!A72),MONTH(Quarterly!A72)+1,DAY(Quarterly!A72)),IF(Lease!$H$4="Quarterly",DATE(YEAR(Quarterly!A72),MONTH(Quarterly!A72)+3,DAY(Quarterly!A72)),DATE(YEAR(Quarterly!A72)+1,MONTH(Quarterly!A72),DAY(Quarterly!A72))))</f>
        <v>67281</v>
      </c>
      <c r="B73" s="9">
        <f t="shared" si="12"/>
        <v>67267</v>
      </c>
      <c r="C73" s="9">
        <f t="shared" si="15"/>
        <v>67297</v>
      </c>
      <c r="D73" s="3">
        <f t="shared" si="13"/>
        <v>31</v>
      </c>
      <c r="E73" s="10">
        <f t="shared" si="14"/>
        <v>17</v>
      </c>
      <c r="F73" s="4">
        <f>Lease!K83</f>
        <v>0</v>
      </c>
      <c r="G73" s="3">
        <f t="shared" si="16"/>
        <v>0</v>
      </c>
      <c r="H73" s="11">
        <f t="shared" si="17"/>
        <v>0</v>
      </c>
      <c r="I73" s="11">
        <f t="shared" si="18"/>
        <v>0</v>
      </c>
      <c r="J73" s="4">
        <f t="shared" si="19"/>
        <v>0</v>
      </c>
      <c r="K73" s="3">
        <f t="shared" si="20"/>
        <v>0</v>
      </c>
    </row>
    <row r="74" spans="1:11" x14ac:dyDescent="0.25">
      <c r="A74" s="9">
        <f>IF(Lease!$H$4="Monthly",DATE(YEAR(Quarterly!A73),MONTH(Quarterly!A73)+1,DAY(Quarterly!A73)),IF(Lease!$H$4="Quarterly",DATE(YEAR(Quarterly!A73),MONTH(Quarterly!A73)+3,DAY(Quarterly!A73)),DATE(YEAR(Quarterly!A73)+1,MONTH(Quarterly!A73),DAY(Quarterly!A73))))</f>
        <v>67646</v>
      </c>
      <c r="B74" s="9">
        <f t="shared" si="12"/>
        <v>67632</v>
      </c>
      <c r="C74" s="9">
        <f t="shared" si="15"/>
        <v>67662</v>
      </c>
      <c r="D74" s="3">
        <f t="shared" si="13"/>
        <v>31</v>
      </c>
      <c r="E74" s="10">
        <f t="shared" si="14"/>
        <v>17</v>
      </c>
      <c r="F74" s="4">
        <f>Lease!K84</f>
        <v>0</v>
      </c>
      <c r="G74" s="3">
        <f t="shared" si="16"/>
        <v>0</v>
      </c>
      <c r="H74" s="11">
        <f t="shared" si="17"/>
        <v>0</v>
      </c>
      <c r="I74" s="11">
        <f t="shared" si="18"/>
        <v>0</v>
      </c>
      <c r="J74" s="4">
        <f t="shared" si="19"/>
        <v>0</v>
      </c>
      <c r="K74" s="3">
        <f t="shared" si="20"/>
        <v>0</v>
      </c>
    </row>
    <row r="75" spans="1:11" x14ac:dyDescent="0.25">
      <c r="A75" s="9">
        <f>IF(Lease!$H$4="Monthly",DATE(YEAR(Quarterly!A74),MONTH(Quarterly!A74)+1,DAY(Quarterly!A74)),IF(Lease!$H$4="Quarterly",DATE(YEAR(Quarterly!A74),MONTH(Quarterly!A74)+3,DAY(Quarterly!A74)),DATE(YEAR(Quarterly!A74)+1,MONTH(Quarterly!A74),DAY(Quarterly!A74))))</f>
        <v>68011</v>
      </c>
      <c r="B75" s="9">
        <f t="shared" si="12"/>
        <v>67997</v>
      </c>
      <c r="C75" s="9">
        <f t="shared" si="15"/>
        <v>68027</v>
      </c>
      <c r="D75" s="3">
        <f t="shared" si="13"/>
        <v>31</v>
      </c>
      <c r="E75" s="10">
        <f t="shared" si="14"/>
        <v>17</v>
      </c>
      <c r="F75" s="4">
        <f>Lease!K85</f>
        <v>0</v>
      </c>
      <c r="G75" s="3">
        <f t="shared" si="16"/>
        <v>0</v>
      </c>
      <c r="H75" s="11">
        <f t="shared" si="17"/>
        <v>0</v>
      </c>
      <c r="I75" s="11">
        <f t="shared" si="18"/>
        <v>0</v>
      </c>
      <c r="J75" s="4">
        <f t="shared" si="19"/>
        <v>0</v>
      </c>
      <c r="K75" s="3">
        <f t="shared" si="20"/>
        <v>0</v>
      </c>
    </row>
    <row r="76" spans="1:11" x14ac:dyDescent="0.25">
      <c r="A76" s="9">
        <f>IF(Lease!$H$4="Monthly",DATE(YEAR(Quarterly!A75),MONTH(Quarterly!A75)+1,DAY(Quarterly!A75)),IF(Lease!$H$4="Quarterly",DATE(YEAR(Quarterly!A75),MONTH(Quarterly!A75)+3,DAY(Quarterly!A75)),DATE(YEAR(Quarterly!A75)+1,MONTH(Quarterly!A75),DAY(Quarterly!A75))))</f>
        <v>68376</v>
      </c>
      <c r="B76" s="9">
        <f t="shared" si="12"/>
        <v>68362</v>
      </c>
      <c r="C76" s="9">
        <f t="shared" si="15"/>
        <v>68392</v>
      </c>
      <c r="D76" s="3">
        <f t="shared" si="13"/>
        <v>31</v>
      </c>
      <c r="E76" s="10">
        <f t="shared" si="14"/>
        <v>17</v>
      </c>
      <c r="F76" s="4">
        <f>Lease!K86</f>
        <v>0</v>
      </c>
      <c r="G76" s="3">
        <f t="shared" si="16"/>
        <v>0</v>
      </c>
      <c r="H76" s="11">
        <f t="shared" si="17"/>
        <v>0</v>
      </c>
      <c r="I76" s="11">
        <f t="shared" si="18"/>
        <v>0</v>
      </c>
      <c r="J76" s="4">
        <f t="shared" si="19"/>
        <v>0</v>
      </c>
      <c r="K76" s="3">
        <f t="shared" si="20"/>
        <v>0</v>
      </c>
    </row>
    <row r="77" spans="1:11" x14ac:dyDescent="0.25">
      <c r="A77" s="9">
        <f>IF(Lease!$H$4="Monthly",DATE(YEAR(Quarterly!A76),MONTH(Quarterly!A76)+1,DAY(Quarterly!A76)),IF(Lease!$H$4="Quarterly",DATE(YEAR(Quarterly!A76),MONTH(Quarterly!A76)+3,DAY(Quarterly!A76)),DATE(YEAR(Quarterly!A76)+1,MONTH(Quarterly!A76),DAY(Quarterly!A76))))</f>
        <v>68742</v>
      </c>
      <c r="B77" s="9">
        <f t="shared" si="12"/>
        <v>68728</v>
      </c>
      <c r="C77" s="9">
        <f t="shared" si="15"/>
        <v>68758</v>
      </c>
      <c r="D77" s="3">
        <f t="shared" si="13"/>
        <v>31</v>
      </c>
      <c r="E77" s="10">
        <f t="shared" si="14"/>
        <v>17</v>
      </c>
      <c r="F77" s="4">
        <f>Lease!K87</f>
        <v>0</v>
      </c>
      <c r="G77" s="3">
        <f t="shared" si="16"/>
        <v>0</v>
      </c>
      <c r="H77" s="11">
        <f t="shared" si="17"/>
        <v>0</v>
      </c>
      <c r="I77" s="11">
        <f t="shared" si="18"/>
        <v>0</v>
      </c>
      <c r="J77" s="4">
        <f t="shared" si="19"/>
        <v>0</v>
      </c>
      <c r="K77" s="3">
        <f t="shared" si="20"/>
        <v>0</v>
      </c>
    </row>
    <row r="78" spans="1:11" x14ac:dyDescent="0.25">
      <c r="A78" s="9">
        <f>IF(Lease!$H$4="Monthly",DATE(YEAR(Quarterly!A77),MONTH(Quarterly!A77)+1,DAY(Quarterly!A77)),IF(Lease!$H$4="Quarterly",DATE(YEAR(Quarterly!A77),MONTH(Quarterly!A77)+3,DAY(Quarterly!A77)),DATE(YEAR(Quarterly!A77)+1,MONTH(Quarterly!A77),DAY(Quarterly!A77))))</f>
        <v>69107</v>
      </c>
      <c r="B78" s="9">
        <f t="shared" si="12"/>
        <v>69093</v>
      </c>
      <c r="C78" s="9">
        <f t="shared" si="15"/>
        <v>69123</v>
      </c>
      <c r="D78" s="3">
        <f t="shared" si="13"/>
        <v>31</v>
      </c>
      <c r="E78" s="10">
        <f t="shared" si="14"/>
        <v>17</v>
      </c>
      <c r="F78" s="4">
        <f>Lease!K88</f>
        <v>0</v>
      </c>
      <c r="G78" s="3">
        <f t="shared" si="16"/>
        <v>0</v>
      </c>
      <c r="H78" s="11">
        <f t="shared" si="17"/>
        <v>0</v>
      </c>
      <c r="I78" s="11">
        <f t="shared" si="18"/>
        <v>0</v>
      </c>
      <c r="J78" s="4">
        <f t="shared" si="19"/>
        <v>0</v>
      </c>
      <c r="K78" s="3">
        <f t="shared" si="20"/>
        <v>0</v>
      </c>
    </row>
    <row r="79" spans="1:11" x14ac:dyDescent="0.25">
      <c r="A79" s="9">
        <f>IF(Lease!$H$4="Monthly",DATE(YEAR(Quarterly!A78),MONTH(Quarterly!A78)+1,DAY(Quarterly!A78)),IF(Lease!$H$4="Quarterly",DATE(YEAR(Quarterly!A78),MONTH(Quarterly!A78)+3,DAY(Quarterly!A78)),DATE(YEAR(Quarterly!A78)+1,MONTH(Quarterly!A78),DAY(Quarterly!A78))))</f>
        <v>69472</v>
      </c>
      <c r="B79" s="9">
        <f t="shared" si="12"/>
        <v>69458</v>
      </c>
      <c r="C79" s="9">
        <f t="shared" si="15"/>
        <v>69488</v>
      </c>
      <c r="D79" s="3">
        <f t="shared" si="13"/>
        <v>31</v>
      </c>
      <c r="E79" s="10">
        <f t="shared" si="14"/>
        <v>17</v>
      </c>
      <c r="F79" s="4">
        <f>Lease!K89</f>
        <v>0</v>
      </c>
      <c r="G79" s="3">
        <f t="shared" si="16"/>
        <v>0</v>
      </c>
      <c r="H79" s="11">
        <f t="shared" si="17"/>
        <v>0</v>
      </c>
      <c r="I79" s="11">
        <f t="shared" si="18"/>
        <v>0</v>
      </c>
      <c r="J79" s="4">
        <f t="shared" si="19"/>
        <v>0</v>
      </c>
      <c r="K79" s="3">
        <f t="shared" si="20"/>
        <v>0</v>
      </c>
    </row>
    <row r="80" spans="1:11" x14ac:dyDescent="0.25">
      <c r="A80" s="9">
        <f>IF(Lease!$H$4="Monthly",DATE(YEAR(Quarterly!A79),MONTH(Quarterly!A79)+1,DAY(Quarterly!A79)),IF(Lease!$H$4="Quarterly",DATE(YEAR(Quarterly!A79),MONTH(Quarterly!A79)+3,DAY(Quarterly!A79)),DATE(YEAR(Quarterly!A79)+1,MONTH(Quarterly!A79),DAY(Quarterly!A79))))</f>
        <v>69837</v>
      </c>
      <c r="B80" s="9">
        <f t="shared" si="12"/>
        <v>69823</v>
      </c>
      <c r="C80" s="9">
        <f t="shared" si="15"/>
        <v>69853</v>
      </c>
      <c r="D80" s="3">
        <f t="shared" si="13"/>
        <v>31</v>
      </c>
      <c r="E80" s="10">
        <f t="shared" si="14"/>
        <v>17</v>
      </c>
      <c r="F80" s="4">
        <f>Lease!K90</f>
        <v>0</v>
      </c>
      <c r="G80" s="3">
        <f t="shared" si="16"/>
        <v>0</v>
      </c>
      <c r="H80" s="11">
        <f t="shared" si="17"/>
        <v>0</v>
      </c>
      <c r="I80" s="11">
        <f t="shared" si="18"/>
        <v>0</v>
      </c>
      <c r="J80" s="4">
        <f t="shared" si="19"/>
        <v>0</v>
      </c>
      <c r="K80" s="3">
        <f t="shared" si="20"/>
        <v>0</v>
      </c>
    </row>
    <row r="81" spans="1:11" x14ac:dyDescent="0.25">
      <c r="A81" s="9">
        <f>IF(Lease!$H$4="Monthly",DATE(YEAR(Quarterly!A80),MONTH(Quarterly!A80)+1,DAY(Quarterly!A80)),IF(Lease!$H$4="Quarterly",DATE(YEAR(Quarterly!A80),MONTH(Quarterly!A80)+3,DAY(Quarterly!A80)),DATE(YEAR(Quarterly!A80)+1,MONTH(Quarterly!A80),DAY(Quarterly!A80))))</f>
        <v>70203</v>
      </c>
      <c r="B81" s="9">
        <f t="shared" si="12"/>
        <v>70189</v>
      </c>
      <c r="C81" s="9">
        <f t="shared" si="15"/>
        <v>70219</v>
      </c>
      <c r="D81" s="3">
        <f t="shared" si="13"/>
        <v>31</v>
      </c>
      <c r="E81" s="10">
        <f t="shared" si="14"/>
        <v>17</v>
      </c>
      <c r="F81" s="4">
        <f>Lease!K91</f>
        <v>0</v>
      </c>
      <c r="G81" s="3">
        <f t="shared" si="16"/>
        <v>0</v>
      </c>
      <c r="H81" s="11">
        <f t="shared" si="17"/>
        <v>0</v>
      </c>
      <c r="I81" s="11">
        <f t="shared" si="18"/>
        <v>0</v>
      </c>
      <c r="J81" s="4">
        <f t="shared" si="19"/>
        <v>0</v>
      </c>
      <c r="K81" s="3">
        <f t="shared" si="20"/>
        <v>0</v>
      </c>
    </row>
    <row r="82" spans="1:11" x14ac:dyDescent="0.25">
      <c r="A82" s="9">
        <f>IF(Lease!$H$4="Monthly",DATE(YEAR(Quarterly!A81),MONTH(Quarterly!A81)+1,DAY(Quarterly!A81)),IF(Lease!$H$4="Quarterly",DATE(YEAR(Quarterly!A81),MONTH(Quarterly!A81)+3,DAY(Quarterly!A81)),DATE(YEAR(Quarterly!A81)+1,MONTH(Quarterly!A81),DAY(Quarterly!A81))))</f>
        <v>70568</v>
      </c>
      <c r="B82" s="9">
        <f t="shared" si="12"/>
        <v>70554</v>
      </c>
      <c r="C82" s="9">
        <f t="shared" si="15"/>
        <v>70584</v>
      </c>
      <c r="D82" s="3">
        <f t="shared" si="13"/>
        <v>31</v>
      </c>
      <c r="E82" s="10">
        <f t="shared" si="14"/>
        <v>17</v>
      </c>
      <c r="F82" s="4">
        <f>Lease!K92</f>
        <v>0</v>
      </c>
      <c r="G82" s="3">
        <f t="shared" si="16"/>
        <v>0</v>
      </c>
      <c r="H82" s="11">
        <f t="shared" si="17"/>
        <v>0</v>
      </c>
      <c r="I82" s="11">
        <f t="shared" si="18"/>
        <v>0</v>
      </c>
      <c r="J82" s="4">
        <f t="shared" si="19"/>
        <v>0</v>
      </c>
      <c r="K82" s="3">
        <f t="shared" si="20"/>
        <v>0</v>
      </c>
    </row>
    <row r="83" spans="1:11" x14ac:dyDescent="0.25">
      <c r="A83" s="9">
        <f>IF(Lease!$H$4="Monthly",DATE(YEAR(Quarterly!A82),MONTH(Quarterly!A82)+1,DAY(Quarterly!A82)),IF(Lease!$H$4="Quarterly",DATE(YEAR(Quarterly!A82),MONTH(Quarterly!A82)+3,DAY(Quarterly!A82)),DATE(YEAR(Quarterly!A82)+1,MONTH(Quarterly!A82),DAY(Quarterly!A82))))</f>
        <v>70933</v>
      </c>
      <c r="B83" s="9">
        <f t="shared" si="12"/>
        <v>70919</v>
      </c>
      <c r="C83" s="9">
        <f t="shared" si="15"/>
        <v>70949</v>
      </c>
      <c r="D83" s="3">
        <f t="shared" si="13"/>
        <v>31</v>
      </c>
      <c r="E83" s="10">
        <f t="shared" si="14"/>
        <v>17</v>
      </c>
      <c r="F83" s="4">
        <f>Lease!K93</f>
        <v>0</v>
      </c>
      <c r="G83" s="3">
        <f t="shared" si="16"/>
        <v>0</v>
      </c>
      <c r="H83" s="11">
        <f t="shared" si="17"/>
        <v>0</v>
      </c>
      <c r="I83" s="11">
        <f t="shared" si="18"/>
        <v>0</v>
      </c>
      <c r="J83" s="4">
        <f t="shared" si="19"/>
        <v>0</v>
      </c>
      <c r="K83" s="3">
        <f t="shared" si="20"/>
        <v>0</v>
      </c>
    </row>
    <row r="84" spans="1:11" x14ac:dyDescent="0.25">
      <c r="A84" s="9">
        <f>IF(Lease!$H$4="Monthly",DATE(YEAR(Quarterly!A83),MONTH(Quarterly!A83)+1,DAY(Quarterly!A83)),IF(Lease!$H$4="Quarterly",DATE(YEAR(Quarterly!A83),MONTH(Quarterly!A83)+3,DAY(Quarterly!A83)),DATE(YEAR(Quarterly!A83)+1,MONTH(Quarterly!A83),DAY(Quarterly!A83))))</f>
        <v>71298</v>
      </c>
      <c r="B84" s="9">
        <f t="shared" si="12"/>
        <v>71284</v>
      </c>
      <c r="C84" s="9">
        <f t="shared" si="15"/>
        <v>71314</v>
      </c>
      <c r="D84" s="3">
        <f t="shared" si="13"/>
        <v>31</v>
      </c>
      <c r="E84" s="10">
        <f t="shared" si="14"/>
        <v>17</v>
      </c>
      <c r="F84" s="4">
        <f>Lease!K94</f>
        <v>0</v>
      </c>
      <c r="G84" s="3">
        <f t="shared" si="16"/>
        <v>0</v>
      </c>
      <c r="H84" s="11">
        <f t="shared" si="17"/>
        <v>0</v>
      </c>
      <c r="I84" s="11">
        <f t="shared" si="18"/>
        <v>0</v>
      </c>
      <c r="J84" s="4">
        <f t="shared" si="19"/>
        <v>0</v>
      </c>
      <c r="K84" s="3">
        <f t="shared" si="20"/>
        <v>0</v>
      </c>
    </row>
    <row r="85" spans="1:11" x14ac:dyDescent="0.25">
      <c r="A85" s="9">
        <f>IF(Lease!$H$4="Monthly",DATE(YEAR(Quarterly!A84),MONTH(Quarterly!A84)+1,DAY(Quarterly!A84)),IF(Lease!$H$4="Quarterly",DATE(YEAR(Quarterly!A84),MONTH(Quarterly!A84)+3,DAY(Quarterly!A84)),DATE(YEAR(Quarterly!A84)+1,MONTH(Quarterly!A84),DAY(Quarterly!A84))))</f>
        <v>71664</v>
      </c>
      <c r="B85" s="9">
        <f t="shared" si="12"/>
        <v>71650</v>
      </c>
      <c r="C85" s="9">
        <f t="shared" si="15"/>
        <v>71680</v>
      </c>
      <c r="D85" s="3">
        <f t="shared" si="13"/>
        <v>31</v>
      </c>
      <c r="E85" s="10">
        <f t="shared" si="14"/>
        <v>17</v>
      </c>
      <c r="F85" s="4">
        <f>Lease!K95</f>
        <v>0</v>
      </c>
      <c r="G85" s="3">
        <f t="shared" si="16"/>
        <v>0</v>
      </c>
      <c r="H85" s="11">
        <f t="shared" si="17"/>
        <v>0</v>
      </c>
      <c r="I85" s="11">
        <f t="shared" si="18"/>
        <v>0</v>
      </c>
      <c r="J85" s="4">
        <f t="shared" si="19"/>
        <v>0</v>
      </c>
      <c r="K85" s="3">
        <f t="shared" si="20"/>
        <v>0</v>
      </c>
    </row>
    <row r="86" spans="1:11" x14ac:dyDescent="0.25">
      <c r="A86" s="9">
        <f>IF(Lease!$H$4="Monthly",DATE(YEAR(Quarterly!A85),MONTH(Quarterly!A85)+1,DAY(Quarterly!A85)),IF(Lease!$H$4="Quarterly",DATE(YEAR(Quarterly!A85),MONTH(Quarterly!A85)+3,DAY(Quarterly!A85)),DATE(YEAR(Quarterly!A85)+1,MONTH(Quarterly!A85),DAY(Quarterly!A85))))</f>
        <v>72029</v>
      </c>
      <c r="B86" s="9">
        <f t="shared" si="12"/>
        <v>72015</v>
      </c>
      <c r="C86" s="9">
        <f t="shared" si="15"/>
        <v>72045</v>
      </c>
      <c r="D86" s="3">
        <f t="shared" si="13"/>
        <v>31</v>
      </c>
      <c r="E86" s="10">
        <f t="shared" si="14"/>
        <v>17</v>
      </c>
      <c r="F86" s="4">
        <f>Lease!K96</f>
        <v>0</v>
      </c>
      <c r="G86" s="3">
        <f t="shared" si="16"/>
        <v>0</v>
      </c>
      <c r="H86" s="11">
        <f t="shared" si="17"/>
        <v>0</v>
      </c>
      <c r="I86" s="11">
        <f t="shared" si="18"/>
        <v>0</v>
      </c>
      <c r="J86" s="4">
        <f t="shared" si="19"/>
        <v>0</v>
      </c>
      <c r="K86" s="3">
        <f t="shared" si="20"/>
        <v>0</v>
      </c>
    </row>
    <row r="87" spans="1:11" x14ac:dyDescent="0.25">
      <c r="A87" s="9">
        <f>IF(Lease!$H$4="Monthly",DATE(YEAR(Quarterly!A86),MONTH(Quarterly!A86)+1,DAY(Quarterly!A86)),IF(Lease!$H$4="Quarterly",DATE(YEAR(Quarterly!A86),MONTH(Quarterly!A86)+3,DAY(Quarterly!A86)),DATE(YEAR(Quarterly!A86)+1,MONTH(Quarterly!A86),DAY(Quarterly!A86))))</f>
        <v>72394</v>
      </c>
      <c r="B87" s="9">
        <f t="shared" si="12"/>
        <v>72380</v>
      </c>
      <c r="C87" s="9">
        <f t="shared" si="15"/>
        <v>72410</v>
      </c>
      <c r="D87" s="3">
        <f t="shared" si="13"/>
        <v>31</v>
      </c>
      <c r="E87" s="10">
        <f t="shared" si="14"/>
        <v>17</v>
      </c>
      <c r="F87" s="4">
        <f>Lease!K97</f>
        <v>0</v>
      </c>
      <c r="G87" s="3">
        <f t="shared" si="16"/>
        <v>0</v>
      </c>
      <c r="H87" s="11">
        <f t="shared" si="17"/>
        <v>0</v>
      </c>
      <c r="I87" s="11">
        <f t="shared" si="18"/>
        <v>0</v>
      </c>
      <c r="J87" s="4">
        <f t="shared" si="19"/>
        <v>0</v>
      </c>
      <c r="K87" s="3">
        <f t="shared" si="20"/>
        <v>0</v>
      </c>
    </row>
    <row r="88" spans="1:11" x14ac:dyDescent="0.25">
      <c r="A88" s="9">
        <f>IF(Lease!$H$4="Monthly",DATE(YEAR(Quarterly!A87),MONTH(Quarterly!A87)+1,DAY(Quarterly!A87)),IF(Lease!$H$4="Quarterly",DATE(YEAR(Quarterly!A87),MONTH(Quarterly!A87)+3,DAY(Quarterly!A87)),DATE(YEAR(Quarterly!A87)+1,MONTH(Quarterly!A87),DAY(Quarterly!A87))))</f>
        <v>72759</v>
      </c>
      <c r="B88" s="9">
        <f t="shared" si="12"/>
        <v>72745</v>
      </c>
      <c r="C88" s="9">
        <f t="shared" si="15"/>
        <v>72775</v>
      </c>
      <c r="D88" s="3">
        <f t="shared" si="13"/>
        <v>31</v>
      </c>
      <c r="E88" s="10">
        <f t="shared" si="14"/>
        <v>17</v>
      </c>
      <c r="F88" s="4">
        <f>Lease!K98</f>
        <v>0</v>
      </c>
      <c r="G88" s="3">
        <f t="shared" si="16"/>
        <v>0</v>
      </c>
      <c r="H88" s="11">
        <f t="shared" si="17"/>
        <v>0</v>
      </c>
      <c r="I88" s="11">
        <f t="shared" si="18"/>
        <v>0</v>
      </c>
      <c r="J88" s="4">
        <f t="shared" si="19"/>
        <v>0</v>
      </c>
      <c r="K88" s="3">
        <f t="shared" si="20"/>
        <v>0</v>
      </c>
    </row>
    <row r="89" spans="1:11" x14ac:dyDescent="0.25">
      <c r="A89" s="9">
        <f>IF(Lease!$H$4="Monthly",DATE(YEAR(Quarterly!A88),MONTH(Quarterly!A88)+1,DAY(Quarterly!A88)),IF(Lease!$H$4="Quarterly",DATE(YEAR(Quarterly!A88),MONTH(Quarterly!A88)+3,DAY(Quarterly!A88)),DATE(YEAR(Quarterly!A88)+1,MONTH(Quarterly!A88),DAY(Quarterly!A88))))</f>
        <v>73124</v>
      </c>
      <c r="B89" s="9">
        <f t="shared" si="12"/>
        <v>73110</v>
      </c>
      <c r="C89" s="9">
        <f t="shared" si="15"/>
        <v>73140</v>
      </c>
      <c r="D89" s="3">
        <f t="shared" si="13"/>
        <v>31</v>
      </c>
      <c r="E89" s="10">
        <f t="shared" si="14"/>
        <v>17</v>
      </c>
      <c r="F89" s="4">
        <f>Lease!K99</f>
        <v>0</v>
      </c>
      <c r="G89" s="3">
        <f t="shared" si="16"/>
        <v>0</v>
      </c>
      <c r="H89" s="11">
        <f t="shared" si="17"/>
        <v>0</v>
      </c>
      <c r="I89" s="11">
        <f t="shared" si="18"/>
        <v>0</v>
      </c>
      <c r="J89" s="4">
        <f t="shared" si="19"/>
        <v>0</v>
      </c>
      <c r="K89" s="3">
        <f t="shared" si="20"/>
        <v>0</v>
      </c>
    </row>
    <row r="90" spans="1:11" x14ac:dyDescent="0.25">
      <c r="A90" s="9">
        <f>IF(Lease!$H$4="Monthly",DATE(YEAR(Quarterly!A89),MONTH(Quarterly!A89)+1,DAY(Quarterly!A89)),IF(Lease!$H$4="Quarterly",DATE(YEAR(Quarterly!A89),MONTH(Quarterly!A89)+3,DAY(Quarterly!A89)),DATE(YEAR(Quarterly!A89)+1,MONTH(Quarterly!A89),DAY(Quarterly!A89))))</f>
        <v>73489</v>
      </c>
      <c r="B90" s="9">
        <f t="shared" si="12"/>
        <v>73475</v>
      </c>
      <c r="C90" s="9">
        <f t="shared" si="15"/>
        <v>73505</v>
      </c>
      <c r="D90" s="3">
        <f t="shared" si="13"/>
        <v>31</v>
      </c>
      <c r="E90" s="10">
        <f t="shared" si="14"/>
        <v>17</v>
      </c>
      <c r="F90" s="4">
        <f>Lease!K100</f>
        <v>0</v>
      </c>
      <c r="G90" s="3" t="e">
        <f t="shared" si="16"/>
        <v>#REF!</v>
      </c>
      <c r="H90" s="11" t="e">
        <f t="shared" si="17"/>
        <v>#REF!</v>
      </c>
      <c r="I90" s="11" t="e">
        <f t="shared" si="18"/>
        <v>#REF!</v>
      </c>
      <c r="J90" s="4" t="e">
        <f t="shared" si="19"/>
        <v>#REF!</v>
      </c>
      <c r="K90" s="3" t="e">
        <f t="shared" si="20"/>
        <v>#REF!</v>
      </c>
    </row>
    <row r="91" spans="1:11" x14ac:dyDescent="0.25">
      <c r="A91" s="9">
        <f>IF(Lease!$H$4="Monthly",DATE(YEAR(Quarterly!A90),MONTH(Quarterly!A90)+1,DAY(Quarterly!A90)),IF(Lease!$H$4="Quarterly",DATE(YEAR(Quarterly!A90),MONTH(Quarterly!A90)+3,DAY(Quarterly!A90)),DATE(YEAR(Quarterly!A90)+1,MONTH(Quarterly!A90),DAY(Quarterly!A90))))</f>
        <v>73854</v>
      </c>
      <c r="B91" s="9">
        <f t="shared" si="12"/>
        <v>73840</v>
      </c>
      <c r="C91" s="9">
        <f t="shared" si="15"/>
        <v>73870</v>
      </c>
      <c r="D91" s="3">
        <f t="shared" si="13"/>
        <v>31</v>
      </c>
      <c r="E91" s="10">
        <f t="shared" si="14"/>
        <v>17</v>
      </c>
      <c r="F91" s="4" t="e">
        <f>Lease!#REF!</f>
        <v>#REF!</v>
      </c>
      <c r="G91" s="3" t="e">
        <f t="shared" si="16"/>
        <v>#REF!</v>
      </c>
      <c r="H91" s="11" t="e">
        <f t="shared" si="17"/>
        <v>#REF!</v>
      </c>
      <c r="I91" s="11" t="e">
        <f t="shared" si="18"/>
        <v>#REF!</v>
      </c>
      <c r="J91" s="4" t="e">
        <f t="shared" si="19"/>
        <v>#REF!</v>
      </c>
      <c r="K91" s="3" t="e">
        <f t="shared" si="20"/>
        <v>#REF!</v>
      </c>
    </row>
    <row r="92" spans="1:11" x14ac:dyDescent="0.25">
      <c r="A92" s="9">
        <f>IF(Lease!$H$4="Monthly",DATE(YEAR(Quarterly!A91),MONTH(Quarterly!A91)+1,DAY(Quarterly!A91)),IF(Lease!$H$4="Quarterly",DATE(YEAR(Quarterly!A91),MONTH(Quarterly!A91)+3,DAY(Quarterly!A91)),DATE(YEAR(Quarterly!A91)+1,MONTH(Quarterly!A91),DAY(Quarterly!A91))))</f>
        <v>74219</v>
      </c>
      <c r="B92" s="9">
        <f t="shared" si="12"/>
        <v>74205</v>
      </c>
      <c r="C92" s="9">
        <f t="shared" si="15"/>
        <v>74235</v>
      </c>
      <c r="D92" s="3">
        <f t="shared" si="13"/>
        <v>31</v>
      </c>
      <c r="E92" s="10">
        <f t="shared" si="14"/>
        <v>17</v>
      </c>
      <c r="F92" s="4" t="e">
        <f>Lease!#REF!</f>
        <v>#REF!</v>
      </c>
      <c r="G92" s="3" t="e">
        <f t="shared" si="16"/>
        <v>#REF!</v>
      </c>
      <c r="H92" s="11" t="e">
        <f t="shared" si="17"/>
        <v>#REF!</v>
      </c>
      <c r="I92" s="11" t="e">
        <f t="shared" si="18"/>
        <v>#REF!</v>
      </c>
      <c r="J92" s="4" t="e">
        <f t="shared" si="19"/>
        <v>#REF!</v>
      </c>
      <c r="K92" s="3" t="e">
        <f t="shared" si="20"/>
        <v>#REF!</v>
      </c>
    </row>
    <row r="93" spans="1:11" x14ac:dyDescent="0.25">
      <c r="A93" s="9">
        <f>IF(Lease!$H$4="Monthly",DATE(YEAR(Quarterly!A92),MONTH(Quarterly!A92)+1,DAY(Quarterly!A92)),IF(Lease!$H$4="Quarterly",DATE(YEAR(Quarterly!A92),MONTH(Quarterly!A92)+3,DAY(Quarterly!A92)),DATE(YEAR(Quarterly!A92)+1,MONTH(Quarterly!A92),DAY(Quarterly!A92))))</f>
        <v>74585</v>
      </c>
      <c r="B93" s="9">
        <f t="shared" si="12"/>
        <v>74571</v>
      </c>
      <c r="C93" s="9">
        <f t="shared" si="15"/>
        <v>74601</v>
      </c>
      <c r="D93" s="3">
        <f t="shared" si="13"/>
        <v>31</v>
      </c>
      <c r="E93" s="10">
        <f t="shared" si="14"/>
        <v>17</v>
      </c>
      <c r="F93" s="4" t="e">
        <f>Lease!#REF!</f>
        <v>#REF!</v>
      </c>
      <c r="G93" s="3" t="e">
        <f t="shared" si="16"/>
        <v>#REF!</v>
      </c>
      <c r="H93" s="11" t="e">
        <f t="shared" si="17"/>
        <v>#REF!</v>
      </c>
      <c r="I93" s="11" t="e">
        <f t="shared" si="18"/>
        <v>#REF!</v>
      </c>
      <c r="J93" s="4" t="e">
        <f t="shared" si="19"/>
        <v>#REF!</v>
      </c>
      <c r="K93" s="3" t="e">
        <f t="shared" si="20"/>
        <v>#REF!</v>
      </c>
    </row>
    <row r="94" spans="1:11" x14ac:dyDescent="0.25">
      <c r="A94" s="9">
        <f>IF(Lease!$H$4="Monthly",DATE(YEAR(Quarterly!A93),MONTH(Quarterly!A93)+1,DAY(Quarterly!A93)),IF(Lease!$H$4="Quarterly",DATE(YEAR(Quarterly!A93),MONTH(Quarterly!A93)+3,DAY(Quarterly!A93)),DATE(YEAR(Quarterly!A93)+1,MONTH(Quarterly!A93),DAY(Quarterly!A93))))</f>
        <v>74950</v>
      </c>
      <c r="B94" s="9">
        <f t="shared" si="12"/>
        <v>74936</v>
      </c>
      <c r="C94" s="9">
        <f t="shared" si="15"/>
        <v>74966</v>
      </c>
      <c r="D94" s="3">
        <f t="shared" si="13"/>
        <v>31</v>
      </c>
      <c r="E94" s="10">
        <f t="shared" si="14"/>
        <v>17</v>
      </c>
      <c r="F94" s="4" t="e">
        <f>Lease!#REF!</f>
        <v>#REF!</v>
      </c>
      <c r="G94" s="3" t="e">
        <f t="shared" si="16"/>
        <v>#REF!</v>
      </c>
      <c r="H94" s="11" t="e">
        <f t="shared" si="17"/>
        <v>#REF!</v>
      </c>
      <c r="I94" s="11" t="e">
        <f t="shared" si="18"/>
        <v>#REF!</v>
      </c>
      <c r="J94" s="4" t="e">
        <f t="shared" si="19"/>
        <v>#REF!</v>
      </c>
      <c r="K94" s="3" t="e">
        <f t="shared" si="20"/>
        <v>#REF!</v>
      </c>
    </row>
    <row r="95" spans="1:11" x14ac:dyDescent="0.25">
      <c r="A95" s="9">
        <f>IF(Lease!$H$4="Monthly",DATE(YEAR(Quarterly!A94),MONTH(Quarterly!A94)+1,DAY(Quarterly!A94)),IF(Lease!$H$4="Quarterly",DATE(YEAR(Quarterly!A94),MONTH(Quarterly!A94)+3,DAY(Quarterly!A94)),DATE(YEAR(Quarterly!A94)+1,MONTH(Quarterly!A94),DAY(Quarterly!A94))))</f>
        <v>75315</v>
      </c>
      <c r="B95" s="9">
        <f t="shared" si="12"/>
        <v>75301</v>
      </c>
      <c r="C95" s="9">
        <f t="shared" si="15"/>
        <v>75331</v>
      </c>
      <c r="D95" s="3">
        <f t="shared" si="13"/>
        <v>31</v>
      </c>
      <c r="E95" s="10">
        <f t="shared" si="14"/>
        <v>17</v>
      </c>
      <c r="F95" s="4" t="e">
        <f>Lease!#REF!</f>
        <v>#REF!</v>
      </c>
      <c r="G95" s="3" t="e">
        <f t="shared" si="16"/>
        <v>#REF!</v>
      </c>
      <c r="H95" s="11" t="e">
        <f t="shared" si="17"/>
        <v>#REF!</v>
      </c>
      <c r="I95" s="11" t="e">
        <f t="shared" si="18"/>
        <v>#REF!</v>
      </c>
      <c r="J95" s="4" t="e">
        <f t="shared" si="19"/>
        <v>#REF!</v>
      </c>
      <c r="K95" s="3" t="e">
        <f t="shared" si="20"/>
        <v>#REF!</v>
      </c>
    </row>
    <row r="96" spans="1:11" x14ac:dyDescent="0.25">
      <c r="A96" s="9">
        <f>IF(Lease!$H$4="Monthly",DATE(YEAR(Quarterly!A95),MONTH(Quarterly!A95)+1,DAY(Quarterly!A95)),IF(Lease!$H$4="Quarterly",DATE(YEAR(Quarterly!A95),MONTH(Quarterly!A95)+3,DAY(Quarterly!A95)),DATE(YEAR(Quarterly!A95)+1,MONTH(Quarterly!A95),DAY(Quarterly!A95))))</f>
        <v>75680</v>
      </c>
      <c r="B96" s="9">
        <f t="shared" si="12"/>
        <v>75666</v>
      </c>
      <c r="C96" s="9">
        <f t="shared" si="15"/>
        <v>75696</v>
      </c>
      <c r="D96" s="3">
        <f t="shared" si="13"/>
        <v>31</v>
      </c>
      <c r="E96" s="10">
        <f t="shared" si="14"/>
        <v>17</v>
      </c>
      <c r="F96" s="4" t="e">
        <f>Lease!#REF!</f>
        <v>#REF!</v>
      </c>
      <c r="G96" s="3" t="e">
        <f t="shared" si="16"/>
        <v>#REF!</v>
      </c>
      <c r="H96" s="11" t="e">
        <f t="shared" si="17"/>
        <v>#REF!</v>
      </c>
      <c r="I96" s="11" t="e">
        <f t="shared" si="18"/>
        <v>#REF!</v>
      </c>
      <c r="J96" s="4" t="e">
        <f t="shared" si="19"/>
        <v>#REF!</v>
      </c>
      <c r="K96" s="3" t="e">
        <f t="shared" si="20"/>
        <v>#REF!</v>
      </c>
    </row>
    <row r="97" spans="1:11" x14ac:dyDescent="0.25">
      <c r="A97" s="9">
        <f>IF(Lease!$H$4="Monthly",DATE(YEAR(Quarterly!A96),MONTH(Quarterly!A96)+1,DAY(Quarterly!A96)),IF(Lease!$H$4="Quarterly",DATE(YEAR(Quarterly!A96),MONTH(Quarterly!A96)+3,DAY(Quarterly!A96)),DATE(YEAR(Quarterly!A96)+1,MONTH(Quarterly!A96),DAY(Quarterly!A96))))</f>
        <v>76046</v>
      </c>
      <c r="B97" s="9">
        <f t="shared" si="12"/>
        <v>76032</v>
      </c>
      <c r="C97" s="9">
        <f t="shared" si="15"/>
        <v>76062</v>
      </c>
      <c r="D97" s="3">
        <f t="shared" si="13"/>
        <v>31</v>
      </c>
      <c r="E97" s="10">
        <f t="shared" si="14"/>
        <v>17</v>
      </c>
      <c r="F97" s="4" t="e">
        <f>Lease!#REF!</f>
        <v>#REF!</v>
      </c>
      <c r="G97" s="3" t="e">
        <f t="shared" si="16"/>
        <v>#REF!</v>
      </c>
      <c r="H97" s="11" t="e">
        <f t="shared" si="17"/>
        <v>#REF!</v>
      </c>
      <c r="I97" s="11" t="e">
        <f t="shared" si="18"/>
        <v>#REF!</v>
      </c>
      <c r="J97" s="4" t="e">
        <f t="shared" si="19"/>
        <v>#REF!</v>
      </c>
      <c r="K97" s="3" t="e">
        <f t="shared" si="20"/>
        <v>#REF!</v>
      </c>
    </row>
    <row r="98" spans="1:11" x14ac:dyDescent="0.25">
      <c r="A98" s="9">
        <f>IF(Lease!$H$4="Monthly",DATE(YEAR(Quarterly!A97),MONTH(Quarterly!A97)+1,DAY(Quarterly!A97)),IF(Lease!$H$4="Quarterly",DATE(YEAR(Quarterly!A97),MONTH(Quarterly!A97)+3,DAY(Quarterly!A97)),DATE(YEAR(Quarterly!A97)+1,MONTH(Quarterly!A97),DAY(Quarterly!A97))))</f>
        <v>76411</v>
      </c>
      <c r="B98" s="9">
        <f t="shared" si="12"/>
        <v>76397</v>
      </c>
      <c r="C98" s="9">
        <f t="shared" si="15"/>
        <v>76427</v>
      </c>
      <c r="D98" s="3">
        <f t="shared" si="13"/>
        <v>31</v>
      </c>
      <c r="E98" s="10">
        <f t="shared" si="14"/>
        <v>17</v>
      </c>
      <c r="F98" s="4" t="e">
        <f>Lease!#REF!</f>
        <v>#REF!</v>
      </c>
      <c r="G98" s="3" t="e">
        <f t="shared" si="16"/>
        <v>#REF!</v>
      </c>
      <c r="H98" s="11" t="e">
        <f t="shared" si="17"/>
        <v>#REF!</v>
      </c>
      <c r="I98" s="11" t="e">
        <f t="shared" si="18"/>
        <v>#REF!</v>
      </c>
      <c r="J98" s="4" t="e">
        <f t="shared" si="19"/>
        <v>#REF!</v>
      </c>
      <c r="K98" s="3" t="e">
        <f t="shared" si="20"/>
        <v>#REF!</v>
      </c>
    </row>
    <row r="99" spans="1:11" x14ac:dyDescent="0.25">
      <c r="A99" s="9">
        <f>IF(Lease!$H$4="Monthly",DATE(YEAR(Quarterly!A98),MONTH(Quarterly!A98)+1,DAY(Quarterly!A98)),IF(Lease!$H$4="Quarterly",DATE(YEAR(Quarterly!A98),MONTH(Quarterly!A98)+3,DAY(Quarterly!A98)),DATE(YEAR(Quarterly!A98)+1,MONTH(Quarterly!A98),DAY(Quarterly!A98))))</f>
        <v>76776</v>
      </c>
      <c r="B99" s="9">
        <f t="shared" si="12"/>
        <v>76762</v>
      </c>
      <c r="C99" s="9">
        <f t="shared" si="15"/>
        <v>76792</v>
      </c>
      <c r="D99" s="3">
        <f t="shared" si="13"/>
        <v>31</v>
      </c>
      <c r="E99" s="10">
        <f t="shared" si="14"/>
        <v>17</v>
      </c>
      <c r="F99" s="4" t="e">
        <f>Lease!#REF!</f>
        <v>#REF!</v>
      </c>
      <c r="G99" s="3" t="e">
        <f t="shared" si="16"/>
        <v>#REF!</v>
      </c>
      <c r="H99" s="11" t="e">
        <f t="shared" si="17"/>
        <v>#REF!</v>
      </c>
      <c r="I99" s="11" t="e">
        <f t="shared" si="18"/>
        <v>#REF!</v>
      </c>
      <c r="J99" s="4" t="e">
        <f t="shared" si="19"/>
        <v>#REF!</v>
      </c>
      <c r="K99" s="3" t="e">
        <f t="shared" si="20"/>
        <v>#REF!</v>
      </c>
    </row>
    <row r="100" spans="1:11" x14ac:dyDescent="0.25">
      <c r="A100" s="9">
        <f>IF(Lease!$H$4="Monthly",DATE(YEAR(Quarterly!A99),MONTH(Quarterly!A99)+1,DAY(Quarterly!A99)),IF(Lease!$H$4="Quarterly",DATE(YEAR(Quarterly!A99),MONTH(Quarterly!A99)+3,DAY(Quarterly!A99)),DATE(YEAR(Quarterly!A99)+1,MONTH(Quarterly!A99),DAY(Quarterly!A99))))</f>
        <v>77141</v>
      </c>
      <c r="B100" s="9">
        <f t="shared" si="12"/>
        <v>77127</v>
      </c>
      <c r="C100" s="9">
        <f t="shared" si="15"/>
        <v>77157</v>
      </c>
      <c r="D100" s="3">
        <f t="shared" si="13"/>
        <v>31</v>
      </c>
      <c r="E100" s="10">
        <f t="shared" si="14"/>
        <v>17</v>
      </c>
      <c r="F100" s="4" t="e">
        <f>Lease!#REF!</f>
        <v>#REF!</v>
      </c>
      <c r="G100" s="3" t="e">
        <f>(#REF!/(#REF!-A100+1)*E100)+J99</f>
        <v>#REF!</v>
      </c>
      <c r="H100" s="11" t="e">
        <f>(#REF!)/(#REF!-A100+1)*((((EOMONTH(DATE(YEAR(A100),MONTH(A100)+1,DAY(A100)),0)))-DATE(YEAR(A100),MONTH(EOMONTH(A100,-1)+1)+1,1))+1)</f>
        <v>#REF!</v>
      </c>
      <c r="I100" s="11" t="e">
        <f>(#REF!)/(#REF!-A100+1)*(((((EOMONTH(DATE(YEAR(A100),MONTH(A100)+2,DAY(A100)),0)))-DATE(YEAR(A100),MONTH(EOMONTH(A100,-1)+2)+2,1)))+1)</f>
        <v>#REF!</v>
      </c>
      <c r="J100" s="4" t="e">
        <f>#REF!/(#REF!-A100+1)*(#REF!-DATE(YEAR(#REF!),MONTH(EOMONTH(#REF!,-1)+1),DAY(1))+1)</f>
        <v>#REF!</v>
      </c>
      <c r="K100" s="3" t="e">
        <f t="shared" si="20"/>
        <v>#REF!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showGridLines="0" topLeftCell="A82" workbookViewId="0">
      <selection activeCell="A101" sqref="A101:XFD1354"/>
    </sheetView>
  </sheetViews>
  <sheetFormatPr baseColWidth="10" defaultColWidth="9.140625" defaultRowHeight="15" x14ac:dyDescent="0.25"/>
  <cols>
    <col min="1" max="1" width="15.7109375" customWidth="1"/>
    <col min="2" max="2" width="18.85546875" bestFit="1" customWidth="1"/>
    <col min="3" max="4" width="15.7109375" customWidth="1"/>
    <col min="5" max="5" width="13.28515625" bestFit="1" customWidth="1"/>
    <col min="6" max="6" width="31.42578125" bestFit="1" customWidth="1"/>
    <col min="7" max="7" width="13.85546875" bestFit="1" customWidth="1"/>
    <col min="8" max="8" width="21.5703125" bestFit="1" customWidth="1"/>
    <col min="9" max="18" width="21.5703125" customWidth="1"/>
    <col min="23" max="23" width="9.85546875" bestFit="1" customWidth="1"/>
  </cols>
  <sheetData>
    <row r="1" spans="1:23" x14ac:dyDescent="0.25">
      <c r="A1" s="2" t="str">
        <f>Lease!H4</f>
        <v>Yearly</v>
      </c>
      <c r="E1" s="12"/>
      <c r="G1" s="69"/>
      <c r="H1" s="69"/>
      <c r="I1" s="69"/>
      <c r="J1" s="69"/>
      <c r="K1" s="12"/>
    </row>
    <row r="2" spans="1:23" x14ac:dyDescent="0.25">
      <c r="B2" s="12"/>
      <c r="D2" s="12"/>
      <c r="F2" s="12"/>
      <c r="G2" s="12"/>
      <c r="H2" s="12"/>
      <c r="I2" s="69"/>
      <c r="J2" s="69"/>
    </row>
    <row r="3" spans="1:23" x14ac:dyDescent="0.25">
      <c r="A3" s="12"/>
      <c r="E3" s="12"/>
    </row>
    <row r="4" spans="1:23" x14ac:dyDescent="0.25">
      <c r="E4" s="12"/>
      <c r="F4" t="s">
        <v>66</v>
      </c>
      <c r="G4" s="29">
        <v>1</v>
      </c>
      <c r="H4" s="29">
        <f>G4+1</f>
        <v>2</v>
      </c>
      <c r="I4" s="29">
        <f t="shared" ref="I4:R4" si="0">H4+1</f>
        <v>3</v>
      </c>
      <c r="J4" s="29">
        <f t="shared" si="0"/>
        <v>4</v>
      </c>
      <c r="K4" s="29">
        <f t="shared" si="0"/>
        <v>5</v>
      </c>
      <c r="L4" s="29">
        <f t="shared" si="0"/>
        <v>6</v>
      </c>
      <c r="M4" s="29">
        <f t="shared" si="0"/>
        <v>7</v>
      </c>
      <c r="N4" s="29">
        <f t="shared" si="0"/>
        <v>8</v>
      </c>
      <c r="O4" s="29">
        <f t="shared" si="0"/>
        <v>9</v>
      </c>
      <c r="P4" s="29">
        <f t="shared" si="0"/>
        <v>10</v>
      </c>
      <c r="Q4" s="29">
        <f t="shared" si="0"/>
        <v>11</v>
      </c>
      <c r="R4" s="29">
        <f t="shared" si="0"/>
        <v>12</v>
      </c>
    </row>
    <row r="5" spans="1:23" ht="60" x14ac:dyDescent="0.25">
      <c r="A5" s="25" t="s">
        <v>51</v>
      </c>
      <c r="B5" s="26" t="s">
        <v>60</v>
      </c>
      <c r="C5" s="26" t="s">
        <v>61</v>
      </c>
      <c r="D5" s="26" t="s">
        <v>63</v>
      </c>
      <c r="E5" s="27" t="s">
        <v>62</v>
      </c>
      <c r="F5" s="30">
        <f>EOMONTH(A6,0)</f>
        <v>42825</v>
      </c>
      <c r="G5" s="30">
        <f>(((((EOMONTH(DATE(YEAR(F5),MONTH(F5)+1,DAY(F5)-5),0))))))</f>
        <v>42855</v>
      </c>
      <c r="H5" s="30">
        <f t="shared" ref="H5:Q5" si="1">(((((EOMONTH(DATE(YEAR(G5),MONTH(G5)+1,DAY(G5)-5),0))))))</f>
        <v>42886</v>
      </c>
      <c r="I5" s="30">
        <f t="shared" si="1"/>
        <v>42916</v>
      </c>
      <c r="J5" s="30">
        <f t="shared" si="1"/>
        <v>42947</v>
      </c>
      <c r="K5" s="30">
        <f t="shared" si="1"/>
        <v>42978</v>
      </c>
      <c r="L5" s="30">
        <f t="shared" si="1"/>
        <v>43008</v>
      </c>
      <c r="M5" s="30">
        <f t="shared" si="1"/>
        <v>43039</v>
      </c>
      <c r="N5" s="30">
        <f t="shared" si="1"/>
        <v>43069</v>
      </c>
      <c r="O5" s="30">
        <f t="shared" si="1"/>
        <v>43100</v>
      </c>
      <c r="P5" s="30">
        <f t="shared" si="1"/>
        <v>43131</v>
      </c>
      <c r="Q5" s="30">
        <f t="shared" si="1"/>
        <v>43159</v>
      </c>
      <c r="R5" s="30">
        <f>A7</f>
        <v>43174</v>
      </c>
    </row>
    <row r="6" spans="1:23" x14ac:dyDescent="0.25">
      <c r="A6" s="9">
        <f>Lease!B4</f>
        <v>42809</v>
      </c>
      <c r="B6" s="9">
        <f t="shared" ref="B6:B69" si="2">EOMONTH(A6,-1)+1</f>
        <v>42795</v>
      </c>
      <c r="C6" s="9">
        <f>EOMONTH(A6,0)</f>
        <v>42825</v>
      </c>
      <c r="D6" s="3">
        <f>C6-B6+1</f>
        <v>31</v>
      </c>
      <c r="E6" s="4"/>
      <c r="F6" s="3">
        <f>E7/(A7-A6+1)*(EOMONTH(A6,0)-A6+1)</f>
        <v>0</v>
      </c>
      <c r="G6" s="11">
        <f t="shared" ref="G6:G69" si="3">$E7/($A7-$A6+1)*((((EOMONTH(DATE(YEAR($A6),MONTH($A6)+G$4,DAY($A6)),0)))-DATE(YEAR($A6),MONTH(EOMONTH($A6,-1)+G$4)+G$4,1))+1)</f>
        <v>0</v>
      </c>
      <c r="H6" s="11">
        <f t="shared" ref="H6:H69" si="4">$E7/($A7-$A6+1)*((((EOMONTH(DATE(YEAR($A6),MONTH($A6)+H$4,DAY($A6)),0)))-DATE(YEAR($A6),MONTH(EOMONTH($A6,-1)+H$4)+H$4,1))+1)</f>
        <v>0</v>
      </c>
      <c r="I6" s="11">
        <f t="shared" ref="I6:I69" si="5">$E7/($A7-$A6+1)*((((EOMONTH(DATE(YEAR($A6),MONTH($A6)+I$4,DAY($A6)),0)))-DATE(YEAR($A6),MONTH(EOMONTH($A6,-1)+I$4)+I$4,1))+1)</f>
        <v>0</v>
      </c>
      <c r="J6" s="11">
        <f t="shared" ref="J6:J69" si="6">$E7/($A7-$A6+1)*((((EOMONTH(DATE(YEAR($A6),MONTH($A6)+J$4,DAY($A6)),0)))-DATE(YEAR($A6),MONTH(EOMONTH($A6,-1)+J$4)+J$4,1))+1)</f>
        <v>0</v>
      </c>
      <c r="K6" s="11">
        <f t="shared" ref="K6:K69" si="7">$E7/($A7-$A6+1)*((((EOMONTH(DATE(YEAR($A6),MONTH($A6)+K$4,DAY($A6)),0)))-DATE(YEAR($A6),MONTH(EOMONTH($A6,-1)+K$4)+K$4,1))+1)</f>
        <v>0</v>
      </c>
      <c r="L6" s="11">
        <f t="shared" ref="L6:L69" si="8">$E7/($A7-$A6+1)*((((EOMONTH(DATE(YEAR($A6),MONTH($A6)+L$4,DAY($A6)),0)))-DATE(YEAR($A6),MONTH(EOMONTH($A6,-1)+L$4)+L$4,1))+1)</f>
        <v>0</v>
      </c>
      <c r="M6" s="11">
        <f t="shared" ref="M6:M69" si="9">$E7/($A7-$A6+1)*((((EOMONTH(DATE(YEAR($A6),MONTH($A6)+M$4,DAY($A6)),0)))-DATE(YEAR($A6),MONTH(EOMONTH($A6,-1)+M$4)+M$4,1))+1)</f>
        <v>0</v>
      </c>
      <c r="N6" s="11">
        <f t="shared" ref="N6:N69" si="10">$E7/($A7-$A6+1)*((((EOMONTH(DATE(YEAR($A6),MONTH($A6)+N$4,DAY($A6)),0)))-DATE(YEAR($A6),MONTH(EOMONTH($A6,-1)+N$4)+N$4,1))+1)</f>
        <v>0</v>
      </c>
      <c r="O6" s="11">
        <f t="shared" ref="O6:O69" si="11">$E7/($A7-$A6+1)*((((EOMONTH(DATE(YEAR($A6),MONTH($A6)+O$4,DAY($A6)),0)))-DATE(YEAR($A6),MONTH(EOMONTH($A6,-1)+O$4)+O$4,1))+1)</f>
        <v>0</v>
      </c>
      <c r="P6" s="11">
        <f t="shared" ref="P6:P69" si="12">$E7/($A7-$A6+1)*((((EOMONTH(DATE(YEAR($A6),MONTH($A6)+P$4,DAY($A6)),0)))-DATE(YEAR($A6),MONTH(EOMONTH($A6,-1)+P$4)+P$4,1))+1)</f>
        <v>0</v>
      </c>
      <c r="Q6" s="11">
        <f t="shared" ref="Q6:Q69" si="13">$E7/($A7-$A6+1)*((((EOMONTH(DATE(YEAR($A6),MONTH($A6)+Q$4,DAY($A6)),0)))-DATE(YEAR($A6),MONTH(EOMONTH($A6,-1)+Q$4)+Q$4,1))+1)</f>
        <v>0</v>
      </c>
      <c r="R6" s="11">
        <f t="shared" ref="R6:R69" si="14">$E7/($A7-$A6+1)*IF((((EOMONTH(DATE(YEAR($A6),MONTH($A6)+R$4,DAY($A6)),0))))&lt;$A6,$A6-DATE(YEAR($A6),MONTH(EOMONTH($A6,-1)+R$4)+R$4,1)+1,$A6-1-EOMONTH($A6,-1)+1)</f>
        <v>0</v>
      </c>
    </row>
    <row r="7" spans="1:23" x14ac:dyDescent="0.25">
      <c r="A7" s="9">
        <f>IF(Lease!$H$4="Monthly",DATE(YEAR(Yearly!A6),MONTH(Yearly!A6)+1,DAY(Yearly!A6)),IF(Lease!$H$4="Quarterly",DATE(YEAR(Yearly!A6),MONTH(Yearly!A6)+3,DAY(Yearly!A6)),DATE(YEAR(Yearly!A6)+1,MONTH(Yearly!A6),DAY(Yearly!A6))))</f>
        <v>43174</v>
      </c>
      <c r="B7" s="9">
        <f t="shared" si="2"/>
        <v>43160</v>
      </c>
      <c r="C7" s="9">
        <f t="shared" ref="C7:C70" si="15">EOMONTH(A7,0)</f>
        <v>43190</v>
      </c>
      <c r="D7" s="3">
        <f t="shared" ref="D7:D70" si="16">C7-B7+1</f>
        <v>31</v>
      </c>
      <c r="E7" s="4">
        <f>Lease!K17</f>
        <v>0</v>
      </c>
      <c r="F7" s="3">
        <f>E8/(A8-A7+1)*(EOMONTH(A7,0)-A7+1)+R6</f>
        <v>3366.4755153349683</v>
      </c>
      <c r="G7" s="11">
        <f t="shared" si="3"/>
        <v>5940.8391447087679</v>
      </c>
      <c r="H7" s="11">
        <f t="shared" si="4"/>
        <v>6138.8671161990596</v>
      </c>
      <c r="I7" s="11">
        <f t="shared" si="5"/>
        <v>5940.8391447087679</v>
      </c>
      <c r="J7" s="11">
        <f t="shared" si="6"/>
        <v>6138.8671161990596</v>
      </c>
      <c r="K7" s="11">
        <f t="shared" si="7"/>
        <v>6138.8671161990596</v>
      </c>
      <c r="L7" s="11">
        <f t="shared" si="8"/>
        <v>5940.8391447087679</v>
      </c>
      <c r="M7" s="11">
        <f t="shared" si="9"/>
        <v>6138.8671161990596</v>
      </c>
      <c r="N7" s="11">
        <f t="shared" si="10"/>
        <v>5940.8391447087679</v>
      </c>
      <c r="O7" s="11">
        <f t="shared" si="11"/>
        <v>6138.8671161990596</v>
      </c>
      <c r="P7" s="11">
        <f t="shared" si="12"/>
        <v>6138.8671161990596</v>
      </c>
      <c r="Q7" s="11">
        <f t="shared" si="13"/>
        <v>5544.7832017281835</v>
      </c>
      <c r="R7" s="11">
        <f t="shared" si="14"/>
        <v>2970.4195723543839</v>
      </c>
    </row>
    <row r="8" spans="1:23" x14ac:dyDescent="0.25">
      <c r="A8" s="9">
        <f>IF(Lease!$H$4="Monthly",DATE(YEAR(Yearly!A7),MONTH(Yearly!A7)+1,DAY(Yearly!A7)),IF(Lease!$H$4="Quarterly",DATE(YEAR(Yearly!A7),MONTH(Yearly!A7)+3,DAY(Yearly!A7)),DATE(YEAR(Yearly!A7)+1,MONTH(Yearly!A7),DAY(Yearly!A7))))</f>
        <v>43539</v>
      </c>
      <c r="B8" s="9">
        <f t="shared" si="2"/>
        <v>43525</v>
      </c>
      <c r="C8" s="9">
        <f t="shared" si="15"/>
        <v>43555</v>
      </c>
      <c r="D8" s="3">
        <f t="shared" si="16"/>
        <v>31</v>
      </c>
      <c r="E8" s="4">
        <f>Lease!K18</f>
        <v>72478.237565446965</v>
      </c>
      <c r="F8" s="3">
        <f t="shared" ref="F8:F71" si="17">E9/(A9-A8+1)*(EOMONTH(A8,0)-A8+1)+R7</f>
        <v>6263.9796283304822</v>
      </c>
      <c r="G8" s="11">
        <f t="shared" si="3"/>
        <v>5812.1648046637029</v>
      </c>
      <c r="H8" s="11">
        <f t="shared" si="4"/>
        <v>6005.9036314858258</v>
      </c>
      <c r="I8" s="11">
        <f t="shared" si="5"/>
        <v>5812.1648046637029</v>
      </c>
      <c r="J8" s="11">
        <f t="shared" si="6"/>
        <v>6005.9036314858258</v>
      </c>
      <c r="K8" s="11">
        <f t="shared" si="7"/>
        <v>6005.9036314858258</v>
      </c>
      <c r="L8" s="11">
        <f t="shared" si="8"/>
        <v>5812.1648046637029</v>
      </c>
      <c r="M8" s="11">
        <f t="shared" si="9"/>
        <v>6005.9036314858258</v>
      </c>
      <c r="N8" s="11">
        <f t="shared" si="10"/>
        <v>5812.1648046637029</v>
      </c>
      <c r="O8" s="11">
        <f t="shared" si="11"/>
        <v>6005.9036314858258</v>
      </c>
      <c r="P8" s="11">
        <f t="shared" si="12"/>
        <v>6005.9036314858258</v>
      </c>
      <c r="Q8" s="11">
        <f t="shared" si="13"/>
        <v>5618.4259778415799</v>
      </c>
      <c r="R8" s="11">
        <f t="shared" si="14"/>
        <v>2906.0824023318514</v>
      </c>
    </row>
    <row r="9" spans="1:23" x14ac:dyDescent="0.25">
      <c r="A9" s="9">
        <f>IF(Lease!$H$4="Monthly",DATE(YEAR(Yearly!A8),MONTH(Yearly!A8)+1,DAY(Yearly!A8)),IF(Lease!$H$4="Quarterly",DATE(YEAR(Yearly!A8),MONTH(Yearly!A8)+3,DAY(Yearly!A8)),DATE(YEAR(Yearly!A8)+1,MONTH(Yearly!A8),DAY(Yearly!A8))))</f>
        <v>43905</v>
      </c>
      <c r="B9" s="9">
        <f t="shared" si="2"/>
        <v>43891</v>
      </c>
      <c r="C9" s="9">
        <f t="shared" si="15"/>
        <v>43921</v>
      </c>
      <c r="D9" s="3">
        <f t="shared" si="16"/>
        <v>31</v>
      </c>
      <c r="E9" s="4">
        <f>Lease!K19</f>
        <v>71102.149443719303</v>
      </c>
      <c r="F9" s="3">
        <f t="shared" si="17"/>
        <v>6118.3047180979429</v>
      </c>
      <c r="G9" s="11">
        <f t="shared" si="3"/>
        <v>5668.6276160578082</v>
      </c>
      <c r="H9" s="11">
        <f t="shared" si="4"/>
        <v>5857.5818699264019</v>
      </c>
      <c r="I9" s="11">
        <f t="shared" si="5"/>
        <v>5668.6276160578082</v>
      </c>
      <c r="J9" s="11">
        <f t="shared" si="6"/>
        <v>5857.5818699264019</v>
      </c>
      <c r="K9" s="11">
        <f t="shared" si="7"/>
        <v>5857.5818699264019</v>
      </c>
      <c r="L9" s="11">
        <f t="shared" si="8"/>
        <v>5668.6276160578082</v>
      </c>
      <c r="M9" s="11">
        <f t="shared" si="9"/>
        <v>5857.5818699264019</v>
      </c>
      <c r="N9" s="11">
        <f t="shared" si="10"/>
        <v>5668.6276160578082</v>
      </c>
      <c r="O9" s="11">
        <f t="shared" si="11"/>
        <v>5857.5818699264019</v>
      </c>
      <c r="P9" s="11">
        <f t="shared" si="12"/>
        <v>5857.5818699264019</v>
      </c>
      <c r="Q9" s="11">
        <f t="shared" si="13"/>
        <v>5290.7191083206208</v>
      </c>
      <c r="R9" s="11">
        <f t="shared" si="14"/>
        <v>2834.3138080289041</v>
      </c>
      <c r="V9" s="69"/>
      <c r="W9" s="69"/>
    </row>
    <row r="10" spans="1:23" x14ac:dyDescent="0.25">
      <c r="A10" s="9">
        <f>IF(Lease!$H$4="Monthly",DATE(YEAR(Yearly!A9),MONTH(Yearly!A9)+1,DAY(Yearly!A9)),IF(Lease!$H$4="Quarterly",DATE(YEAR(Yearly!A9),MONTH(Yearly!A9)+3,DAY(Yearly!A9)),DATE(YEAR(Yearly!A9)+1,MONTH(Yearly!A9),DAY(Yearly!A9))))</f>
        <v>44270</v>
      </c>
      <c r="B10" s="9">
        <f t="shared" si="2"/>
        <v>44256</v>
      </c>
      <c r="C10" s="9">
        <f t="shared" si="15"/>
        <v>44286</v>
      </c>
      <c r="D10" s="3">
        <f t="shared" si="16"/>
        <v>31</v>
      </c>
      <c r="E10" s="4">
        <f>Lease!K20</f>
        <v>69157.256915905265</v>
      </c>
      <c r="F10" s="3">
        <f t="shared" si="17"/>
        <v>5951.6827587089838</v>
      </c>
      <c r="G10" s="11">
        <f t="shared" si="3"/>
        <v>5501.2393247295522</v>
      </c>
      <c r="H10" s="11">
        <f t="shared" si="4"/>
        <v>5684.6139688872045</v>
      </c>
      <c r="I10" s="11">
        <f t="shared" si="5"/>
        <v>5501.2393247295522</v>
      </c>
      <c r="J10" s="11">
        <f t="shared" si="6"/>
        <v>5684.6139688872045</v>
      </c>
      <c r="K10" s="11">
        <f t="shared" si="7"/>
        <v>5684.6139688872045</v>
      </c>
      <c r="L10" s="11">
        <f t="shared" si="8"/>
        <v>5501.2393247295522</v>
      </c>
      <c r="M10" s="11">
        <f t="shared" si="9"/>
        <v>5684.6139688872045</v>
      </c>
      <c r="N10" s="11">
        <f t="shared" si="10"/>
        <v>5501.2393247295522</v>
      </c>
      <c r="O10" s="11">
        <f t="shared" si="11"/>
        <v>5684.6139688872045</v>
      </c>
      <c r="P10" s="11">
        <f t="shared" si="12"/>
        <v>5684.6139688872045</v>
      </c>
      <c r="Q10" s="11">
        <f t="shared" si="13"/>
        <v>5134.4900364142486</v>
      </c>
      <c r="R10" s="11">
        <f t="shared" si="14"/>
        <v>2750.6196623647761</v>
      </c>
      <c r="V10" s="69"/>
      <c r="W10" s="69"/>
    </row>
    <row r="11" spans="1:23" x14ac:dyDescent="0.25">
      <c r="A11" s="9">
        <f>IF(Lease!$H$4="Monthly",DATE(YEAR(Yearly!A10),MONTH(Yearly!A10)+1,DAY(Yearly!A10)),IF(Lease!$H$4="Quarterly",DATE(YEAR(Yearly!A10),MONTH(Yearly!A10)+3,DAY(Yearly!A10)),DATE(YEAR(Yearly!A10)+1,MONTH(Yearly!A10),DAY(Yearly!A10))))</f>
        <v>44635</v>
      </c>
      <c r="B11" s="9">
        <f t="shared" si="2"/>
        <v>44621</v>
      </c>
      <c r="C11" s="9">
        <f t="shared" si="15"/>
        <v>44651</v>
      </c>
      <c r="D11" s="3">
        <f t="shared" si="16"/>
        <v>31</v>
      </c>
      <c r="E11" s="4">
        <f>Lease!K21</f>
        <v>67115.119761700538</v>
      </c>
      <c r="F11" s="3">
        <f t="shared" si="17"/>
        <v>5742.8461316171106</v>
      </c>
      <c r="G11" s="11">
        <f t="shared" si="3"/>
        <v>5280.3996516217667</v>
      </c>
      <c r="H11" s="11">
        <f t="shared" si="4"/>
        <v>5456.4129733424925</v>
      </c>
      <c r="I11" s="11">
        <f t="shared" si="5"/>
        <v>5280.3996516217667</v>
      </c>
      <c r="J11" s="11">
        <f t="shared" si="6"/>
        <v>5456.4129733424925</v>
      </c>
      <c r="K11" s="11">
        <f t="shared" si="7"/>
        <v>5456.4129733424925</v>
      </c>
      <c r="L11" s="11">
        <f t="shared" si="8"/>
        <v>5280.3996516217667</v>
      </c>
      <c r="M11" s="11">
        <f t="shared" si="9"/>
        <v>5456.4129733424925</v>
      </c>
      <c r="N11" s="11">
        <f t="shared" si="10"/>
        <v>5280.3996516217667</v>
      </c>
      <c r="O11" s="11">
        <f t="shared" si="11"/>
        <v>5456.4129733424925</v>
      </c>
      <c r="P11" s="11">
        <f t="shared" si="12"/>
        <v>5456.4129733424925</v>
      </c>
      <c r="Q11" s="11">
        <f t="shared" si="13"/>
        <v>4928.373008180316</v>
      </c>
      <c r="R11" s="11">
        <f t="shared" si="14"/>
        <v>2640.1998258108833</v>
      </c>
    </row>
    <row r="12" spans="1:23" x14ac:dyDescent="0.25">
      <c r="A12" s="9">
        <f>IF(Lease!$H$4="Monthly",DATE(YEAR(Yearly!A11),MONTH(Yearly!A11)+1,DAY(Yearly!A11)),IF(Lease!$H$4="Quarterly",DATE(YEAR(Yearly!A11),MONTH(Yearly!A11)+3,DAY(Yearly!A11)),DATE(YEAR(Yearly!A11)+1,MONTH(Yearly!A11),DAY(Yearly!A11))))</f>
        <v>45000</v>
      </c>
      <c r="B12" s="9">
        <f t="shared" si="2"/>
        <v>44986</v>
      </c>
      <c r="C12" s="9">
        <f t="shared" si="15"/>
        <v>45016</v>
      </c>
      <c r="D12" s="3">
        <f t="shared" si="16"/>
        <v>31</v>
      </c>
      <c r="E12" s="4">
        <f>Lease!K22</f>
        <v>64420.875749785562</v>
      </c>
      <c r="F12" s="3">
        <f t="shared" si="17"/>
        <v>5493.2315209980006</v>
      </c>
      <c r="G12" s="11">
        <f t="shared" si="3"/>
        <v>5034.7618150360895</v>
      </c>
      <c r="H12" s="11">
        <f t="shared" si="4"/>
        <v>5202.5872088706265</v>
      </c>
      <c r="I12" s="11">
        <f t="shared" si="5"/>
        <v>5034.7618150360895</v>
      </c>
      <c r="J12" s="11">
        <f t="shared" si="6"/>
        <v>5202.5872088706265</v>
      </c>
      <c r="K12" s="11">
        <f t="shared" si="7"/>
        <v>5202.5872088706265</v>
      </c>
      <c r="L12" s="11">
        <f t="shared" si="8"/>
        <v>5034.7618150360895</v>
      </c>
      <c r="M12" s="11">
        <f t="shared" si="9"/>
        <v>5202.5872088706265</v>
      </c>
      <c r="N12" s="11">
        <f t="shared" si="10"/>
        <v>5034.7618150360895</v>
      </c>
      <c r="O12" s="11">
        <f t="shared" si="11"/>
        <v>5202.5872088706265</v>
      </c>
      <c r="P12" s="11">
        <f t="shared" si="12"/>
        <v>5202.5872088706265</v>
      </c>
      <c r="Q12" s="11">
        <f t="shared" si="13"/>
        <v>4866.9364212015535</v>
      </c>
      <c r="R12" s="11">
        <f t="shared" si="14"/>
        <v>2517.3809075180448</v>
      </c>
      <c r="V12" s="69"/>
      <c r="W12" s="69"/>
    </row>
    <row r="13" spans="1:23" x14ac:dyDescent="0.25">
      <c r="A13" s="9">
        <f>IF(Lease!$H$4="Monthly",DATE(YEAR(Yearly!A12),MONTH(Yearly!A12)+1,DAY(Yearly!A12)),IF(Lease!$H$4="Quarterly",DATE(YEAR(Yearly!A12),MONTH(Yearly!A12)+3,DAY(Yearly!A12)),DATE(YEAR(Yearly!A12)+1,MONTH(Yearly!A12),DAY(Yearly!A12))))</f>
        <v>45366</v>
      </c>
      <c r="B13" s="9">
        <f t="shared" si="2"/>
        <v>45352</v>
      </c>
      <c r="C13" s="9">
        <f t="shared" si="15"/>
        <v>45382</v>
      </c>
      <c r="D13" s="3">
        <f t="shared" si="16"/>
        <v>31</v>
      </c>
      <c r="E13" s="4">
        <f>Lease!K23</f>
        <v>61591.919537274836</v>
      </c>
      <c r="F13" s="3">
        <f t="shared" si="17"/>
        <v>5212.137092600984</v>
      </c>
      <c r="G13" s="11">
        <f t="shared" si="3"/>
        <v>4755.4520913228343</v>
      </c>
      <c r="H13" s="11">
        <f t="shared" si="4"/>
        <v>4913.9671610335954</v>
      </c>
      <c r="I13" s="11">
        <f t="shared" si="5"/>
        <v>4755.4520913228343</v>
      </c>
      <c r="J13" s="11">
        <f t="shared" si="6"/>
        <v>4913.9671610335954</v>
      </c>
      <c r="K13" s="11">
        <f t="shared" si="7"/>
        <v>4913.9671610335954</v>
      </c>
      <c r="L13" s="11">
        <f t="shared" si="8"/>
        <v>4755.4520913228343</v>
      </c>
      <c r="M13" s="11">
        <f t="shared" si="9"/>
        <v>4913.9671610335954</v>
      </c>
      <c r="N13" s="11">
        <f t="shared" si="10"/>
        <v>4755.4520913228343</v>
      </c>
      <c r="O13" s="11">
        <f t="shared" si="11"/>
        <v>4913.9671610335954</v>
      </c>
      <c r="P13" s="11">
        <f t="shared" si="12"/>
        <v>4913.9671610335954</v>
      </c>
      <c r="Q13" s="11">
        <f t="shared" si="13"/>
        <v>4438.4219519013122</v>
      </c>
      <c r="R13" s="11">
        <f t="shared" si="14"/>
        <v>2377.7260456614172</v>
      </c>
    </row>
    <row r="14" spans="1:23" x14ac:dyDescent="0.25">
      <c r="A14" s="9">
        <f>IF(Lease!$H$4="Monthly",DATE(YEAR(Yearly!A13),MONTH(Yearly!A13)+1,DAY(Yearly!A13)),IF(Lease!$H$4="Quarterly",DATE(YEAR(Yearly!A13),MONTH(Yearly!A13)+3,DAY(Yearly!A13)),DATE(YEAR(Yearly!A13)+1,MONTH(Yearly!A13),DAY(Yearly!A13))))</f>
        <v>45731</v>
      </c>
      <c r="B14" s="9">
        <f t="shared" si="2"/>
        <v>45717</v>
      </c>
      <c r="C14" s="9">
        <f t="shared" si="15"/>
        <v>45747</v>
      </c>
      <c r="D14" s="3">
        <f t="shared" si="16"/>
        <v>31</v>
      </c>
      <c r="E14" s="4">
        <f>Lease!K24</f>
        <v>58016.515514138577</v>
      </c>
      <c r="F14" s="3">
        <f t="shared" si="17"/>
        <v>4898.1080181405796</v>
      </c>
      <c r="G14" s="11">
        <f t="shared" si="3"/>
        <v>4447.7328926102873</v>
      </c>
      <c r="H14" s="11">
        <f t="shared" si="4"/>
        <v>4595.9906556972974</v>
      </c>
      <c r="I14" s="11">
        <f t="shared" si="5"/>
        <v>4447.7328926102873</v>
      </c>
      <c r="J14" s="11">
        <f t="shared" si="6"/>
        <v>4595.9906556972974</v>
      </c>
      <c r="K14" s="11">
        <f t="shared" si="7"/>
        <v>4595.9906556972974</v>
      </c>
      <c r="L14" s="11">
        <f t="shared" si="8"/>
        <v>4447.7328926102873</v>
      </c>
      <c r="M14" s="11">
        <f t="shared" si="9"/>
        <v>4595.9906556972974</v>
      </c>
      <c r="N14" s="11">
        <f t="shared" si="10"/>
        <v>4447.7328926102873</v>
      </c>
      <c r="O14" s="11">
        <f t="shared" si="11"/>
        <v>4595.9906556972974</v>
      </c>
      <c r="P14" s="11">
        <f t="shared" si="12"/>
        <v>4595.9906556972974</v>
      </c>
      <c r="Q14" s="11">
        <f t="shared" si="13"/>
        <v>4151.2173664362681</v>
      </c>
      <c r="R14" s="11">
        <f t="shared" si="14"/>
        <v>2223.8664463051437</v>
      </c>
    </row>
    <row r="15" spans="1:23" x14ac:dyDescent="0.25">
      <c r="A15" s="9">
        <f>IF(Lease!$H$4="Monthly",DATE(YEAR(Yearly!A14),MONTH(Yearly!A14)+1,DAY(Yearly!A14)),IF(Lease!$H$4="Quarterly",DATE(YEAR(Yearly!A14),MONTH(Yearly!A14)+3,DAY(Yearly!A14)),DATE(YEAR(Yearly!A14)+1,MONTH(Yearly!A14),DAY(Yearly!A14))))</f>
        <v>46096</v>
      </c>
      <c r="B15" s="9">
        <f t="shared" si="2"/>
        <v>46082</v>
      </c>
      <c r="C15" s="9">
        <f t="shared" si="15"/>
        <v>46112</v>
      </c>
      <c r="D15" s="3">
        <f t="shared" si="16"/>
        <v>31</v>
      </c>
      <c r="E15" s="4">
        <f>Lease!K25</f>
        <v>54262.341289845506</v>
      </c>
      <c r="F15" s="3">
        <f t="shared" si="17"/>
        <v>4530.2442933645489</v>
      </c>
      <c r="G15" s="11">
        <f t="shared" si="3"/>
        <v>4070.0785536342446</v>
      </c>
      <c r="H15" s="11">
        <f t="shared" si="4"/>
        <v>4205.7478387553856</v>
      </c>
      <c r="I15" s="11">
        <f t="shared" si="5"/>
        <v>4070.0785536342446</v>
      </c>
      <c r="J15" s="11">
        <f t="shared" si="6"/>
        <v>4205.7478387553856</v>
      </c>
      <c r="K15" s="11">
        <f t="shared" si="7"/>
        <v>4205.7478387553856</v>
      </c>
      <c r="L15" s="11">
        <f t="shared" si="8"/>
        <v>4070.0785536342446</v>
      </c>
      <c r="M15" s="11">
        <f t="shared" si="9"/>
        <v>4205.7478387553856</v>
      </c>
      <c r="N15" s="11">
        <f t="shared" si="10"/>
        <v>4070.0785536342446</v>
      </c>
      <c r="O15" s="11">
        <f t="shared" si="11"/>
        <v>4205.7478387553856</v>
      </c>
      <c r="P15" s="11">
        <f t="shared" si="12"/>
        <v>4205.7478387553856</v>
      </c>
      <c r="Q15" s="11">
        <f t="shared" si="13"/>
        <v>3798.7399833919617</v>
      </c>
      <c r="R15" s="11">
        <f t="shared" si="14"/>
        <v>2035.0392768171223</v>
      </c>
    </row>
    <row r="16" spans="1:23" x14ac:dyDescent="0.25">
      <c r="A16" s="9">
        <f>IF(Lease!$H$4="Monthly",DATE(YEAR(Yearly!A15),MONTH(Yearly!A15)+1,DAY(Yearly!A15)),IF(Lease!$H$4="Quarterly",DATE(YEAR(Yearly!A15),MONTH(Yearly!A15)+3,DAY(Yearly!A15)),DATE(YEAR(Yearly!A15)+1,MONTH(Yearly!A15),DAY(Yearly!A15))))</f>
        <v>46461</v>
      </c>
      <c r="B16" s="9">
        <f t="shared" si="2"/>
        <v>46447</v>
      </c>
      <c r="C16" s="9">
        <f t="shared" si="15"/>
        <v>46477</v>
      </c>
      <c r="D16" s="3">
        <f t="shared" si="16"/>
        <v>31</v>
      </c>
      <c r="E16" s="4">
        <f>Lease!K26</f>
        <v>49654.958354337781</v>
      </c>
      <c r="F16" s="3">
        <f t="shared" si="17"/>
        <v>4111.0406572665215</v>
      </c>
      <c r="G16" s="11">
        <f t="shared" si="3"/>
        <v>3663.5318478518807</v>
      </c>
      <c r="H16" s="11">
        <f t="shared" si="4"/>
        <v>3785.6495761136098</v>
      </c>
      <c r="I16" s="11">
        <f t="shared" si="5"/>
        <v>3663.5318478518807</v>
      </c>
      <c r="J16" s="11">
        <f t="shared" si="6"/>
        <v>3785.6495761136098</v>
      </c>
      <c r="K16" s="11">
        <f t="shared" si="7"/>
        <v>3785.6495761136098</v>
      </c>
      <c r="L16" s="11">
        <f t="shared" si="8"/>
        <v>3663.5318478518807</v>
      </c>
      <c r="M16" s="11">
        <f t="shared" si="9"/>
        <v>3785.6495761136098</v>
      </c>
      <c r="N16" s="11">
        <f t="shared" si="10"/>
        <v>3663.5318478518807</v>
      </c>
      <c r="O16" s="11">
        <f t="shared" si="11"/>
        <v>3785.6495761136098</v>
      </c>
      <c r="P16" s="11">
        <f t="shared" si="12"/>
        <v>3785.6495761136098</v>
      </c>
      <c r="Q16" s="11">
        <f t="shared" si="13"/>
        <v>3541.4141195901511</v>
      </c>
      <c r="R16" s="11">
        <f t="shared" si="14"/>
        <v>1831.7659239259403</v>
      </c>
    </row>
    <row r="17" spans="1:18" x14ac:dyDescent="0.25">
      <c r="A17" s="9">
        <f>IF(Lease!$H$4="Monthly",DATE(YEAR(Yearly!A16),MONTH(Yearly!A16)+1,DAY(Yearly!A16)),IF(Lease!$H$4="Quarterly",DATE(YEAR(Yearly!A16),MONTH(Yearly!A16)+3,DAY(Yearly!A16)),DATE(YEAR(Yearly!A16)+1,MONTH(Yearly!A16),DAY(Yearly!A16))))</f>
        <v>46827</v>
      </c>
      <c r="B17" s="9">
        <f t="shared" si="2"/>
        <v>46813</v>
      </c>
      <c r="C17" s="9">
        <f t="shared" si="15"/>
        <v>46843</v>
      </c>
      <c r="D17" s="3">
        <f t="shared" si="16"/>
        <v>31</v>
      </c>
      <c r="E17" s="4">
        <f>Lease!K27</f>
        <v>44817.206272054675</v>
      </c>
      <c r="F17" s="3">
        <f t="shared" si="17"/>
        <v>3643.4975686149455</v>
      </c>
      <c r="G17" s="11">
        <f t="shared" si="3"/>
        <v>3197.1734906276565</v>
      </c>
      <c r="H17" s="11">
        <f t="shared" si="4"/>
        <v>3303.7459403152448</v>
      </c>
      <c r="I17" s="11">
        <f t="shared" si="5"/>
        <v>3197.1734906276565</v>
      </c>
      <c r="J17" s="11">
        <f t="shared" si="6"/>
        <v>3303.7459403152448</v>
      </c>
      <c r="K17" s="11">
        <f t="shared" si="7"/>
        <v>3303.7459403152448</v>
      </c>
      <c r="L17" s="11">
        <f t="shared" si="8"/>
        <v>3197.1734906276565</v>
      </c>
      <c r="M17" s="11">
        <f t="shared" si="9"/>
        <v>3303.7459403152448</v>
      </c>
      <c r="N17" s="11">
        <f t="shared" si="10"/>
        <v>3197.1734906276565</v>
      </c>
      <c r="O17" s="11">
        <f t="shared" si="11"/>
        <v>3303.7459403152448</v>
      </c>
      <c r="P17" s="11">
        <f t="shared" si="12"/>
        <v>3303.7459403152448</v>
      </c>
      <c r="Q17" s="11">
        <f t="shared" si="13"/>
        <v>2984.0285912524791</v>
      </c>
      <c r="R17" s="11">
        <f t="shared" si="14"/>
        <v>1598.5867453138283</v>
      </c>
    </row>
    <row r="18" spans="1:18" x14ac:dyDescent="0.25">
      <c r="A18" s="9">
        <f>IF(Lease!$H$4="Monthly",DATE(YEAR(Yearly!A17),MONTH(Yearly!A17)+1,DAY(Yearly!A17)),IF(Lease!$H$4="Quarterly",DATE(YEAR(Yearly!A17),MONTH(Yearly!A17)+3,DAY(Yearly!A17)),DATE(YEAR(Yearly!A17)+1,MONTH(Yearly!A17),DAY(Yearly!A17))))</f>
        <v>47192</v>
      </c>
      <c r="B18" s="9">
        <f t="shared" si="2"/>
        <v>47178</v>
      </c>
      <c r="C18" s="9">
        <f t="shared" si="15"/>
        <v>47208</v>
      </c>
      <c r="D18" s="3">
        <f t="shared" si="16"/>
        <v>31</v>
      </c>
      <c r="E18" s="4">
        <f>Lease!K28</f>
        <v>39005.516585657409</v>
      </c>
      <c r="F18" s="3">
        <f t="shared" si="17"/>
        <v>3126.8794257891968</v>
      </c>
      <c r="G18" s="11">
        <f t="shared" si="3"/>
        <v>2696.9870831918261</v>
      </c>
      <c r="H18" s="11">
        <f t="shared" si="4"/>
        <v>2786.8866526315537</v>
      </c>
      <c r="I18" s="11">
        <f t="shared" si="5"/>
        <v>2696.9870831918261</v>
      </c>
      <c r="J18" s="11">
        <f t="shared" si="6"/>
        <v>2786.8866526315537</v>
      </c>
      <c r="K18" s="11">
        <f t="shared" si="7"/>
        <v>2786.8866526315537</v>
      </c>
      <c r="L18" s="11">
        <f t="shared" si="8"/>
        <v>2696.9870831918261</v>
      </c>
      <c r="M18" s="11">
        <f t="shared" si="9"/>
        <v>2786.8866526315537</v>
      </c>
      <c r="N18" s="11">
        <f t="shared" si="10"/>
        <v>2696.9870831918261</v>
      </c>
      <c r="O18" s="11">
        <f t="shared" si="11"/>
        <v>2786.8866526315537</v>
      </c>
      <c r="P18" s="11">
        <f t="shared" si="12"/>
        <v>2786.8866526315537</v>
      </c>
      <c r="Q18" s="11">
        <f t="shared" si="13"/>
        <v>2517.1879443123712</v>
      </c>
      <c r="R18" s="11">
        <f t="shared" si="14"/>
        <v>1348.493541595913</v>
      </c>
    </row>
    <row r="19" spans="1:18" x14ac:dyDescent="0.25">
      <c r="A19" s="9">
        <f>IF(Lease!$H$4="Monthly",DATE(YEAR(Yearly!A18),MONTH(Yearly!A18)+1,DAY(Yearly!A18)),IF(Lease!$H$4="Quarterly",DATE(YEAR(Yearly!A18),MONTH(Yearly!A18)+3,DAY(Yearly!A18)),DATE(YEAR(Yearly!A18)+1,MONTH(Yearly!A18),DAY(Yearly!A18))))</f>
        <v>47557</v>
      </c>
      <c r="B19" s="9">
        <f t="shared" si="2"/>
        <v>47543</v>
      </c>
      <c r="C19" s="9">
        <f t="shared" si="15"/>
        <v>47573</v>
      </c>
      <c r="D19" s="3">
        <f t="shared" si="16"/>
        <v>31</v>
      </c>
      <c r="E19" s="4">
        <f>Lease!K29</f>
        <v>32903.24241494028</v>
      </c>
      <c r="F19" s="3">
        <f t="shared" si="17"/>
        <v>2541.7727550021532</v>
      </c>
      <c r="G19" s="11">
        <f t="shared" si="3"/>
        <v>2105.7868471874826</v>
      </c>
      <c r="H19" s="11">
        <f t="shared" si="4"/>
        <v>2175.9797420937321</v>
      </c>
      <c r="I19" s="11">
        <f t="shared" si="5"/>
        <v>2105.7868471874826</v>
      </c>
      <c r="J19" s="11">
        <f t="shared" si="6"/>
        <v>2175.9797420937321</v>
      </c>
      <c r="K19" s="11">
        <f t="shared" si="7"/>
        <v>2175.9797420937321</v>
      </c>
      <c r="L19" s="11">
        <f t="shared" si="8"/>
        <v>2105.7868471874826</v>
      </c>
      <c r="M19" s="11">
        <f t="shared" si="9"/>
        <v>2175.9797420937321</v>
      </c>
      <c r="N19" s="11">
        <f t="shared" si="10"/>
        <v>2105.7868471874826</v>
      </c>
      <c r="O19" s="11">
        <f t="shared" si="11"/>
        <v>2175.9797420937321</v>
      </c>
      <c r="P19" s="11">
        <f t="shared" si="12"/>
        <v>2175.9797420937321</v>
      </c>
      <c r="Q19" s="11">
        <f t="shared" si="13"/>
        <v>1965.4010573749838</v>
      </c>
      <c r="R19" s="11">
        <f t="shared" si="14"/>
        <v>1052.8934235937413</v>
      </c>
    </row>
    <row r="20" spans="1:18" x14ac:dyDescent="0.25">
      <c r="A20" s="9">
        <f>IF(Lease!$H$4="Monthly",DATE(YEAR(Yearly!A19),MONTH(Yearly!A19)+1,DAY(Yearly!A19)),IF(Lease!$H$4="Quarterly",DATE(YEAR(Yearly!A19),MONTH(Yearly!A19)+3,DAY(Yearly!A19)),DATE(YEAR(Yearly!A19)+1,MONTH(Yearly!A19),DAY(Yearly!A19))))</f>
        <v>47922</v>
      </c>
      <c r="B20" s="9">
        <f t="shared" si="2"/>
        <v>47908</v>
      </c>
      <c r="C20" s="9">
        <f t="shared" si="15"/>
        <v>47938</v>
      </c>
      <c r="D20" s="3">
        <f t="shared" si="16"/>
        <v>31</v>
      </c>
      <c r="E20" s="4">
        <f>Lease!K30</f>
        <v>25690.599535687288</v>
      </c>
      <c r="F20" s="3">
        <f t="shared" si="17"/>
        <v>1892.1155399752615</v>
      </c>
      <c r="G20" s="11">
        <f t="shared" si="3"/>
        <v>1480.9802053791534</v>
      </c>
      <c r="H20" s="11">
        <f t="shared" si="4"/>
        <v>1530.3462122251253</v>
      </c>
      <c r="I20" s="11">
        <f t="shared" si="5"/>
        <v>1480.9802053791534</v>
      </c>
      <c r="J20" s="11">
        <f t="shared" si="6"/>
        <v>1530.3462122251253</v>
      </c>
      <c r="K20" s="11">
        <f t="shared" si="7"/>
        <v>1530.3462122251253</v>
      </c>
      <c r="L20" s="11">
        <f t="shared" si="8"/>
        <v>1480.9802053791534</v>
      </c>
      <c r="M20" s="11">
        <f t="shared" si="9"/>
        <v>1530.3462122251253</v>
      </c>
      <c r="N20" s="11">
        <f t="shared" si="10"/>
        <v>1480.9802053791534</v>
      </c>
      <c r="O20" s="11">
        <f t="shared" si="11"/>
        <v>1530.3462122251253</v>
      </c>
      <c r="P20" s="11">
        <f t="shared" si="12"/>
        <v>1530.3462122251253</v>
      </c>
      <c r="Q20" s="11">
        <f t="shared" si="13"/>
        <v>1431.6141985331817</v>
      </c>
      <c r="R20" s="11">
        <f t="shared" si="14"/>
        <v>740.4901026895767</v>
      </c>
    </row>
    <row r="21" spans="1:18" x14ac:dyDescent="0.25">
      <c r="A21" s="9">
        <f>IF(Lease!$H$4="Monthly",DATE(YEAR(Yearly!A20),MONTH(Yearly!A20)+1,DAY(Yearly!A20)),IF(Lease!$H$4="Quarterly",DATE(YEAR(Yearly!A20),MONTH(Yearly!A20)+3,DAY(Yearly!A20)),DATE(YEAR(Yearly!A20)+1,MONTH(Yearly!A20),DAY(Yearly!A20))))</f>
        <v>48288</v>
      </c>
      <c r="B21" s="9">
        <f t="shared" si="2"/>
        <v>48274</v>
      </c>
      <c r="C21" s="9">
        <f t="shared" si="15"/>
        <v>48304</v>
      </c>
      <c r="D21" s="3">
        <f t="shared" si="16"/>
        <v>31</v>
      </c>
      <c r="E21" s="4">
        <f>Lease!K31</f>
        <v>18117.324512471645</v>
      </c>
      <c r="F21" s="3">
        <f t="shared" si="17"/>
        <v>1171.510018120229</v>
      </c>
      <c r="G21" s="11">
        <f t="shared" si="3"/>
        <v>760.62338017173931</v>
      </c>
      <c r="H21" s="11">
        <f t="shared" si="4"/>
        <v>785.97749284413055</v>
      </c>
      <c r="I21" s="11">
        <f t="shared" si="5"/>
        <v>760.62338017173931</v>
      </c>
      <c r="J21" s="11">
        <f t="shared" si="6"/>
        <v>785.97749284413055</v>
      </c>
      <c r="K21" s="11">
        <f t="shared" si="7"/>
        <v>785.97749284413055</v>
      </c>
      <c r="L21" s="11">
        <f t="shared" si="8"/>
        <v>760.62338017173931</v>
      </c>
      <c r="M21" s="11">
        <f t="shared" si="9"/>
        <v>785.97749284413055</v>
      </c>
      <c r="N21" s="11">
        <f t="shared" si="10"/>
        <v>760.62338017173931</v>
      </c>
      <c r="O21" s="11">
        <f t="shared" si="11"/>
        <v>785.97749284413055</v>
      </c>
      <c r="P21" s="11">
        <f t="shared" si="12"/>
        <v>785.97749284413055</v>
      </c>
      <c r="Q21" s="11">
        <f t="shared" si="13"/>
        <v>709.91515482695672</v>
      </c>
      <c r="R21" s="11">
        <f t="shared" si="14"/>
        <v>380.31169008586966</v>
      </c>
    </row>
    <row r="22" spans="1:18" x14ac:dyDescent="0.25">
      <c r="A22" s="9">
        <f>IF(Lease!$H$4="Monthly",DATE(YEAR(Yearly!A21),MONTH(Yearly!A21)+1,DAY(Yearly!A21)),IF(Lease!$H$4="Quarterly",DATE(YEAR(Yearly!A21),MONTH(Yearly!A21)+3,DAY(Yearly!A21)),DATE(YEAR(Yearly!A21)+1,MONTH(Yearly!A21),DAY(Yearly!A21))))</f>
        <v>48653</v>
      </c>
      <c r="B22" s="9">
        <f t="shared" si="2"/>
        <v>48639</v>
      </c>
      <c r="C22" s="9">
        <f t="shared" si="15"/>
        <v>48669</v>
      </c>
      <c r="D22" s="3">
        <f t="shared" si="16"/>
        <v>31</v>
      </c>
      <c r="E22" s="4">
        <f>Lease!K32</f>
        <v>9279.6052380952187</v>
      </c>
      <c r="F22" s="3">
        <f t="shared" si="17"/>
        <v>380.31169008586966</v>
      </c>
      <c r="G22" s="11">
        <f t="shared" si="3"/>
        <v>0</v>
      </c>
      <c r="H22" s="11">
        <f t="shared" si="4"/>
        <v>0</v>
      </c>
      <c r="I22" s="11">
        <f t="shared" si="5"/>
        <v>0</v>
      </c>
      <c r="J22" s="11">
        <f t="shared" si="6"/>
        <v>0</v>
      </c>
      <c r="K22" s="11">
        <f t="shared" si="7"/>
        <v>0</v>
      </c>
      <c r="L22" s="11">
        <f t="shared" si="8"/>
        <v>0</v>
      </c>
      <c r="M22" s="11">
        <f t="shared" si="9"/>
        <v>0</v>
      </c>
      <c r="N22" s="11">
        <f t="shared" si="10"/>
        <v>0</v>
      </c>
      <c r="O22" s="11">
        <f t="shared" si="11"/>
        <v>0</v>
      </c>
      <c r="P22" s="11">
        <f t="shared" si="12"/>
        <v>0</v>
      </c>
      <c r="Q22" s="11">
        <f t="shared" si="13"/>
        <v>0</v>
      </c>
      <c r="R22" s="11">
        <f t="shared" si="14"/>
        <v>0</v>
      </c>
    </row>
    <row r="23" spans="1:18" x14ac:dyDescent="0.25">
      <c r="A23" s="9">
        <f>IF(Lease!$H$4="Monthly",DATE(YEAR(Yearly!A22),MONTH(Yearly!A22)+1,DAY(Yearly!A22)),IF(Lease!$H$4="Quarterly",DATE(YEAR(Yearly!A22),MONTH(Yearly!A22)+3,DAY(Yearly!A22)),DATE(YEAR(Yearly!A22)+1,MONTH(Yearly!A22),DAY(Yearly!A22))))</f>
        <v>49018</v>
      </c>
      <c r="B23" s="9">
        <f t="shared" si="2"/>
        <v>49004</v>
      </c>
      <c r="C23" s="9">
        <f t="shared" si="15"/>
        <v>49034</v>
      </c>
      <c r="D23" s="3">
        <f t="shared" si="16"/>
        <v>31</v>
      </c>
      <c r="E23" s="4">
        <f>Lease!K33</f>
        <v>0</v>
      </c>
      <c r="F23" s="3">
        <f t="shared" si="17"/>
        <v>0</v>
      </c>
      <c r="G23" s="11">
        <f t="shared" si="3"/>
        <v>0</v>
      </c>
      <c r="H23" s="11">
        <f t="shared" si="4"/>
        <v>0</v>
      </c>
      <c r="I23" s="11">
        <f t="shared" si="5"/>
        <v>0</v>
      </c>
      <c r="J23" s="11">
        <f t="shared" si="6"/>
        <v>0</v>
      </c>
      <c r="K23" s="11">
        <f t="shared" si="7"/>
        <v>0</v>
      </c>
      <c r="L23" s="11">
        <f t="shared" si="8"/>
        <v>0</v>
      </c>
      <c r="M23" s="11">
        <f t="shared" si="9"/>
        <v>0</v>
      </c>
      <c r="N23" s="11">
        <f t="shared" si="10"/>
        <v>0</v>
      </c>
      <c r="O23" s="11">
        <f t="shared" si="11"/>
        <v>0</v>
      </c>
      <c r="P23" s="11">
        <f t="shared" si="12"/>
        <v>0</v>
      </c>
      <c r="Q23" s="11">
        <f t="shared" si="13"/>
        <v>0</v>
      </c>
      <c r="R23" s="11">
        <f t="shared" si="14"/>
        <v>0</v>
      </c>
    </row>
    <row r="24" spans="1:18" x14ac:dyDescent="0.25">
      <c r="A24" s="9">
        <f>IF(Lease!$H$4="Monthly",DATE(YEAR(Yearly!A23),MONTH(Yearly!A23)+1,DAY(Yearly!A23)),IF(Lease!$H$4="Quarterly",DATE(YEAR(Yearly!A23),MONTH(Yearly!A23)+3,DAY(Yearly!A23)),DATE(YEAR(Yearly!A23)+1,MONTH(Yearly!A23),DAY(Yearly!A23))))</f>
        <v>49383</v>
      </c>
      <c r="B24" s="9">
        <f t="shared" si="2"/>
        <v>49369</v>
      </c>
      <c r="C24" s="9">
        <f t="shared" si="15"/>
        <v>49399</v>
      </c>
      <c r="D24" s="3">
        <f t="shared" si="16"/>
        <v>31</v>
      </c>
      <c r="E24" s="4">
        <f>Lease!K34</f>
        <v>0</v>
      </c>
      <c r="F24" s="3">
        <f t="shared" si="17"/>
        <v>0</v>
      </c>
      <c r="G24" s="11">
        <f t="shared" si="3"/>
        <v>0</v>
      </c>
      <c r="H24" s="11">
        <f t="shared" si="4"/>
        <v>0</v>
      </c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 t="shared" si="8"/>
        <v>0</v>
      </c>
      <c r="M24" s="11">
        <f t="shared" si="9"/>
        <v>0</v>
      </c>
      <c r="N24" s="11">
        <f t="shared" si="10"/>
        <v>0</v>
      </c>
      <c r="O24" s="11">
        <f t="shared" si="11"/>
        <v>0</v>
      </c>
      <c r="P24" s="11">
        <f t="shared" si="12"/>
        <v>0</v>
      </c>
      <c r="Q24" s="11">
        <f t="shared" si="13"/>
        <v>0</v>
      </c>
      <c r="R24" s="11">
        <f t="shared" si="14"/>
        <v>0</v>
      </c>
    </row>
    <row r="25" spans="1:18" x14ac:dyDescent="0.25">
      <c r="A25" s="9">
        <f>IF(Lease!$H$4="Monthly",DATE(YEAR(Yearly!A24),MONTH(Yearly!A24)+1,DAY(Yearly!A24)),IF(Lease!$H$4="Quarterly",DATE(YEAR(Yearly!A24),MONTH(Yearly!A24)+3,DAY(Yearly!A24)),DATE(YEAR(Yearly!A24)+1,MONTH(Yearly!A24),DAY(Yearly!A24))))</f>
        <v>49749</v>
      </c>
      <c r="B25" s="9">
        <f t="shared" si="2"/>
        <v>49735</v>
      </c>
      <c r="C25" s="9">
        <f t="shared" si="15"/>
        <v>49765</v>
      </c>
      <c r="D25" s="3">
        <f t="shared" si="16"/>
        <v>31</v>
      </c>
      <c r="E25" s="4">
        <f>Lease!K35</f>
        <v>0</v>
      </c>
      <c r="F25" s="3">
        <f t="shared" si="17"/>
        <v>0</v>
      </c>
      <c r="G25" s="11">
        <f t="shared" si="3"/>
        <v>0</v>
      </c>
      <c r="H25" s="11">
        <f t="shared" si="4"/>
        <v>0</v>
      </c>
      <c r="I25" s="11">
        <f t="shared" si="5"/>
        <v>0</v>
      </c>
      <c r="J25" s="11">
        <f t="shared" si="6"/>
        <v>0</v>
      </c>
      <c r="K25" s="11">
        <f t="shared" si="7"/>
        <v>0</v>
      </c>
      <c r="L25" s="11">
        <f t="shared" si="8"/>
        <v>0</v>
      </c>
      <c r="M25" s="11">
        <f t="shared" si="9"/>
        <v>0</v>
      </c>
      <c r="N25" s="11">
        <f t="shared" si="10"/>
        <v>0</v>
      </c>
      <c r="O25" s="11">
        <f t="shared" si="11"/>
        <v>0</v>
      </c>
      <c r="P25" s="11">
        <f t="shared" si="12"/>
        <v>0</v>
      </c>
      <c r="Q25" s="11">
        <f t="shared" si="13"/>
        <v>0</v>
      </c>
      <c r="R25" s="11">
        <f t="shared" si="14"/>
        <v>0</v>
      </c>
    </row>
    <row r="26" spans="1:18" x14ac:dyDescent="0.25">
      <c r="A26" s="9">
        <f>IF(Lease!$H$4="Monthly",DATE(YEAR(Yearly!A25),MONTH(Yearly!A25)+1,DAY(Yearly!A25)),IF(Lease!$H$4="Quarterly",DATE(YEAR(Yearly!A25),MONTH(Yearly!A25)+3,DAY(Yearly!A25)),DATE(YEAR(Yearly!A25)+1,MONTH(Yearly!A25),DAY(Yearly!A25))))</f>
        <v>50114</v>
      </c>
      <c r="B26" s="9">
        <f t="shared" si="2"/>
        <v>50100</v>
      </c>
      <c r="C26" s="9">
        <f t="shared" si="15"/>
        <v>50130</v>
      </c>
      <c r="D26" s="3">
        <f t="shared" si="16"/>
        <v>31</v>
      </c>
      <c r="E26" s="4">
        <f>Lease!K36</f>
        <v>0</v>
      </c>
      <c r="F26" s="3">
        <f t="shared" si="17"/>
        <v>0</v>
      </c>
      <c r="G26" s="11">
        <f t="shared" si="3"/>
        <v>0</v>
      </c>
      <c r="H26" s="11">
        <f t="shared" si="4"/>
        <v>0</v>
      </c>
      <c r="I26" s="11">
        <f t="shared" si="5"/>
        <v>0</v>
      </c>
      <c r="J26" s="11">
        <f t="shared" si="6"/>
        <v>0</v>
      </c>
      <c r="K26" s="11">
        <f t="shared" si="7"/>
        <v>0</v>
      </c>
      <c r="L26" s="11">
        <f t="shared" si="8"/>
        <v>0</v>
      </c>
      <c r="M26" s="11">
        <f t="shared" si="9"/>
        <v>0</v>
      </c>
      <c r="N26" s="11">
        <f t="shared" si="10"/>
        <v>0</v>
      </c>
      <c r="O26" s="11">
        <f t="shared" si="11"/>
        <v>0</v>
      </c>
      <c r="P26" s="11">
        <f t="shared" si="12"/>
        <v>0</v>
      </c>
      <c r="Q26" s="11">
        <f t="shared" si="13"/>
        <v>0</v>
      </c>
      <c r="R26" s="11">
        <f t="shared" si="14"/>
        <v>0</v>
      </c>
    </row>
    <row r="27" spans="1:18" x14ac:dyDescent="0.25">
      <c r="A27" s="9">
        <f>IF(Lease!$H$4="Monthly",DATE(YEAR(Yearly!A26),MONTH(Yearly!A26)+1,DAY(Yearly!A26)),IF(Lease!$H$4="Quarterly",DATE(YEAR(Yearly!A26),MONTH(Yearly!A26)+3,DAY(Yearly!A26)),DATE(YEAR(Yearly!A26)+1,MONTH(Yearly!A26),DAY(Yearly!A26))))</f>
        <v>50479</v>
      </c>
      <c r="B27" s="9">
        <f t="shared" si="2"/>
        <v>50465</v>
      </c>
      <c r="C27" s="9">
        <f t="shared" si="15"/>
        <v>50495</v>
      </c>
      <c r="D27" s="3">
        <f t="shared" si="16"/>
        <v>31</v>
      </c>
      <c r="E27" s="4">
        <f>Lease!K37</f>
        <v>0</v>
      </c>
      <c r="F27" s="3">
        <f t="shared" si="17"/>
        <v>0</v>
      </c>
      <c r="G27" s="11">
        <f t="shared" si="3"/>
        <v>0</v>
      </c>
      <c r="H27" s="11">
        <f t="shared" si="4"/>
        <v>0</v>
      </c>
      <c r="I27" s="11">
        <f t="shared" si="5"/>
        <v>0</v>
      </c>
      <c r="J27" s="11">
        <f t="shared" si="6"/>
        <v>0</v>
      </c>
      <c r="K27" s="11">
        <f t="shared" si="7"/>
        <v>0</v>
      </c>
      <c r="L27" s="11">
        <f t="shared" si="8"/>
        <v>0</v>
      </c>
      <c r="M27" s="11">
        <f t="shared" si="9"/>
        <v>0</v>
      </c>
      <c r="N27" s="11">
        <f t="shared" si="10"/>
        <v>0</v>
      </c>
      <c r="O27" s="11">
        <f t="shared" si="11"/>
        <v>0</v>
      </c>
      <c r="P27" s="11">
        <f t="shared" si="12"/>
        <v>0</v>
      </c>
      <c r="Q27" s="11">
        <f t="shared" si="13"/>
        <v>0</v>
      </c>
      <c r="R27" s="11">
        <f t="shared" si="14"/>
        <v>0</v>
      </c>
    </row>
    <row r="28" spans="1:18" x14ac:dyDescent="0.25">
      <c r="A28" s="9">
        <f>IF(Lease!$H$4="Monthly",DATE(YEAR(Yearly!A27),MONTH(Yearly!A27)+1,DAY(Yearly!A27)),IF(Lease!$H$4="Quarterly",DATE(YEAR(Yearly!A27),MONTH(Yearly!A27)+3,DAY(Yearly!A27)),DATE(YEAR(Yearly!A27)+1,MONTH(Yearly!A27),DAY(Yearly!A27))))</f>
        <v>50844</v>
      </c>
      <c r="B28" s="9">
        <f t="shared" si="2"/>
        <v>50830</v>
      </c>
      <c r="C28" s="9">
        <f t="shared" si="15"/>
        <v>50860</v>
      </c>
      <c r="D28" s="3">
        <f t="shared" si="16"/>
        <v>31</v>
      </c>
      <c r="E28" s="4">
        <f>Lease!K38</f>
        <v>0</v>
      </c>
      <c r="F28" s="3">
        <f t="shared" si="17"/>
        <v>0</v>
      </c>
      <c r="G28" s="11">
        <f t="shared" si="3"/>
        <v>0</v>
      </c>
      <c r="H28" s="11">
        <f t="shared" si="4"/>
        <v>0</v>
      </c>
      <c r="I28" s="11">
        <f t="shared" si="5"/>
        <v>0</v>
      </c>
      <c r="J28" s="11">
        <f t="shared" si="6"/>
        <v>0</v>
      </c>
      <c r="K28" s="11">
        <f t="shared" si="7"/>
        <v>0</v>
      </c>
      <c r="L28" s="11">
        <f t="shared" si="8"/>
        <v>0</v>
      </c>
      <c r="M28" s="11">
        <f t="shared" si="9"/>
        <v>0</v>
      </c>
      <c r="N28" s="11">
        <f t="shared" si="10"/>
        <v>0</v>
      </c>
      <c r="O28" s="11">
        <f t="shared" si="11"/>
        <v>0</v>
      </c>
      <c r="P28" s="11">
        <f t="shared" si="12"/>
        <v>0</v>
      </c>
      <c r="Q28" s="11">
        <f t="shared" si="13"/>
        <v>0</v>
      </c>
      <c r="R28" s="11">
        <f t="shared" si="14"/>
        <v>0</v>
      </c>
    </row>
    <row r="29" spans="1:18" x14ac:dyDescent="0.25">
      <c r="A29" s="9">
        <f>IF(Lease!$H$4="Monthly",DATE(YEAR(Yearly!A28),MONTH(Yearly!A28)+1,DAY(Yearly!A28)),IF(Lease!$H$4="Quarterly",DATE(YEAR(Yearly!A28),MONTH(Yearly!A28)+3,DAY(Yearly!A28)),DATE(YEAR(Yearly!A28)+1,MONTH(Yearly!A28),DAY(Yearly!A28))))</f>
        <v>51210</v>
      </c>
      <c r="B29" s="9">
        <f t="shared" si="2"/>
        <v>51196</v>
      </c>
      <c r="C29" s="9">
        <f t="shared" si="15"/>
        <v>51226</v>
      </c>
      <c r="D29" s="3">
        <f t="shared" si="16"/>
        <v>31</v>
      </c>
      <c r="E29" s="4">
        <f>Lease!K39</f>
        <v>0</v>
      </c>
      <c r="F29" s="3">
        <f t="shared" si="17"/>
        <v>0</v>
      </c>
      <c r="G29" s="11">
        <f t="shared" si="3"/>
        <v>0</v>
      </c>
      <c r="H29" s="11">
        <f t="shared" si="4"/>
        <v>0</v>
      </c>
      <c r="I29" s="11">
        <f t="shared" si="5"/>
        <v>0</v>
      </c>
      <c r="J29" s="11">
        <f t="shared" si="6"/>
        <v>0</v>
      </c>
      <c r="K29" s="11">
        <f t="shared" si="7"/>
        <v>0</v>
      </c>
      <c r="L29" s="11">
        <f t="shared" si="8"/>
        <v>0</v>
      </c>
      <c r="M29" s="11">
        <f t="shared" si="9"/>
        <v>0</v>
      </c>
      <c r="N29" s="11">
        <f t="shared" si="10"/>
        <v>0</v>
      </c>
      <c r="O29" s="11">
        <f t="shared" si="11"/>
        <v>0</v>
      </c>
      <c r="P29" s="11">
        <f t="shared" si="12"/>
        <v>0</v>
      </c>
      <c r="Q29" s="11">
        <f t="shared" si="13"/>
        <v>0</v>
      </c>
      <c r="R29" s="11">
        <f t="shared" si="14"/>
        <v>0</v>
      </c>
    </row>
    <row r="30" spans="1:18" x14ac:dyDescent="0.25">
      <c r="A30" s="9">
        <f>IF(Lease!$H$4="Monthly",DATE(YEAR(Yearly!A29),MONTH(Yearly!A29)+1,DAY(Yearly!A29)),IF(Lease!$H$4="Quarterly",DATE(YEAR(Yearly!A29),MONTH(Yearly!A29)+3,DAY(Yearly!A29)),DATE(YEAR(Yearly!A29)+1,MONTH(Yearly!A29),DAY(Yearly!A29))))</f>
        <v>51575</v>
      </c>
      <c r="B30" s="9">
        <f t="shared" si="2"/>
        <v>51561</v>
      </c>
      <c r="C30" s="9">
        <f t="shared" si="15"/>
        <v>51591</v>
      </c>
      <c r="D30" s="3">
        <f t="shared" si="16"/>
        <v>31</v>
      </c>
      <c r="E30" s="4">
        <f>Lease!K40</f>
        <v>0</v>
      </c>
      <c r="F30" s="3">
        <f t="shared" si="17"/>
        <v>0</v>
      </c>
      <c r="G30" s="11">
        <f t="shared" si="3"/>
        <v>0</v>
      </c>
      <c r="H30" s="11">
        <f t="shared" si="4"/>
        <v>0</v>
      </c>
      <c r="I30" s="11">
        <f t="shared" si="5"/>
        <v>0</v>
      </c>
      <c r="J30" s="11">
        <f t="shared" si="6"/>
        <v>0</v>
      </c>
      <c r="K30" s="11">
        <f t="shared" si="7"/>
        <v>0</v>
      </c>
      <c r="L30" s="11">
        <f t="shared" si="8"/>
        <v>0</v>
      </c>
      <c r="M30" s="11">
        <f t="shared" si="9"/>
        <v>0</v>
      </c>
      <c r="N30" s="11">
        <f t="shared" si="10"/>
        <v>0</v>
      </c>
      <c r="O30" s="11">
        <f t="shared" si="11"/>
        <v>0</v>
      </c>
      <c r="P30" s="11">
        <f t="shared" si="12"/>
        <v>0</v>
      </c>
      <c r="Q30" s="11">
        <f t="shared" si="13"/>
        <v>0</v>
      </c>
      <c r="R30" s="11">
        <f t="shared" si="14"/>
        <v>0</v>
      </c>
    </row>
    <row r="31" spans="1:18" x14ac:dyDescent="0.25">
      <c r="A31" s="9">
        <f>IF(Lease!$H$4="Monthly",DATE(YEAR(Yearly!A30),MONTH(Yearly!A30)+1,DAY(Yearly!A30)),IF(Lease!$H$4="Quarterly",DATE(YEAR(Yearly!A30),MONTH(Yearly!A30)+3,DAY(Yearly!A30)),DATE(YEAR(Yearly!A30)+1,MONTH(Yearly!A30),DAY(Yearly!A30))))</f>
        <v>51940</v>
      </c>
      <c r="B31" s="9">
        <f t="shared" si="2"/>
        <v>51926</v>
      </c>
      <c r="C31" s="9">
        <f t="shared" si="15"/>
        <v>51956</v>
      </c>
      <c r="D31" s="3">
        <f t="shared" si="16"/>
        <v>31</v>
      </c>
      <c r="E31" s="4">
        <f>Lease!K41</f>
        <v>0</v>
      </c>
      <c r="F31" s="3">
        <f t="shared" si="17"/>
        <v>0</v>
      </c>
      <c r="G31" s="11">
        <f t="shared" si="3"/>
        <v>0</v>
      </c>
      <c r="H31" s="11">
        <f t="shared" si="4"/>
        <v>0</v>
      </c>
      <c r="I31" s="11">
        <f t="shared" si="5"/>
        <v>0</v>
      </c>
      <c r="J31" s="11">
        <f t="shared" si="6"/>
        <v>0</v>
      </c>
      <c r="K31" s="11">
        <f t="shared" si="7"/>
        <v>0</v>
      </c>
      <c r="L31" s="11">
        <f t="shared" si="8"/>
        <v>0</v>
      </c>
      <c r="M31" s="11">
        <f t="shared" si="9"/>
        <v>0</v>
      </c>
      <c r="N31" s="11">
        <f t="shared" si="10"/>
        <v>0</v>
      </c>
      <c r="O31" s="11">
        <f t="shared" si="11"/>
        <v>0</v>
      </c>
      <c r="P31" s="11">
        <f t="shared" si="12"/>
        <v>0</v>
      </c>
      <c r="Q31" s="11">
        <f t="shared" si="13"/>
        <v>0</v>
      </c>
      <c r="R31" s="11">
        <f t="shared" si="14"/>
        <v>0</v>
      </c>
    </row>
    <row r="32" spans="1:18" x14ac:dyDescent="0.25">
      <c r="A32" s="9">
        <f>IF(Lease!$H$4="Monthly",DATE(YEAR(Yearly!A31),MONTH(Yearly!A31)+1,DAY(Yearly!A31)),IF(Lease!$H$4="Quarterly",DATE(YEAR(Yearly!A31),MONTH(Yearly!A31)+3,DAY(Yearly!A31)),DATE(YEAR(Yearly!A31)+1,MONTH(Yearly!A31),DAY(Yearly!A31))))</f>
        <v>52305</v>
      </c>
      <c r="B32" s="9">
        <f t="shared" si="2"/>
        <v>52291</v>
      </c>
      <c r="C32" s="9">
        <f t="shared" si="15"/>
        <v>52321</v>
      </c>
      <c r="D32" s="3">
        <f t="shared" si="16"/>
        <v>31</v>
      </c>
      <c r="E32" s="4">
        <f>Lease!K42</f>
        <v>0</v>
      </c>
      <c r="F32" s="3">
        <f t="shared" si="17"/>
        <v>0</v>
      </c>
      <c r="G32" s="11">
        <f t="shared" si="3"/>
        <v>0</v>
      </c>
      <c r="H32" s="11">
        <f t="shared" si="4"/>
        <v>0</v>
      </c>
      <c r="I32" s="11">
        <f t="shared" si="5"/>
        <v>0</v>
      </c>
      <c r="J32" s="11">
        <f t="shared" si="6"/>
        <v>0</v>
      </c>
      <c r="K32" s="11">
        <f t="shared" si="7"/>
        <v>0</v>
      </c>
      <c r="L32" s="11">
        <f t="shared" si="8"/>
        <v>0</v>
      </c>
      <c r="M32" s="11">
        <f t="shared" si="9"/>
        <v>0</v>
      </c>
      <c r="N32" s="11">
        <f t="shared" si="10"/>
        <v>0</v>
      </c>
      <c r="O32" s="11">
        <f t="shared" si="11"/>
        <v>0</v>
      </c>
      <c r="P32" s="11">
        <f t="shared" si="12"/>
        <v>0</v>
      </c>
      <c r="Q32" s="11">
        <f t="shared" si="13"/>
        <v>0</v>
      </c>
      <c r="R32" s="11">
        <f t="shared" si="14"/>
        <v>0</v>
      </c>
    </row>
    <row r="33" spans="1:18" x14ac:dyDescent="0.25">
      <c r="A33" s="9">
        <f>IF(Lease!$H$4="Monthly",DATE(YEAR(Yearly!A32),MONTH(Yearly!A32)+1,DAY(Yearly!A32)),IF(Lease!$H$4="Quarterly",DATE(YEAR(Yearly!A32),MONTH(Yearly!A32)+3,DAY(Yearly!A32)),DATE(YEAR(Yearly!A32)+1,MONTH(Yearly!A32),DAY(Yearly!A32))))</f>
        <v>52671</v>
      </c>
      <c r="B33" s="9">
        <f t="shared" si="2"/>
        <v>52657</v>
      </c>
      <c r="C33" s="9">
        <f t="shared" si="15"/>
        <v>52687</v>
      </c>
      <c r="D33" s="3">
        <f t="shared" si="16"/>
        <v>31</v>
      </c>
      <c r="E33" s="4">
        <f>Lease!K43</f>
        <v>0</v>
      </c>
      <c r="F33" s="3">
        <f t="shared" si="17"/>
        <v>0</v>
      </c>
      <c r="G33" s="11">
        <f t="shared" si="3"/>
        <v>0</v>
      </c>
      <c r="H33" s="11">
        <f t="shared" si="4"/>
        <v>0</v>
      </c>
      <c r="I33" s="11">
        <f t="shared" si="5"/>
        <v>0</v>
      </c>
      <c r="J33" s="11">
        <f t="shared" si="6"/>
        <v>0</v>
      </c>
      <c r="K33" s="11">
        <f t="shared" si="7"/>
        <v>0</v>
      </c>
      <c r="L33" s="11">
        <f t="shared" si="8"/>
        <v>0</v>
      </c>
      <c r="M33" s="11">
        <f t="shared" si="9"/>
        <v>0</v>
      </c>
      <c r="N33" s="11">
        <f t="shared" si="10"/>
        <v>0</v>
      </c>
      <c r="O33" s="11">
        <f t="shared" si="11"/>
        <v>0</v>
      </c>
      <c r="P33" s="11">
        <f t="shared" si="12"/>
        <v>0</v>
      </c>
      <c r="Q33" s="11">
        <f t="shared" si="13"/>
        <v>0</v>
      </c>
      <c r="R33" s="11">
        <f t="shared" si="14"/>
        <v>0</v>
      </c>
    </row>
    <row r="34" spans="1:18" x14ac:dyDescent="0.25">
      <c r="A34" s="9">
        <f>IF(Lease!$H$4="Monthly",DATE(YEAR(Yearly!A33),MONTH(Yearly!A33)+1,DAY(Yearly!A33)),IF(Lease!$H$4="Quarterly",DATE(YEAR(Yearly!A33),MONTH(Yearly!A33)+3,DAY(Yearly!A33)),DATE(YEAR(Yearly!A33)+1,MONTH(Yearly!A33),DAY(Yearly!A33))))</f>
        <v>53036</v>
      </c>
      <c r="B34" s="9">
        <f t="shared" si="2"/>
        <v>53022</v>
      </c>
      <c r="C34" s="9">
        <f t="shared" si="15"/>
        <v>53052</v>
      </c>
      <c r="D34" s="3">
        <f t="shared" si="16"/>
        <v>31</v>
      </c>
      <c r="E34" s="4">
        <f>Lease!K44</f>
        <v>0</v>
      </c>
      <c r="F34" s="3">
        <f t="shared" si="17"/>
        <v>0</v>
      </c>
      <c r="G34" s="11">
        <f t="shared" si="3"/>
        <v>0</v>
      </c>
      <c r="H34" s="11">
        <f t="shared" si="4"/>
        <v>0</v>
      </c>
      <c r="I34" s="11">
        <f t="shared" si="5"/>
        <v>0</v>
      </c>
      <c r="J34" s="11">
        <f t="shared" si="6"/>
        <v>0</v>
      </c>
      <c r="K34" s="11">
        <f t="shared" si="7"/>
        <v>0</v>
      </c>
      <c r="L34" s="11">
        <f t="shared" si="8"/>
        <v>0</v>
      </c>
      <c r="M34" s="11">
        <f t="shared" si="9"/>
        <v>0</v>
      </c>
      <c r="N34" s="11">
        <f t="shared" si="10"/>
        <v>0</v>
      </c>
      <c r="O34" s="11">
        <f t="shared" si="11"/>
        <v>0</v>
      </c>
      <c r="P34" s="11">
        <f t="shared" si="12"/>
        <v>0</v>
      </c>
      <c r="Q34" s="11">
        <f t="shared" si="13"/>
        <v>0</v>
      </c>
      <c r="R34" s="11">
        <f t="shared" si="14"/>
        <v>0</v>
      </c>
    </row>
    <row r="35" spans="1:18" x14ac:dyDescent="0.25">
      <c r="A35" s="9">
        <f>IF(Lease!$H$4="Monthly",DATE(YEAR(Yearly!A34),MONTH(Yearly!A34)+1,DAY(Yearly!A34)),IF(Lease!$H$4="Quarterly",DATE(YEAR(Yearly!A34),MONTH(Yearly!A34)+3,DAY(Yearly!A34)),DATE(YEAR(Yearly!A34)+1,MONTH(Yearly!A34),DAY(Yearly!A34))))</f>
        <v>53401</v>
      </c>
      <c r="B35" s="9">
        <f t="shared" si="2"/>
        <v>53387</v>
      </c>
      <c r="C35" s="9">
        <f t="shared" si="15"/>
        <v>53417</v>
      </c>
      <c r="D35" s="3">
        <f t="shared" si="16"/>
        <v>31</v>
      </c>
      <c r="E35" s="4">
        <f>Lease!K45</f>
        <v>0</v>
      </c>
      <c r="F35" s="3">
        <f t="shared" si="17"/>
        <v>0</v>
      </c>
      <c r="G35" s="11">
        <f t="shared" si="3"/>
        <v>0</v>
      </c>
      <c r="H35" s="11">
        <f t="shared" si="4"/>
        <v>0</v>
      </c>
      <c r="I35" s="11">
        <f t="shared" si="5"/>
        <v>0</v>
      </c>
      <c r="J35" s="11">
        <f t="shared" si="6"/>
        <v>0</v>
      </c>
      <c r="K35" s="11">
        <f t="shared" si="7"/>
        <v>0</v>
      </c>
      <c r="L35" s="11">
        <f t="shared" si="8"/>
        <v>0</v>
      </c>
      <c r="M35" s="11">
        <f t="shared" si="9"/>
        <v>0</v>
      </c>
      <c r="N35" s="11">
        <f t="shared" si="10"/>
        <v>0</v>
      </c>
      <c r="O35" s="11">
        <f t="shared" si="11"/>
        <v>0</v>
      </c>
      <c r="P35" s="11">
        <f t="shared" si="12"/>
        <v>0</v>
      </c>
      <c r="Q35" s="11">
        <f t="shared" si="13"/>
        <v>0</v>
      </c>
      <c r="R35" s="11">
        <f t="shared" si="14"/>
        <v>0</v>
      </c>
    </row>
    <row r="36" spans="1:18" x14ac:dyDescent="0.25">
      <c r="A36" s="9">
        <f>IF(Lease!$H$4="Monthly",DATE(YEAR(Yearly!A35),MONTH(Yearly!A35)+1,DAY(Yearly!A35)),IF(Lease!$H$4="Quarterly",DATE(YEAR(Yearly!A35),MONTH(Yearly!A35)+3,DAY(Yearly!A35)),DATE(YEAR(Yearly!A35)+1,MONTH(Yearly!A35),DAY(Yearly!A35))))</f>
        <v>53766</v>
      </c>
      <c r="B36" s="9">
        <f t="shared" si="2"/>
        <v>53752</v>
      </c>
      <c r="C36" s="9">
        <f t="shared" si="15"/>
        <v>53782</v>
      </c>
      <c r="D36" s="3">
        <f t="shared" si="16"/>
        <v>31</v>
      </c>
      <c r="E36" s="4">
        <f>Lease!K46</f>
        <v>0</v>
      </c>
      <c r="F36" s="3">
        <f t="shared" si="17"/>
        <v>0</v>
      </c>
      <c r="G36" s="11">
        <f t="shared" si="3"/>
        <v>0</v>
      </c>
      <c r="H36" s="11">
        <f t="shared" si="4"/>
        <v>0</v>
      </c>
      <c r="I36" s="11">
        <f t="shared" si="5"/>
        <v>0</v>
      </c>
      <c r="J36" s="11">
        <f t="shared" si="6"/>
        <v>0</v>
      </c>
      <c r="K36" s="11">
        <f t="shared" si="7"/>
        <v>0</v>
      </c>
      <c r="L36" s="11">
        <f t="shared" si="8"/>
        <v>0</v>
      </c>
      <c r="M36" s="11">
        <f t="shared" si="9"/>
        <v>0</v>
      </c>
      <c r="N36" s="11">
        <f t="shared" si="10"/>
        <v>0</v>
      </c>
      <c r="O36" s="11">
        <f t="shared" si="11"/>
        <v>0</v>
      </c>
      <c r="P36" s="11">
        <f t="shared" si="12"/>
        <v>0</v>
      </c>
      <c r="Q36" s="11">
        <f t="shared" si="13"/>
        <v>0</v>
      </c>
      <c r="R36" s="11">
        <f t="shared" si="14"/>
        <v>0</v>
      </c>
    </row>
    <row r="37" spans="1:18" x14ac:dyDescent="0.25">
      <c r="A37" s="9">
        <f>IF(Lease!$H$4="Monthly",DATE(YEAR(Yearly!A36),MONTH(Yearly!A36)+1,DAY(Yearly!A36)),IF(Lease!$H$4="Quarterly",DATE(YEAR(Yearly!A36),MONTH(Yearly!A36)+3,DAY(Yearly!A36)),DATE(YEAR(Yearly!A36)+1,MONTH(Yearly!A36),DAY(Yearly!A36))))</f>
        <v>54132</v>
      </c>
      <c r="B37" s="9">
        <f t="shared" si="2"/>
        <v>54118</v>
      </c>
      <c r="C37" s="9">
        <f t="shared" si="15"/>
        <v>54148</v>
      </c>
      <c r="D37" s="3">
        <f t="shared" si="16"/>
        <v>31</v>
      </c>
      <c r="E37" s="4">
        <f>Lease!K47</f>
        <v>0</v>
      </c>
      <c r="F37" s="3">
        <f t="shared" si="17"/>
        <v>0</v>
      </c>
      <c r="G37" s="11">
        <f t="shared" si="3"/>
        <v>0</v>
      </c>
      <c r="H37" s="11">
        <f t="shared" si="4"/>
        <v>0</v>
      </c>
      <c r="I37" s="11">
        <f t="shared" si="5"/>
        <v>0</v>
      </c>
      <c r="J37" s="11">
        <f t="shared" si="6"/>
        <v>0</v>
      </c>
      <c r="K37" s="11">
        <f t="shared" si="7"/>
        <v>0</v>
      </c>
      <c r="L37" s="11">
        <f t="shared" si="8"/>
        <v>0</v>
      </c>
      <c r="M37" s="11">
        <f t="shared" si="9"/>
        <v>0</v>
      </c>
      <c r="N37" s="11">
        <f t="shared" si="10"/>
        <v>0</v>
      </c>
      <c r="O37" s="11">
        <f t="shared" si="11"/>
        <v>0</v>
      </c>
      <c r="P37" s="11">
        <f t="shared" si="12"/>
        <v>0</v>
      </c>
      <c r="Q37" s="11">
        <f t="shared" si="13"/>
        <v>0</v>
      </c>
      <c r="R37" s="11">
        <f t="shared" si="14"/>
        <v>0</v>
      </c>
    </row>
    <row r="38" spans="1:18" x14ac:dyDescent="0.25">
      <c r="A38" s="9">
        <f>IF(Lease!$H$4="Monthly",DATE(YEAR(Yearly!A37),MONTH(Yearly!A37)+1,DAY(Yearly!A37)),IF(Lease!$H$4="Quarterly",DATE(YEAR(Yearly!A37),MONTH(Yearly!A37)+3,DAY(Yearly!A37)),DATE(YEAR(Yearly!A37)+1,MONTH(Yearly!A37),DAY(Yearly!A37))))</f>
        <v>54497</v>
      </c>
      <c r="B38" s="9">
        <f t="shared" si="2"/>
        <v>54483</v>
      </c>
      <c r="C38" s="9">
        <f t="shared" si="15"/>
        <v>54513</v>
      </c>
      <c r="D38" s="3">
        <f t="shared" si="16"/>
        <v>31</v>
      </c>
      <c r="E38" s="4">
        <f>Lease!K48</f>
        <v>0</v>
      </c>
      <c r="F38" s="3">
        <f t="shared" si="17"/>
        <v>0</v>
      </c>
      <c r="G38" s="11">
        <f t="shared" si="3"/>
        <v>0</v>
      </c>
      <c r="H38" s="11">
        <f t="shared" si="4"/>
        <v>0</v>
      </c>
      <c r="I38" s="11">
        <f t="shared" si="5"/>
        <v>0</v>
      </c>
      <c r="J38" s="11">
        <f t="shared" si="6"/>
        <v>0</v>
      </c>
      <c r="K38" s="11">
        <f t="shared" si="7"/>
        <v>0</v>
      </c>
      <c r="L38" s="11">
        <f t="shared" si="8"/>
        <v>0</v>
      </c>
      <c r="M38" s="11">
        <f t="shared" si="9"/>
        <v>0</v>
      </c>
      <c r="N38" s="11">
        <f t="shared" si="10"/>
        <v>0</v>
      </c>
      <c r="O38" s="11">
        <f t="shared" si="11"/>
        <v>0</v>
      </c>
      <c r="P38" s="11">
        <f t="shared" si="12"/>
        <v>0</v>
      </c>
      <c r="Q38" s="11">
        <f t="shared" si="13"/>
        <v>0</v>
      </c>
      <c r="R38" s="11">
        <f t="shared" si="14"/>
        <v>0</v>
      </c>
    </row>
    <row r="39" spans="1:18" x14ac:dyDescent="0.25">
      <c r="A39" s="9">
        <f>IF(Lease!$H$4="Monthly",DATE(YEAR(Yearly!A38),MONTH(Yearly!A38)+1,DAY(Yearly!A38)),IF(Lease!$H$4="Quarterly",DATE(YEAR(Yearly!A38),MONTH(Yearly!A38)+3,DAY(Yearly!A38)),DATE(YEAR(Yearly!A38)+1,MONTH(Yearly!A38),DAY(Yearly!A38))))</f>
        <v>54862</v>
      </c>
      <c r="B39" s="9">
        <f t="shared" si="2"/>
        <v>54848</v>
      </c>
      <c r="C39" s="9">
        <f t="shared" si="15"/>
        <v>54878</v>
      </c>
      <c r="D39" s="3">
        <f t="shared" si="16"/>
        <v>31</v>
      </c>
      <c r="E39" s="4">
        <f>Lease!K49</f>
        <v>0</v>
      </c>
      <c r="F39" s="3">
        <f t="shared" si="17"/>
        <v>0</v>
      </c>
      <c r="G39" s="11">
        <f t="shared" si="3"/>
        <v>0</v>
      </c>
      <c r="H39" s="11">
        <f t="shared" si="4"/>
        <v>0</v>
      </c>
      <c r="I39" s="11">
        <f t="shared" si="5"/>
        <v>0</v>
      </c>
      <c r="J39" s="11">
        <f t="shared" si="6"/>
        <v>0</v>
      </c>
      <c r="K39" s="11">
        <f t="shared" si="7"/>
        <v>0</v>
      </c>
      <c r="L39" s="11">
        <f t="shared" si="8"/>
        <v>0</v>
      </c>
      <c r="M39" s="11">
        <f t="shared" si="9"/>
        <v>0</v>
      </c>
      <c r="N39" s="11">
        <f t="shared" si="10"/>
        <v>0</v>
      </c>
      <c r="O39" s="11">
        <f t="shared" si="11"/>
        <v>0</v>
      </c>
      <c r="P39" s="11">
        <f t="shared" si="12"/>
        <v>0</v>
      </c>
      <c r="Q39" s="11">
        <f t="shared" si="13"/>
        <v>0</v>
      </c>
      <c r="R39" s="11">
        <f t="shared" si="14"/>
        <v>0</v>
      </c>
    </row>
    <row r="40" spans="1:18" x14ac:dyDescent="0.25">
      <c r="A40" s="9">
        <f>IF(Lease!$H$4="Monthly",DATE(YEAR(Yearly!A39),MONTH(Yearly!A39)+1,DAY(Yearly!A39)),IF(Lease!$H$4="Quarterly",DATE(YEAR(Yearly!A39),MONTH(Yearly!A39)+3,DAY(Yearly!A39)),DATE(YEAR(Yearly!A39)+1,MONTH(Yearly!A39),DAY(Yearly!A39))))</f>
        <v>55227</v>
      </c>
      <c r="B40" s="9">
        <f t="shared" si="2"/>
        <v>55213</v>
      </c>
      <c r="C40" s="9">
        <f t="shared" si="15"/>
        <v>55243</v>
      </c>
      <c r="D40" s="3">
        <f t="shared" si="16"/>
        <v>31</v>
      </c>
      <c r="E40" s="4">
        <f>Lease!K50</f>
        <v>0</v>
      </c>
      <c r="F40" s="3">
        <f t="shared" si="17"/>
        <v>0</v>
      </c>
      <c r="G40" s="11">
        <f t="shared" si="3"/>
        <v>0</v>
      </c>
      <c r="H40" s="11">
        <f t="shared" si="4"/>
        <v>0</v>
      </c>
      <c r="I40" s="11">
        <f t="shared" si="5"/>
        <v>0</v>
      </c>
      <c r="J40" s="11">
        <f t="shared" si="6"/>
        <v>0</v>
      </c>
      <c r="K40" s="11">
        <f t="shared" si="7"/>
        <v>0</v>
      </c>
      <c r="L40" s="11">
        <f t="shared" si="8"/>
        <v>0</v>
      </c>
      <c r="M40" s="11">
        <f t="shared" si="9"/>
        <v>0</v>
      </c>
      <c r="N40" s="11">
        <f t="shared" si="10"/>
        <v>0</v>
      </c>
      <c r="O40" s="11">
        <f t="shared" si="11"/>
        <v>0</v>
      </c>
      <c r="P40" s="11">
        <f t="shared" si="12"/>
        <v>0</v>
      </c>
      <c r="Q40" s="11">
        <f t="shared" si="13"/>
        <v>0</v>
      </c>
      <c r="R40" s="11">
        <f t="shared" si="14"/>
        <v>0</v>
      </c>
    </row>
    <row r="41" spans="1:18" x14ac:dyDescent="0.25">
      <c r="A41" s="9">
        <f>IF(Lease!$H$4="Monthly",DATE(YEAR(Yearly!A40),MONTH(Yearly!A40)+1,DAY(Yearly!A40)),IF(Lease!$H$4="Quarterly",DATE(YEAR(Yearly!A40),MONTH(Yearly!A40)+3,DAY(Yearly!A40)),DATE(YEAR(Yearly!A40)+1,MONTH(Yearly!A40),DAY(Yearly!A40))))</f>
        <v>55593</v>
      </c>
      <c r="B41" s="9">
        <f t="shared" si="2"/>
        <v>55579</v>
      </c>
      <c r="C41" s="9">
        <f t="shared" si="15"/>
        <v>55609</v>
      </c>
      <c r="D41" s="3">
        <f t="shared" si="16"/>
        <v>31</v>
      </c>
      <c r="E41" s="4">
        <f>Lease!K51</f>
        <v>0</v>
      </c>
      <c r="F41" s="3">
        <f t="shared" si="17"/>
        <v>0</v>
      </c>
      <c r="G41" s="11">
        <f t="shared" si="3"/>
        <v>0</v>
      </c>
      <c r="H41" s="11">
        <f t="shared" si="4"/>
        <v>0</v>
      </c>
      <c r="I41" s="11">
        <f t="shared" si="5"/>
        <v>0</v>
      </c>
      <c r="J41" s="11">
        <f t="shared" si="6"/>
        <v>0</v>
      </c>
      <c r="K41" s="11">
        <f t="shared" si="7"/>
        <v>0</v>
      </c>
      <c r="L41" s="11">
        <f t="shared" si="8"/>
        <v>0</v>
      </c>
      <c r="M41" s="11">
        <f t="shared" si="9"/>
        <v>0</v>
      </c>
      <c r="N41" s="11">
        <f t="shared" si="10"/>
        <v>0</v>
      </c>
      <c r="O41" s="11">
        <f t="shared" si="11"/>
        <v>0</v>
      </c>
      <c r="P41" s="11">
        <f t="shared" si="12"/>
        <v>0</v>
      </c>
      <c r="Q41" s="11">
        <f t="shared" si="13"/>
        <v>0</v>
      </c>
      <c r="R41" s="11">
        <f t="shared" si="14"/>
        <v>0</v>
      </c>
    </row>
    <row r="42" spans="1:18" x14ac:dyDescent="0.25">
      <c r="A42" s="9">
        <f>IF(Lease!$H$4="Monthly",DATE(YEAR(Yearly!A41),MONTH(Yearly!A41)+1,DAY(Yearly!A41)),IF(Lease!$H$4="Quarterly",DATE(YEAR(Yearly!A41),MONTH(Yearly!A41)+3,DAY(Yearly!A41)),DATE(YEAR(Yearly!A41)+1,MONTH(Yearly!A41),DAY(Yearly!A41))))</f>
        <v>55958</v>
      </c>
      <c r="B42" s="9">
        <f t="shared" si="2"/>
        <v>55944</v>
      </c>
      <c r="C42" s="9">
        <f t="shared" si="15"/>
        <v>55974</v>
      </c>
      <c r="D42" s="3">
        <f t="shared" si="16"/>
        <v>31</v>
      </c>
      <c r="E42" s="4">
        <f>Lease!K52</f>
        <v>0</v>
      </c>
      <c r="F42" s="3">
        <f t="shared" si="17"/>
        <v>0</v>
      </c>
      <c r="G42" s="11">
        <f t="shared" si="3"/>
        <v>0</v>
      </c>
      <c r="H42" s="11">
        <f t="shared" si="4"/>
        <v>0</v>
      </c>
      <c r="I42" s="11">
        <f t="shared" si="5"/>
        <v>0</v>
      </c>
      <c r="J42" s="11">
        <f t="shared" si="6"/>
        <v>0</v>
      </c>
      <c r="K42" s="11">
        <f t="shared" si="7"/>
        <v>0</v>
      </c>
      <c r="L42" s="11">
        <f t="shared" si="8"/>
        <v>0</v>
      </c>
      <c r="M42" s="11">
        <f t="shared" si="9"/>
        <v>0</v>
      </c>
      <c r="N42" s="11">
        <f t="shared" si="10"/>
        <v>0</v>
      </c>
      <c r="O42" s="11">
        <f t="shared" si="11"/>
        <v>0</v>
      </c>
      <c r="P42" s="11">
        <f t="shared" si="12"/>
        <v>0</v>
      </c>
      <c r="Q42" s="11">
        <f t="shared" si="13"/>
        <v>0</v>
      </c>
      <c r="R42" s="11">
        <f t="shared" si="14"/>
        <v>0</v>
      </c>
    </row>
    <row r="43" spans="1:18" x14ac:dyDescent="0.25">
      <c r="A43" s="9">
        <f>IF(Lease!$H$4="Monthly",DATE(YEAR(Yearly!A42),MONTH(Yearly!A42)+1,DAY(Yearly!A42)),IF(Lease!$H$4="Quarterly",DATE(YEAR(Yearly!A42),MONTH(Yearly!A42)+3,DAY(Yearly!A42)),DATE(YEAR(Yearly!A42)+1,MONTH(Yearly!A42),DAY(Yearly!A42))))</f>
        <v>56323</v>
      </c>
      <c r="B43" s="9">
        <f t="shared" si="2"/>
        <v>56309</v>
      </c>
      <c r="C43" s="9">
        <f t="shared" si="15"/>
        <v>56339</v>
      </c>
      <c r="D43" s="3">
        <f t="shared" si="16"/>
        <v>31</v>
      </c>
      <c r="E43" s="4">
        <f>Lease!K53</f>
        <v>0</v>
      </c>
      <c r="F43" s="3">
        <f t="shared" si="17"/>
        <v>0</v>
      </c>
      <c r="G43" s="11">
        <f t="shared" si="3"/>
        <v>0</v>
      </c>
      <c r="H43" s="11">
        <f t="shared" si="4"/>
        <v>0</v>
      </c>
      <c r="I43" s="11">
        <f t="shared" si="5"/>
        <v>0</v>
      </c>
      <c r="J43" s="11">
        <f t="shared" si="6"/>
        <v>0</v>
      </c>
      <c r="K43" s="11">
        <f t="shared" si="7"/>
        <v>0</v>
      </c>
      <c r="L43" s="11">
        <f t="shared" si="8"/>
        <v>0</v>
      </c>
      <c r="M43" s="11">
        <f t="shared" si="9"/>
        <v>0</v>
      </c>
      <c r="N43" s="11">
        <f t="shared" si="10"/>
        <v>0</v>
      </c>
      <c r="O43" s="11">
        <f t="shared" si="11"/>
        <v>0</v>
      </c>
      <c r="P43" s="11">
        <f t="shared" si="12"/>
        <v>0</v>
      </c>
      <c r="Q43" s="11">
        <f t="shared" si="13"/>
        <v>0</v>
      </c>
      <c r="R43" s="11">
        <f t="shared" si="14"/>
        <v>0</v>
      </c>
    </row>
    <row r="44" spans="1:18" x14ac:dyDescent="0.25">
      <c r="A44" s="9">
        <f>IF(Lease!$H$4="Monthly",DATE(YEAR(Yearly!A43),MONTH(Yearly!A43)+1,DAY(Yearly!A43)),IF(Lease!$H$4="Quarterly",DATE(YEAR(Yearly!A43),MONTH(Yearly!A43)+3,DAY(Yearly!A43)),DATE(YEAR(Yearly!A43)+1,MONTH(Yearly!A43),DAY(Yearly!A43))))</f>
        <v>56688</v>
      </c>
      <c r="B44" s="9">
        <f t="shared" si="2"/>
        <v>56674</v>
      </c>
      <c r="C44" s="9">
        <f t="shared" si="15"/>
        <v>56704</v>
      </c>
      <c r="D44" s="3">
        <f t="shared" si="16"/>
        <v>31</v>
      </c>
      <c r="E44" s="4">
        <f>Lease!K54</f>
        <v>0</v>
      </c>
      <c r="F44" s="3">
        <f t="shared" si="17"/>
        <v>0</v>
      </c>
      <c r="G44" s="11">
        <f t="shared" si="3"/>
        <v>0</v>
      </c>
      <c r="H44" s="11">
        <f t="shared" si="4"/>
        <v>0</v>
      </c>
      <c r="I44" s="11">
        <f t="shared" si="5"/>
        <v>0</v>
      </c>
      <c r="J44" s="11">
        <f t="shared" si="6"/>
        <v>0</v>
      </c>
      <c r="K44" s="11">
        <f t="shared" si="7"/>
        <v>0</v>
      </c>
      <c r="L44" s="11">
        <f t="shared" si="8"/>
        <v>0</v>
      </c>
      <c r="M44" s="11">
        <f t="shared" si="9"/>
        <v>0</v>
      </c>
      <c r="N44" s="11">
        <f t="shared" si="10"/>
        <v>0</v>
      </c>
      <c r="O44" s="11">
        <f t="shared" si="11"/>
        <v>0</v>
      </c>
      <c r="P44" s="11">
        <f t="shared" si="12"/>
        <v>0</v>
      </c>
      <c r="Q44" s="11">
        <f t="shared" si="13"/>
        <v>0</v>
      </c>
      <c r="R44" s="11">
        <f t="shared" si="14"/>
        <v>0</v>
      </c>
    </row>
    <row r="45" spans="1:18" x14ac:dyDescent="0.25">
      <c r="A45" s="9">
        <f>IF(Lease!$H$4="Monthly",DATE(YEAR(Yearly!A44),MONTH(Yearly!A44)+1,DAY(Yearly!A44)),IF(Lease!$H$4="Quarterly",DATE(YEAR(Yearly!A44),MONTH(Yearly!A44)+3,DAY(Yearly!A44)),DATE(YEAR(Yearly!A44)+1,MONTH(Yearly!A44),DAY(Yearly!A44))))</f>
        <v>57054</v>
      </c>
      <c r="B45" s="9">
        <f t="shared" si="2"/>
        <v>57040</v>
      </c>
      <c r="C45" s="9">
        <f t="shared" si="15"/>
        <v>57070</v>
      </c>
      <c r="D45" s="3">
        <f t="shared" si="16"/>
        <v>31</v>
      </c>
      <c r="E45" s="4">
        <f>Lease!K55</f>
        <v>0</v>
      </c>
      <c r="F45" s="3">
        <f t="shared" si="17"/>
        <v>0</v>
      </c>
      <c r="G45" s="11">
        <f t="shared" si="3"/>
        <v>0</v>
      </c>
      <c r="H45" s="11">
        <f t="shared" si="4"/>
        <v>0</v>
      </c>
      <c r="I45" s="11">
        <f t="shared" si="5"/>
        <v>0</v>
      </c>
      <c r="J45" s="11">
        <f t="shared" si="6"/>
        <v>0</v>
      </c>
      <c r="K45" s="11">
        <f t="shared" si="7"/>
        <v>0</v>
      </c>
      <c r="L45" s="11">
        <f t="shared" si="8"/>
        <v>0</v>
      </c>
      <c r="M45" s="11">
        <f t="shared" si="9"/>
        <v>0</v>
      </c>
      <c r="N45" s="11">
        <f t="shared" si="10"/>
        <v>0</v>
      </c>
      <c r="O45" s="11">
        <f t="shared" si="11"/>
        <v>0</v>
      </c>
      <c r="P45" s="11">
        <f t="shared" si="12"/>
        <v>0</v>
      </c>
      <c r="Q45" s="11">
        <f t="shared" si="13"/>
        <v>0</v>
      </c>
      <c r="R45" s="11">
        <f t="shared" si="14"/>
        <v>0</v>
      </c>
    </row>
    <row r="46" spans="1:18" x14ac:dyDescent="0.25">
      <c r="A46" s="9">
        <f>IF(Lease!$H$4="Monthly",DATE(YEAR(Yearly!A45),MONTH(Yearly!A45)+1,DAY(Yearly!A45)),IF(Lease!$H$4="Quarterly",DATE(YEAR(Yearly!A45),MONTH(Yearly!A45)+3,DAY(Yearly!A45)),DATE(YEAR(Yearly!A45)+1,MONTH(Yearly!A45),DAY(Yearly!A45))))</f>
        <v>57419</v>
      </c>
      <c r="B46" s="9">
        <f t="shared" si="2"/>
        <v>57405</v>
      </c>
      <c r="C46" s="9">
        <f t="shared" si="15"/>
        <v>57435</v>
      </c>
      <c r="D46" s="3">
        <f t="shared" si="16"/>
        <v>31</v>
      </c>
      <c r="E46" s="4">
        <f>Lease!K56</f>
        <v>0</v>
      </c>
      <c r="F46" s="3">
        <f t="shared" si="17"/>
        <v>0</v>
      </c>
      <c r="G46" s="11">
        <f t="shared" si="3"/>
        <v>0</v>
      </c>
      <c r="H46" s="11">
        <f t="shared" si="4"/>
        <v>0</v>
      </c>
      <c r="I46" s="11">
        <f t="shared" si="5"/>
        <v>0</v>
      </c>
      <c r="J46" s="11">
        <f t="shared" si="6"/>
        <v>0</v>
      </c>
      <c r="K46" s="11">
        <f t="shared" si="7"/>
        <v>0</v>
      </c>
      <c r="L46" s="11">
        <f t="shared" si="8"/>
        <v>0</v>
      </c>
      <c r="M46" s="11">
        <f t="shared" si="9"/>
        <v>0</v>
      </c>
      <c r="N46" s="11">
        <f t="shared" si="10"/>
        <v>0</v>
      </c>
      <c r="O46" s="11">
        <f t="shared" si="11"/>
        <v>0</v>
      </c>
      <c r="P46" s="11">
        <f t="shared" si="12"/>
        <v>0</v>
      </c>
      <c r="Q46" s="11">
        <f t="shared" si="13"/>
        <v>0</v>
      </c>
      <c r="R46" s="11">
        <f t="shared" si="14"/>
        <v>0</v>
      </c>
    </row>
    <row r="47" spans="1:18" x14ac:dyDescent="0.25">
      <c r="A47" s="9">
        <f>IF(Lease!$H$4="Monthly",DATE(YEAR(Yearly!A46),MONTH(Yearly!A46)+1,DAY(Yearly!A46)),IF(Lease!$H$4="Quarterly",DATE(YEAR(Yearly!A46),MONTH(Yearly!A46)+3,DAY(Yearly!A46)),DATE(YEAR(Yearly!A46)+1,MONTH(Yearly!A46),DAY(Yearly!A46))))</f>
        <v>57784</v>
      </c>
      <c r="B47" s="9">
        <f t="shared" si="2"/>
        <v>57770</v>
      </c>
      <c r="C47" s="9">
        <f t="shared" si="15"/>
        <v>57800</v>
      </c>
      <c r="D47" s="3">
        <f t="shared" si="16"/>
        <v>31</v>
      </c>
      <c r="E47" s="4">
        <f>Lease!K57</f>
        <v>0</v>
      </c>
      <c r="F47" s="3">
        <f t="shared" si="17"/>
        <v>0</v>
      </c>
      <c r="G47" s="11">
        <f t="shared" si="3"/>
        <v>0</v>
      </c>
      <c r="H47" s="11">
        <f t="shared" si="4"/>
        <v>0</v>
      </c>
      <c r="I47" s="11">
        <f t="shared" si="5"/>
        <v>0</v>
      </c>
      <c r="J47" s="11">
        <f t="shared" si="6"/>
        <v>0</v>
      </c>
      <c r="K47" s="11">
        <f t="shared" si="7"/>
        <v>0</v>
      </c>
      <c r="L47" s="11">
        <f t="shared" si="8"/>
        <v>0</v>
      </c>
      <c r="M47" s="11">
        <f t="shared" si="9"/>
        <v>0</v>
      </c>
      <c r="N47" s="11">
        <f t="shared" si="10"/>
        <v>0</v>
      </c>
      <c r="O47" s="11">
        <f t="shared" si="11"/>
        <v>0</v>
      </c>
      <c r="P47" s="11">
        <f t="shared" si="12"/>
        <v>0</v>
      </c>
      <c r="Q47" s="11">
        <f t="shared" si="13"/>
        <v>0</v>
      </c>
      <c r="R47" s="11">
        <f t="shared" si="14"/>
        <v>0</v>
      </c>
    </row>
    <row r="48" spans="1:18" x14ac:dyDescent="0.25">
      <c r="A48" s="9">
        <f>IF(Lease!$H$4="Monthly",DATE(YEAR(Yearly!A47),MONTH(Yearly!A47)+1,DAY(Yearly!A47)),IF(Lease!$H$4="Quarterly",DATE(YEAR(Yearly!A47),MONTH(Yearly!A47)+3,DAY(Yearly!A47)),DATE(YEAR(Yearly!A47)+1,MONTH(Yearly!A47),DAY(Yearly!A47))))</f>
        <v>58149</v>
      </c>
      <c r="B48" s="9">
        <f t="shared" si="2"/>
        <v>58135</v>
      </c>
      <c r="C48" s="9">
        <f t="shared" si="15"/>
        <v>58165</v>
      </c>
      <c r="D48" s="3">
        <f t="shared" si="16"/>
        <v>31</v>
      </c>
      <c r="E48" s="4">
        <f>Lease!K58</f>
        <v>0</v>
      </c>
      <c r="F48" s="3">
        <f t="shared" si="17"/>
        <v>0</v>
      </c>
      <c r="G48" s="11">
        <f t="shared" si="3"/>
        <v>0</v>
      </c>
      <c r="H48" s="11">
        <f t="shared" si="4"/>
        <v>0</v>
      </c>
      <c r="I48" s="11">
        <f t="shared" si="5"/>
        <v>0</v>
      </c>
      <c r="J48" s="11">
        <f t="shared" si="6"/>
        <v>0</v>
      </c>
      <c r="K48" s="11">
        <f t="shared" si="7"/>
        <v>0</v>
      </c>
      <c r="L48" s="11">
        <f t="shared" si="8"/>
        <v>0</v>
      </c>
      <c r="M48" s="11">
        <f t="shared" si="9"/>
        <v>0</v>
      </c>
      <c r="N48" s="11">
        <f t="shared" si="10"/>
        <v>0</v>
      </c>
      <c r="O48" s="11">
        <f t="shared" si="11"/>
        <v>0</v>
      </c>
      <c r="P48" s="11">
        <f t="shared" si="12"/>
        <v>0</v>
      </c>
      <c r="Q48" s="11">
        <f t="shared" si="13"/>
        <v>0</v>
      </c>
      <c r="R48" s="11">
        <f t="shared" si="14"/>
        <v>0</v>
      </c>
    </row>
    <row r="49" spans="1:18" x14ac:dyDescent="0.25">
      <c r="A49" s="9">
        <f>IF(Lease!$H$4="Monthly",DATE(YEAR(Yearly!A48),MONTH(Yearly!A48)+1,DAY(Yearly!A48)),IF(Lease!$H$4="Quarterly",DATE(YEAR(Yearly!A48),MONTH(Yearly!A48)+3,DAY(Yearly!A48)),DATE(YEAR(Yearly!A48)+1,MONTH(Yearly!A48),DAY(Yearly!A48))))</f>
        <v>58515</v>
      </c>
      <c r="B49" s="9">
        <f t="shared" si="2"/>
        <v>58501</v>
      </c>
      <c r="C49" s="9">
        <f t="shared" si="15"/>
        <v>58531</v>
      </c>
      <c r="D49" s="3">
        <f t="shared" si="16"/>
        <v>31</v>
      </c>
      <c r="E49" s="4">
        <f>Lease!K59</f>
        <v>0</v>
      </c>
      <c r="F49" s="3">
        <f t="shared" si="17"/>
        <v>0</v>
      </c>
      <c r="G49" s="11">
        <f t="shared" si="3"/>
        <v>0</v>
      </c>
      <c r="H49" s="11">
        <f t="shared" si="4"/>
        <v>0</v>
      </c>
      <c r="I49" s="11">
        <f t="shared" si="5"/>
        <v>0</v>
      </c>
      <c r="J49" s="11">
        <f t="shared" si="6"/>
        <v>0</v>
      </c>
      <c r="K49" s="11">
        <f t="shared" si="7"/>
        <v>0</v>
      </c>
      <c r="L49" s="11">
        <f t="shared" si="8"/>
        <v>0</v>
      </c>
      <c r="M49" s="11">
        <f t="shared" si="9"/>
        <v>0</v>
      </c>
      <c r="N49" s="11">
        <f t="shared" si="10"/>
        <v>0</v>
      </c>
      <c r="O49" s="11">
        <f t="shared" si="11"/>
        <v>0</v>
      </c>
      <c r="P49" s="11">
        <f t="shared" si="12"/>
        <v>0</v>
      </c>
      <c r="Q49" s="11">
        <f t="shared" si="13"/>
        <v>0</v>
      </c>
      <c r="R49" s="11">
        <f t="shared" si="14"/>
        <v>0</v>
      </c>
    </row>
    <row r="50" spans="1:18" x14ac:dyDescent="0.25">
      <c r="A50" s="9">
        <f>IF(Lease!$H$4="Monthly",DATE(YEAR(Yearly!A49),MONTH(Yearly!A49)+1,DAY(Yearly!A49)),IF(Lease!$H$4="Quarterly",DATE(YEAR(Yearly!A49),MONTH(Yearly!A49)+3,DAY(Yearly!A49)),DATE(YEAR(Yearly!A49)+1,MONTH(Yearly!A49),DAY(Yearly!A49))))</f>
        <v>58880</v>
      </c>
      <c r="B50" s="9">
        <f t="shared" si="2"/>
        <v>58866</v>
      </c>
      <c r="C50" s="9">
        <f t="shared" si="15"/>
        <v>58896</v>
      </c>
      <c r="D50" s="3">
        <f t="shared" si="16"/>
        <v>31</v>
      </c>
      <c r="E50" s="4">
        <f>Lease!K60</f>
        <v>0</v>
      </c>
      <c r="F50" s="3">
        <f t="shared" si="17"/>
        <v>0</v>
      </c>
      <c r="G50" s="11">
        <f t="shared" si="3"/>
        <v>0</v>
      </c>
      <c r="H50" s="11">
        <f t="shared" si="4"/>
        <v>0</v>
      </c>
      <c r="I50" s="11">
        <f t="shared" si="5"/>
        <v>0</v>
      </c>
      <c r="J50" s="11">
        <f t="shared" si="6"/>
        <v>0</v>
      </c>
      <c r="K50" s="11">
        <f t="shared" si="7"/>
        <v>0</v>
      </c>
      <c r="L50" s="11">
        <f t="shared" si="8"/>
        <v>0</v>
      </c>
      <c r="M50" s="11">
        <f t="shared" si="9"/>
        <v>0</v>
      </c>
      <c r="N50" s="11">
        <f t="shared" si="10"/>
        <v>0</v>
      </c>
      <c r="O50" s="11">
        <f t="shared" si="11"/>
        <v>0</v>
      </c>
      <c r="P50" s="11">
        <f t="shared" si="12"/>
        <v>0</v>
      </c>
      <c r="Q50" s="11">
        <f t="shared" si="13"/>
        <v>0</v>
      </c>
      <c r="R50" s="11">
        <f t="shared" si="14"/>
        <v>0</v>
      </c>
    </row>
    <row r="51" spans="1:18" x14ac:dyDescent="0.25">
      <c r="A51" s="9">
        <f>IF(Lease!$H$4="Monthly",DATE(YEAR(Yearly!A50),MONTH(Yearly!A50)+1,DAY(Yearly!A50)),IF(Lease!$H$4="Quarterly",DATE(YEAR(Yearly!A50),MONTH(Yearly!A50)+3,DAY(Yearly!A50)),DATE(YEAR(Yearly!A50)+1,MONTH(Yearly!A50),DAY(Yearly!A50))))</f>
        <v>59245</v>
      </c>
      <c r="B51" s="9">
        <f t="shared" si="2"/>
        <v>59231</v>
      </c>
      <c r="C51" s="9">
        <f t="shared" si="15"/>
        <v>59261</v>
      </c>
      <c r="D51" s="3">
        <f t="shared" si="16"/>
        <v>31</v>
      </c>
      <c r="E51" s="4">
        <f>Lease!K61</f>
        <v>0</v>
      </c>
      <c r="F51" s="3">
        <f t="shared" si="17"/>
        <v>0</v>
      </c>
      <c r="G51" s="11">
        <f t="shared" si="3"/>
        <v>0</v>
      </c>
      <c r="H51" s="11">
        <f t="shared" si="4"/>
        <v>0</v>
      </c>
      <c r="I51" s="11">
        <f t="shared" si="5"/>
        <v>0</v>
      </c>
      <c r="J51" s="11">
        <f t="shared" si="6"/>
        <v>0</v>
      </c>
      <c r="K51" s="11">
        <f t="shared" si="7"/>
        <v>0</v>
      </c>
      <c r="L51" s="11">
        <f t="shared" si="8"/>
        <v>0</v>
      </c>
      <c r="M51" s="11">
        <f t="shared" si="9"/>
        <v>0</v>
      </c>
      <c r="N51" s="11">
        <f t="shared" si="10"/>
        <v>0</v>
      </c>
      <c r="O51" s="11">
        <f t="shared" si="11"/>
        <v>0</v>
      </c>
      <c r="P51" s="11">
        <f t="shared" si="12"/>
        <v>0</v>
      </c>
      <c r="Q51" s="11">
        <f t="shared" si="13"/>
        <v>0</v>
      </c>
      <c r="R51" s="11">
        <f t="shared" si="14"/>
        <v>0</v>
      </c>
    </row>
    <row r="52" spans="1:18" x14ac:dyDescent="0.25">
      <c r="A52" s="9">
        <f>IF(Lease!$H$4="Monthly",DATE(YEAR(Yearly!A51),MONTH(Yearly!A51)+1,DAY(Yearly!A51)),IF(Lease!$H$4="Quarterly",DATE(YEAR(Yearly!A51),MONTH(Yearly!A51)+3,DAY(Yearly!A51)),DATE(YEAR(Yearly!A51)+1,MONTH(Yearly!A51),DAY(Yearly!A51))))</f>
        <v>59610</v>
      </c>
      <c r="B52" s="9">
        <f t="shared" si="2"/>
        <v>59596</v>
      </c>
      <c r="C52" s="9">
        <f t="shared" si="15"/>
        <v>59626</v>
      </c>
      <c r="D52" s="3">
        <f t="shared" si="16"/>
        <v>31</v>
      </c>
      <c r="E52" s="4">
        <f>Lease!K62</f>
        <v>0</v>
      </c>
      <c r="F52" s="3">
        <f t="shared" si="17"/>
        <v>0</v>
      </c>
      <c r="G52" s="11">
        <f t="shared" si="3"/>
        <v>0</v>
      </c>
      <c r="H52" s="11">
        <f t="shared" si="4"/>
        <v>0</v>
      </c>
      <c r="I52" s="11">
        <f t="shared" si="5"/>
        <v>0</v>
      </c>
      <c r="J52" s="11">
        <f t="shared" si="6"/>
        <v>0</v>
      </c>
      <c r="K52" s="11">
        <f t="shared" si="7"/>
        <v>0</v>
      </c>
      <c r="L52" s="11">
        <f t="shared" si="8"/>
        <v>0</v>
      </c>
      <c r="M52" s="11">
        <f t="shared" si="9"/>
        <v>0</v>
      </c>
      <c r="N52" s="11">
        <f t="shared" si="10"/>
        <v>0</v>
      </c>
      <c r="O52" s="11">
        <f t="shared" si="11"/>
        <v>0</v>
      </c>
      <c r="P52" s="11">
        <f t="shared" si="12"/>
        <v>0</v>
      </c>
      <c r="Q52" s="11">
        <f t="shared" si="13"/>
        <v>0</v>
      </c>
      <c r="R52" s="11">
        <f t="shared" si="14"/>
        <v>0</v>
      </c>
    </row>
    <row r="53" spans="1:18" x14ac:dyDescent="0.25">
      <c r="A53" s="9">
        <f>IF(Lease!$H$4="Monthly",DATE(YEAR(Yearly!A52),MONTH(Yearly!A52)+1,DAY(Yearly!A52)),IF(Lease!$H$4="Quarterly",DATE(YEAR(Yearly!A52),MONTH(Yearly!A52)+3,DAY(Yearly!A52)),DATE(YEAR(Yearly!A52)+1,MONTH(Yearly!A52),DAY(Yearly!A52))))</f>
        <v>59976</v>
      </c>
      <c r="B53" s="9">
        <f t="shared" si="2"/>
        <v>59962</v>
      </c>
      <c r="C53" s="9">
        <f t="shared" si="15"/>
        <v>59992</v>
      </c>
      <c r="D53" s="3">
        <f t="shared" si="16"/>
        <v>31</v>
      </c>
      <c r="E53" s="4">
        <f>Lease!K63</f>
        <v>0</v>
      </c>
      <c r="F53" s="3">
        <f t="shared" si="17"/>
        <v>0</v>
      </c>
      <c r="G53" s="11">
        <f t="shared" si="3"/>
        <v>0</v>
      </c>
      <c r="H53" s="11">
        <f t="shared" si="4"/>
        <v>0</v>
      </c>
      <c r="I53" s="11">
        <f t="shared" si="5"/>
        <v>0</v>
      </c>
      <c r="J53" s="11">
        <f t="shared" si="6"/>
        <v>0</v>
      </c>
      <c r="K53" s="11">
        <f t="shared" si="7"/>
        <v>0</v>
      </c>
      <c r="L53" s="11">
        <f t="shared" si="8"/>
        <v>0</v>
      </c>
      <c r="M53" s="11">
        <f t="shared" si="9"/>
        <v>0</v>
      </c>
      <c r="N53" s="11">
        <f t="shared" si="10"/>
        <v>0</v>
      </c>
      <c r="O53" s="11">
        <f t="shared" si="11"/>
        <v>0</v>
      </c>
      <c r="P53" s="11">
        <f t="shared" si="12"/>
        <v>0</v>
      </c>
      <c r="Q53" s="11">
        <f t="shared" si="13"/>
        <v>0</v>
      </c>
      <c r="R53" s="11">
        <f t="shared" si="14"/>
        <v>0</v>
      </c>
    </row>
    <row r="54" spans="1:18" x14ac:dyDescent="0.25">
      <c r="A54" s="9">
        <f>IF(Lease!$H$4="Monthly",DATE(YEAR(Yearly!A53),MONTH(Yearly!A53)+1,DAY(Yearly!A53)),IF(Lease!$H$4="Quarterly",DATE(YEAR(Yearly!A53),MONTH(Yearly!A53)+3,DAY(Yearly!A53)),DATE(YEAR(Yearly!A53)+1,MONTH(Yearly!A53),DAY(Yearly!A53))))</f>
        <v>60341</v>
      </c>
      <c r="B54" s="9">
        <f t="shared" si="2"/>
        <v>60327</v>
      </c>
      <c r="C54" s="9">
        <f t="shared" si="15"/>
        <v>60357</v>
      </c>
      <c r="D54" s="3">
        <f t="shared" si="16"/>
        <v>31</v>
      </c>
      <c r="E54" s="4">
        <f>Lease!K64</f>
        <v>0</v>
      </c>
      <c r="F54" s="3">
        <f t="shared" si="17"/>
        <v>0</v>
      </c>
      <c r="G54" s="11">
        <f t="shared" si="3"/>
        <v>0</v>
      </c>
      <c r="H54" s="11">
        <f t="shared" si="4"/>
        <v>0</v>
      </c>
      <c r="I54" s="11">
        <f t="shared" si="5"/>
        <v>0</v>
      </c>
      <c r="J54" s="11">
        <f t="shared" si="6"/>
        <v>0</v>
      </c>
      <c r="K54" s="11">
        <f t="shared" si="7"/>
        <v>0</v>
      </c>
      <c r="L54" s="11">
        <f t="shared" si="8"/>
        <v>0</v>
      </c>
      <c r="M54" s="11">
        <f t="shared" si="9"/>
        <v>0</v>
      </c>
      <c r="N54" s="11">
        <f t="shared" si="10"/>
        <v>0</v>
      </c>
      <c r="O54" s="11">
        <f t="shared" si="11"/>
        <v>0</v>
      </c>
      <c r="P54" s="11">
        <f t="shared" si="12"/>
        <v>0</v>
      </c>
      <c r="Q54" s="11">
        <f t="shared" si="13"/>
        <v>0</v>
      </c>
      <c r="R54" s="11">
        <f t="shared" si="14"/>
        <v>0</v>
      </c>
    </row>
    <row r="55" spans="1:18" x14ac:dyDescent="0.25">
      <c r="A55" s="9">
        <f>IF(Lease!$H$4="Monthly",DATE(YEAR(Yearly!A54),MONTH(Yearly!A54)+1,DAY(Yearly!A54)),IF(Lease!$H$4="Quarterly",DATE(YEAR(Yearly!A54),MONTH(Yearly!A54)+3,DAY(Yearly!A54)),DATE(YEAR(Yearly!A54)+1,MONTH(Yearly!A54),DAY(Yearly!A54))))</f>
        <v>60706</v>
      </c>
      <c r="B55" s="9">
        <f t="shared" si="2"/>
        <v>60692</v>
      </c>
      <c r="C55" s="9">
        <f t="shared" si="15"/>
        <v>60722</v>
      </c>
      <c r="D55" s="3">
        <f t="shared" si="16"/>
        <v>31</v>
      </c>
      <c r="E55" s="4">
        <f>Lease!K65</f>
        <v>0</v>
      </c>
      <c r="F55" s="3">
        <f t="shared" si="17"/>
        <v>0</v>
      </c>
      <c r="G55" s="11">
        <f t="shared" si="3"/>
        <v>0</v>
      </c>
      <c r="H55" s="11">
        <f t="shared" si="4"/>
        <v>0</v>
      </c>
      <c r="I55" s="11">
        <f t="shared" si="5"/>
        <v>0</v>
      </c>
      <c r="J55" s="11">
        <f t="shared" si="6"/>
        <v>0</v>
      </c>
      <c r="K55" s="11">
        <f t="shared" si="7"/>
        <v>0</v>
      </c>
      <c r="L55" s="11">
        <f t="shared" si="8"/>
        <v>0</v>
      </c>
      <c r="M55" s="11">
        <f t="shared" si="9"/>
        <v>0</v>
      </c>
      <c r="N55" s="11">
        <f t="shared" si="10"/>
        <v>0</v>
      </c>
      <c r="O55" s="11">
        <f t="shared" si="11"/>
        <v>0</v>
      </c>
      <c r="P55" s="11">
        <f t="shared" si="12"/>
        <v>0</v>
      </c>
      <c r="Q55" s="11">
        <f t="shared" si="13"/>
        <v>0</v>
      </c>
      <c r="R55" s="11">
        <f t="shared" si="14"/>
        <v>0</v>
      </c>
    </row>
    <row r="56" spans="1:18" x14ac:dyDescent="0.25">
      <c r="A56" s="9">
        <f>IF(Lease!$H$4="Monthly",DATE(YEAR(Yearly!A55),MONTH(Yearly!A55)+1,DAY(Yearly!A55)),IF(Lease!$H$4="Quarterly",DATE(YEAR(Yearly!A55),MONTH(Yearly!A55)+3,DAY(Yearly!A55)),DATE(YEAR(Yearly!A55)+1,MONTH(Yearly!A55),DAY(Yearly!A55))))</f>
        <v>61071</v>
      </c>
      <c r="B56" s="9">
        <f t="shared" si="2"/>
        <v>61057</v>
      </c>
      <c r="C56" s="9">
        <f t="shared" si="15"/>
        <v>61087</v>
      </c>
      <c r="D56" s="3">
        <f t="shared" si="16"/>
        <v>31</v>
      </c>
      <c r="E56" s="4">
        <f>Lease!K66</f>
        <v>0</v>
      </c>
      <c r="F56" s="3">
        <f t="shared" si="17"/>
        <v>0</v>
      </c>
      <c r="G56" s="11">
        <f t="shared" si="3"/>
        <v>0</v>
      </c>
      <c r="H56" s="11">
        <f t="shared" si="4"/>
        <v>0</v>
      </c>
      <c r="I56" s="11">
        <f t="shared" si="5"/>
        <v>0</v>
      </c>
      <c r="J56" s="11">
        <f t="shared" si="6"/>
        <v>0</v>
      </c>
      <c r="K56" s="11">
        <f t="shared" si="7"/>
        <v>0</v>
      </c>
      <c r="L56" s="11">
        <f t="shared" si="8"/>
        <v>0</v>
      </c>
      <c r="M56" s="11">
        <f t="shared" si="9"/>
        <v>0</v>
      </c>
      <c r="N56" s="11">
        <f t="shared" si="10"/>
        <v>0</v>
      </c>
      <c r="O56" s="11">
        <f t="shared" si="11"/>
        <v>0</v>
      </c>
      <c r="P56" s="11">
        <f t="shared" si="12"/>
        <v>0</v>
      </c>
      <c r="Q56" s="11">
        <f t="shared" si="13"/>
        <v>0</v>
      </c>
      <c r="R56" s="11">
        <f t="shared" si="14"/>
        <v>0</v>
      </c>
    </row>
    <row r="57" spans="1:18" x14ac:dyDescent="0.25">
      <c r="A57" s="9">
        <f>IF(Lease!$H$4="Monthly",DATE(YEAR(Yearly!A56),MONTH(Yearly!A56)+1,DAY(Yearly!A56)),IF(Lease!$H$4="Quarterly",DATE(YEAR(Yearly!A56),MONTH(Yearly!A56)+3,DAY(Yearly!A56)),DATE(YEAR(Yearly!A56)+1,MONTH(Yearly!A56),DAY(Yearly!A56))))</f>
        <v>61437</v>
      </c>
      <c r="B57" s="9">
        <f t="shared" si="2"/>
        <v>61423</v>
      </c>
      <c r="C57" s="9">
        <f t="shared" si="15"/>
        <v>61453</v>
      </c>
      <c r="D57" s="3">
        <f t="shared" si="16"/>
        <v>31</v>
      </c>
      <c r="E57" s="4">
        <f>Lease!K67</f>
        <v>0</v>
      </c>
      <c r="F57" s="3">
        <f t="shared" si="17"/>
        <v>0</v>
      </c>
      <c r="G57" s="11">
        <f t="shared" si="3"/>
        <v>0</v>
      </c>
      <c r="H57" s="11">
        <f t="shared" si="4"/>
        <v>0</v>
      </c>
      <c r="I57" s="11">
        <f t="shared" si="5"/>
        <v>0</v>
      </c>
      <c r="J57" s="11">
        <f t="shared" si="6"/>
        <v>0</v>
      </c>
      <c r="K57" s="11">
        <f t="shared" si="7"/>
        <v>0</v>
      </c>
      <c r="L57" s="11">
        <f t="shared" si="8"/>
        <v>0</v>
      </c>
      <c r="M57" s="11">
        <f t="shared" si="9"/>
        <v>0</v>
      </c>
      <c r="N57" s="11">
        <f t="shared" si="10"/>
        <v>0</v>
      </c>
      <c r="O57" s="11">
        <f t="shared" si="11"/>
        <v>0</v>
      </c>
      <c r="P57" s="11">
        <f t="shared" si="12"/>
        <v>0</v>
      </c>
      <c r="Q57" s="11">
        <f t="shared" si="13"/>
        <v>0</v>
      </c>
      <c r="R57" s="11">
        <f t="shared" si="14"/>
        <v>0</v>
      </c>
    </row>
    <row r="58" spans="1:18" x14ac:dyDescent="0.25">
      <c r="A58" s="9">
        <f>IF(Lease!$H$4="Monthly",DATE(YEAR(Yearly!A57),MONTH(Yearly!A57)+1,DAY(Yearly!A57)),IF(Lease!$H$4="Quarterly",DATE(YEAR(Yearly!A57),MONTH(Yearly!A57)+3,DAY(Yearly!A57)),DATE(YEAR(Yearly!A57)+1,MONTH(Yearly!A57),DAY(Yearly!A57))))</f>
        <v>61802</v>
      </c>
      <c r="B58" s="9">
        <f t="shared" si="2"/>
        <v>61788</v>
      </c>
      <c r="C58" s="9">
        <f t="shared" si="15"/>
        <v>61818</v>
      </c>
      <c r="D58" s="3">
        <f t="shared" si="16"/>
        <v>31</v>
      </c>
      <c r="E58" s="4">
        <f>Lease!K68</f>
        <v>0</v>
      </c>
      <c r="F58" s="3">
        <f t="shared" si="17"/>
        <v>0</v>
      </c>
      <c r="G58" s="11">
        <f t="shared" si="3"/>
        <v>0</v>
      </c>
      <c r="H58" s="11">
        <f t="shared" si="4"/>
        <v>0</v>
      </c>
      <c r="I58" s="11">
        <f t="shared" si="5"/>
        <v>0</v>
      </c>
      <c r="J58" s="11">
        <f t="shared" si="6"/>
        <v>0</v>
      </c>
      <c r="K58" s="11">
        <f t="shared" si="7"/>
        <v>0</v>
      </c>
      <c r="L58" s="11">
        <f t="shared" si="8"/>
        <v>0</v>
      </c>
      <c r="M58" s="11">
        <f t="shared" si="9"/>
        <v>0</v>
      </c>
      <c r="N58" s="11">
        <f t="shared" si="10"/>
        <v>0</v>
      </c>
      <c r="O58" s="11">
        <f t="shared" si="11"/>
        <v>0</v>
      </c>
      <c r="P58" s="11">
        <f t="shared" si="12"/>
        <v>0</v>
      </c>
      <c r="Q58" s="11">
        <f t="shared" si="13"/>
        <v>0</v>
      </c>
      <c r="R58" s="11">
        <f t="shared" si="14"/>
        <v>0</v>
      </c>
    </row>
    <row r="59" spans="1:18" x14ac:dyDescent="0.25">
      <c r="A59" s="9">
        <f>IF(Lease!$H$4="Monthly",DATE(YEAR(Yearly!A58),MONTH(Yearly!A58)+1,DAY(Yearly!A58)),IF(Lease!$H$4="Quarterly",DATE(YEAR(Yearly!A58),MONTH(Yearly!A58)+3,DAY(Yearly!A58)),DATE(YEAR(Yearly!A58)+1,MONTH(Yearly!A58),DAY(Yearly!A58))))</f>
        <v>62167</v>
      </c>
      <c r="B59" s="9">
        <f t="shared" si="2"/>
        <v>62153</v>
      </c>
      <c r="C59" s="9">
        <f t="shared" si="15"/>
        <v>62183</v>
      </c>
      <c r="D59" s="3">
        <f t="shared" si="16"/>
        <v>31</v>
      </c>
      <c r="E59" s="4">
        <f>Lease!K69</f>
        <v>0</v>
      </c>
      <c r="F59" s="3">
        <f t="shared" si="17"/>
        <v>0</v>
      </c>
      <c r="G59" s="11">
        <f t="shared" si="3"/>
        <v>0</v>
      </c>
      <c r="H59" s="11">
        <f t="shared" si="4"/>
        <v>0</v>
      </c>
      <c r="I59" s="11">
        <f t="shared" si="5"/>
        <v>0</v>
      </c>
      <c r="J59" s="11">
        <f t="shared" si="6"/>
        <v>0</v>
      </c>
      <c r="K59" s="11">
        <f t="shared" si="7"/>
        <v>0</v>
      </c>
      <c r="L59" s="11">
        <f t="shared" si="8"/>
        <v>0</v>
      </c>
      <c r="M59" s="11">
        <f t="shared" si="9"/>
        <v>0</v>
      </c>
      <c r="N59" s="11">
        <f t="shared" si="10"/>
        <v>0</v>
      </c>
      <c r="O59" s="11">
        <f t="shared" si="11"/>
        <v>0</v>
      </c>
      <c r="P59" s="11">
        <f t="shared" si="12"/>
        <v>0</v>
      </c>
      <c r="Q59" s="11">
        <f t="shared" si="13"/>
        <v>0</v>
      </c>
      <c r="R59" s="11">
        <f t="shared" si="14"/>
        <v>0</v>
      </c>
    </row>
    <row r="60" spans="1:18" x14ac:dyDescent="0.25">
      <c r="A60" s="9">
        <f>IF(Lease!$H$4="Monthly",DATE(YEAR(Yearly!A59),MONTH(Yearly!A59)+1,DAY(Yearly!A59)),IF(Lease!$H$4="Quarterly",DATE(YEAR(Yearly!A59),MONTH(Yearly!A59)+3,DAY(Yearly!A59)),DATE(YEAR(Yearly!A59)+1,MONTH(Yearly!A59),DAY(Yearly!A59))))</f>
        <v>62532</v>
      </c>
      <c r="B60" s="9">
        <f t="shared" si="2"/>
        <v>62518</v>
      </c>
      <c r="C60" s="9">
        <f t="shared" si="15"/>
        <v>62548</v>
      </c>
      <c r="D60" s="3">
        <f t="shared" si="16"/>
        <v>31</v>
      </c>
      <c r="E60" s="4">
        <f>Lease!K70</f>
        <v>0</v>
      </c>
      <c r="F60" s="3">
        <f t="shared" si="17"/>
        <v>0</v>
      </c>
      <c r="G60" s="11">
        <f t="shared" si="3"/>
        <v>0</v>
      </c>
      <c r="H60" s="11">
        <f t="shared" si="4"/>
        <v>0</v>
      </c>
      <c r="I60" s="11">
        <f t="shared" si="5"/>
        <v>0</v>
      </c>
      <c r="J60" s="11">
        <f t="shared" si="6"/>
        <v>0</v>
      </c>
      <c r="K60" s="11">
        <f t="shared" si="7"/>
        <v>0</v>
      </c>
      <c r="L60" s="11">
        <f t="shared" si="8"/>
        <v>0</v>
      </c>
      <c r="M60" s="11">
        <f t="shared" si="9"/>
        <v>0</v>
      </c>
      <c r="N60" s="11">
        <f t="shared" si="10"/>
        <v>0</v>
      </c>
      <c r="O60" s="11">
        <f t="shared" si="11"/>
        <v>0</v>
      </c>
      <c r="P60" s="11">
        <f t="shared" si="12"/>
        <v>0</v>
      </c>
      <c r="Q60" s="11">
        <f t="shared" si="13"/>
        <v>0</v>
      </c>
      <c r="R60" s="11">
        <f t="shared" si="14"/>
        <v>0</v>
      </c>
    </row>
    <row r="61" spans="1:18" x14ac:dyDescent="0.25">
      <c r="A61" s="9">
        <f>IF(Lease!$H$4="Monthly",DATE(YEAR(Yearly!A60),MONTH(Yearly!A60)+1,DAY(Yearly!A60)),IF(Lease!$H$4="Quarterly",DATE(YEAR(Yearly!A60),MONTH(Yearly!A60)+3,DAY(Yearly!A60)),DATE(YEAR(Yearly!A60)+1,MONTH(Yearly!A60),DAY(Yearly!A60))))</f>
        <v>62898</v>
      </c>
      <c r="B61" s="9">
        <f t="shared" si="2"/>
        <v>62884</v>
      </c>
      <c r="C61" s="9">
        <f t="shared" si="15"/>
        <v>62914</v>
      </c>
      <c r="D61" s="3">
        <f t="shared" si="16"/>
        <v>31</v>
      </c>
      <c r="E61" s="4">
        <f>Lease!K71</f>
        <v>0</v>
      </c>
      <c r="F61" s="3">
        <f t="shared" si="17"/>
        <v>0</v>
      </c>
      <c r="G61" s="11">
        <f t="shared" si="3"/>
        <v>0</v>
      </c>
      <c r="H61" s="11">
        <f t="shared" si="4"/>
        <v>0</v>
      </c>
      <c r="I61" s="11">
        <f t="shared" si="5"/>
        <v>0</v>
      </c>
      <c r="J61" s="11">
        <f t="shared" si="6"/>
        <v>0</v>
      </c>
      <c r="K61" s="11">
        <f t="shared" si="7"/>
        <v>0</v>
      </c>
      <c r="L61" s="11">
        <f t="shared" si="8"/>
        <v>0</v>
      </c>
      <c r="M61" s="11">
        <f t="shared" si="9"/>
        <v>0</v>
      </c>
      <c r="N61" s="11">
        <f t="shared" si="10"/>
        <v>0</v>
      </c>
      <c r="O61" s="11">
        <f t="shared" si="11"/>
        <v>0</v>
      </c>
      <c r="P61" s="11">
        <f t="shared" si="12"/>
        <v>0</v>
      </c>
      <c r="Q61" s="11">
        <f t="shared" si="13"/>
        <v>0</v>
      </c>
      <c r="R61" s="11">
        <f t="shared" si="14"/>
        <v>0</v>
      </c>
    </row>
    <row r="62" spans="1:18" x14ac:dyDescent="0.25">
      <c r="A62" s="9">
        <f>IF(Lease!$H$4="Monthly",DATE(YEAR(Yearly!A61),MONTH(Yearly!A61)+1,DAY(Yearly!A61)),IF(Lease!$H$4="Quarterly",DATE(YEAR(Yearly!A61),MONTH(Yearly!A61)+3,DAY(Yearly!A61)),DATE(YEAR(Yearly!A61)+1,MONTH(Yearly!A61),DAY(Yearly!A61))))</f>
        <v>63263</v>
      </c>
      <c r="B62" s="9">
        <f t="shared" si="2"/>
        <v>63249</v>
      </c>
      <c r="C62" s="9">
        <f t="shared" si="15"/>
        <v>63279</v>
      </c>
      <c r="D62" s="3">
        <f t="shared" si="16"/>
        <v>31</v>
      </c>
      <c r="E62" s="4">
        <f>Lease!K72</f>
        <v>0</v>
      </c>
      <c r="F62" s="3">
        <f t="shared" si="17"/>
        <v>0</v>
      </c>
      <c r="G62" s="11">
        <f t="shared" si="3"/>
        <v>0</v>
      </c>
      <c r="H62" s="11">
        <f t="shared" si="4"/>
        <v>0</v>
      </c>
      <c r="I62" s="11">
        <f t="shared" si="5"/>
        <v>0</v>
      </c>
      <c r="J62" s="11">
        <f t="shared" si="6"/>
        <v>0</v>
      </c>
      <c r="K62" s="11">
        <f t="shared" si="7"/>
        <v>0</v>
      </c>
      <c r="L62" s="11">
        <f t="shared" si="8"/>
        <v>0</v>
      </c>
      <c r="M62" s="11">
        <f t="shared" si="9"/>
        <v>0</v>
      </c>
      <c r="N62" s="11">
        <f t="shared" si="10"/>
        <v>0</v>
      </c>
      <c r="O62" s="11">
        <f t="shared" si="11"/>
        <v>0</v>
      </c>
      <c r="P62" s="11">
        <f t="shared" si="12"/>
        <v>0</v>
      </c>
      <c r="Q62" s="11">
        <f t="shared" si="13"/>
        <v>0</v>
      </c>
      <c r="R62" s="11">
        <f t="shared" si="14"/>
        <v>0</v>
      </c>
    </row>
    <row r="63" spans="1:18" x14ac:dyDescent="0.25">
      <c r="A63" s="9">
        <f>IF(Lease!$H$4="Monthly",DATE(YEAR(Yearly!A62),MONTH(Yearly!A62)+1,DAY(Yearly!A62)),IF(Lease!$H$4="Quarterly",DATE(YEAR(Yearly!A62),MONTH(Yearly!A62)+3,DAY(Yearly!A62)),DATE(YEAR(Yearly!A62)+1,MONTH(Yearly!A62),DAY(Yearly!A62))))</f>
        <v>63628</v>
      </c>
      <c r="B63" s="9">
        <f t="shared" si="2"/>
        <v>63614</v>
      </c>
      <c r="C63" s="9">
        <f t="shared" si="15"/>
        <v>63644</v>
      </c>
      <c r="D63" s="3">
        <f t="shared" si="16"/>
        <v>31</v>
      </c>
      <c r="E63" s="4">
        <f>Lease!K73</f>
        <v>0</v>
      </c>
      <c r="F63" s="3">
        <f t="shared" si="17"/>
        <v>0</v>
      </c>
      <c r="G63" s="11">
        <f t="shared" si="3"/>
        <v>0</v>
      </c>
      <c r="H63" s="11">
        <f t="shared" si="4"/>
        <v>0</v>
      </c>
      <c r="I63" s="11">
        <f t="shared" si="5"/>
        <v>0</v>
      </c>
      <c r="J63" s="11">
        <f t="shared" si="6"/>
        <v>0</v>
      </c>
      <c r="K63" s="11">
        <f t="shared" si="7"/>
        <v>0</v>
      </c>
      <c r="L63" s="11">
        <f t="shared" si="8"/>
        <v>0</v>
      </c>
      <c r="M63" s="11">
        <f t="shared" si="9"/>
        <v>0</v>
      </c>
      <c r="N63" s="11">
        <f t="shared" si="10"/>
        <v>0</v>
      </c>
      <c r="O63" s="11">
        <f t="shared" si="11"/>
        <v>0</v>
      </c>
      <c r="P63" s="11">
        <f t="shared" si="12"/>
        <v>0</v>
      </c>
      <c r="Q63" s="11">
        <f t="shared" si="13"/>
        <v>0</v>
      </c>
      <c r="R63" s="11">
        <f t="shared" si="14"/>
        <v>0</v>
      </c>
    </row>
    <row r="64" spans="1:18" x14ac:dyDescent="0.25">
      <c r="A64" s="9">
        <f>IF(Lease!$H$4="Monthly",DATE(YEAR(Yearly!A63),MONTH(Yearly!A63)+1,DAY(Yearly!A63)),IF(Lease!$H$4="Quarterly",DATE(YEAR(Yearly!A63),MONTH(Yearly!A63)+3,DAY(Yearly!A63)),DATE(YEAR(Yearly!A63)+1,MONTH(Yearly!A63),DAY(Yearly!A63))))</f>
        <v>63993</v>
      </c>
      <c r="B64" s="9">
        <f t="shared" si="2"/>
        <v>63979</v>
      </c>
      <c r="C64" s="9">
        <f t="shared" si="15"/>
        <v>64009</v>
      </c>
      <c r="D64" s="3">
        <f t="shared" si="16"/>
        <v>31</v>
      </c>
      <c r="E64" s="4">
        <f>Lease!K74</f>
        <v>0</v>
      </c>
      <c r="F64" s="3">
        <f t="shared" si="17"/>
        <v>0</v>
      </c>
      <c r="G64" s="11">
        <f t="shared" si="3"/>
        <v>0</v>
      </c>
      <c r="H64" s="11">
        <f t="shared" si="4"/>
        <v>0</v>
      </c>
      <c r="I64" s="11">
        <f t="shared" si="5"/>
        <v>0</v>
      </c>
      <c r="J64" s="11">
        <f t="shared" si="6"/>
        <v>0</v>
      </c>
      <c r="K64" s="11">
        <f t="shared" si="7"/>
        <v>0</v>
      </c>
      <c r="L64" s="11">
        <f t="shared" si="8"/>
        <v>0</v>
      </c>
      <c r="M64" s="11">
        <f t="shared" si="9"/>
        <v>0</v>
      </c>
      <c r="N64" s="11">
        <f t="shared" si="10"/>
        <v>0</v>
      </c>
      <c r="O64" s="11">
        <f t="shared" si="11"/>
        <v>0</v>
      </c>
      <c r="P64" s="11">
        <f t="shared" si="12"/>
        <v>0</v>
      </c>
      <c r="Q64" s="11">
        <f t="shared" si="13"/>
        <v>0</v>
      </c>
      <c r="R64" s="11">
        <f t="shared" si="14"/>
        <v>0</v>
      </c>
    </row>
    <row r="65" spans="1:18" x14ac:dyDescent="0.25">
      <c r="A65" s="9">
        <f>IF(Lease!$H$4="Monthly",DATE(YEAR(Yearly!A64),MONTH(Yearly!A64)+1,DAY(Yearly!A64)),IF(Lease!$H$4="Quarterly",DATE(YEAR(Yearly!A64),MONTH(Yearly!A64)+3,DAY(Yearly!A64)),DATE(YEAR(Yearly!A64)+1,MONTH(Yearly!A64),DAY(Yearly!A64))))</f>
        <v>64359</v>
      </c>
      <c r="B65" s="9">
        <f t="shared" si="2"/>
        <v>64345</v>
      </c>
      <c r="C65" s="9">
        <f t="shared" si="15"/>
        <v>64375</v>
      </c>
      <c r="D65" s="3">
        <f t="shared" si="16"/>
        <v>31</v>
      </c>
      <c r="E65" s="4">
        <f>Lease!K75</f>
        <v>0</v>
      </c>
      <c r="F65" s="3">
        <f t="shared" si="17"/>
        <v>0</v>
      </c>
      <c r="G65" s="11">
        <f t="shared" si="3"/>
        <v>0</v>
      </c>
      <c r="H65" s="11">
        <f t="shared" si="4"/>
        <v>0</v>
      </c>
      <c r="I65" s="11">
        <f t="shared" si="5"/>
        <v>0</v>
      </c>
      <c r="J65" s="11">
        <f t="shared" si="6"/>
        <v>0</v>
      </c>
      <c r="K65" s="11">
        <f t="shared" si="7"/>
        <v>0</v>
      </c>
      <c r="L65" s="11">
        <f t="shared" si="8"/>
        <v>0</v>
      </c>
      <c r="M65" s="11">
        <f t="shared" si="9"/>
        <v>0</v>
      </c>
      <c r="N65" s="11">
        <f t="shared" si="10"/>
        <v>0</v>
      </c>
      <c r="O65" s="11">
        <f t="shared" si="11"/>
        <v>0</v>
      </c>
      <c r="P65" s="11">
        <f t="shared" si="12"/>
        <v>0</v>
      </c>
      <c r="Q65" s="11">
        <f t="shared" si="13"/>
        <v>0</v>
      </c>
      <c r="R65" s="11">
        <f t="shared" si="14"/>
        <v>0</v>
      </c>
    </row>
    <row r="66" spans="1:18" x14ac:dyDescent="0.25">
      <c r="A66" s="9">
        <f>IF(Lease!$H$4="Monthly",DATE(YEAR(Yearly!A65),MONTH(Yearly!A65)+1,DAY(Yearly!A65)),IF(Lease!$H$4="Quarterly",DATE(YEAR(Yearly!A65),MONTH(Yearly!A65)+3,DAY(Yearly!A65)),DATE(YEAR(Yearly!A65)+1,MONTH(Yearly!A65),DAY(Yearly!A65))))</f>
        <v>64724</v>
      </c>
      <c r="B66" s="9">
        <f t="shared" si="2"/>
        <v>64710</v>
      </c>
      <c r="C66" s="9">
        <f t="shared" si="15"/>
        <v>64740</v>
      </c>
      <c r="D66" s="3">
        <f t="shared" si="16"/>
        <v>31</v>
      </c>
      <c r="E66" s="4">
        <f>Lease!K76</f>
        <v>0</v>
      </c>
      <c r="F66" s="3">
        <f t="shared" si="17"/>
        <v>0</v>
      </c>
      <c r="G66" s="11">
        <f t="shared" si="3"/>
        <v>0</v>
      </c>
      <c r="H66" s="11">
        <f t="shared" si="4"/>
        <v>0</v>
      </c>
      <c r="I66" s="11">
        <f t="shared" si="5"/>
        <v>0</v>
      </c>
      <c r="J66" s="11">
        <f t="shared" si="6"/>
        <v>0</v>
      </c>
      <c r="K66" s="11">
        <f t="shared" si="7"/>
        <v>0</v>
      </c>
      <c r="L66" s="11">
        <f t="shared" si="8"/>
        <v>0</v>
      </c>
      <c r="M66" s="11">
        <f t="shared" si="9"/>
        <v>0</v>
      </c>
      <c r="N66" s="11">
        <f t="shared" si="10"/>
        <v>0</v>
      </c>
      <c r="O66" s="11">
        <f t="shared" si="11"/>
        <v>0</v>
      </c>
      <c r="P66" s="11">
        <f t="shared" si="12"/>
        <v>0</v>
      </c>
      <c r="Q66" s="11">
        <f t="shared" si="13"/>
        <v>0</v>
      </c>
      <c r="R66" s="11">
        <f t="shared" si="14"/>
        <v>0</v>
      </c>
    </row>
    <row r="67" spans="1:18" x14ac:dyDescent="0.25">
      <c r="A67" s="9">
        <f>IF(Lease!$H$4="Monthly",DATE(YEAR(Yearly!A66),MONTH(Yearly!A66)+1,DAY(Yearly!A66)),IF(Lease!$H$4="Quarterly",DATE(YEAR(Yearly!A66),MONTH(Yearly!A66)+3,DAY(Yearly!A66)),DATE(YEAR(Yearly!A66)+1,MONTH(Yearly!A66),DAY(Yearly!A66))))</f>
        <v>65089</v>
      </c>
      <c r="B67" s="9">
        <f t="shared" si="2"/>
        <v>65075</v>
      </c>
      <c r="C67" s="9">
        <f t="shared" si="15"/>
        <v>65105</v>
      </c>
      <c r="D67" s="3">
        <f t="shared" si="16"/>
        <v>31</v>
      </c>
      <c r="E67" s="4">
        <f>Lease!K77</f>
        <v>0</v>
      </c>
      <c r="F67" s="3">
        <f t="shared" si="17"/>
        <v>0</v>
      </c>
      <c r="G67" s="11">
        <f t="shared" si="3"/>
        <v>0</v>
      </c>
      <c r="H67" s="11">
        <f t="shared" si="4"/>
        <v>0</v>
      </c>
      <c r="I67" s="11">
        <f t="shared" si="5"/>
        <v>0</v>
      </c>
      <c r="J67" s="11">
        <f t="shared" si="6"/>
        <v>0</v>
      </c>
      <c r="K67" s="11">
        <f t="shared" si="7"/>
        <v>0</v>
      </c>
      <c r="L67" s="11">
        <f t="shared" si="8"/>
        <v>0</v>
      </c>
      <c r="M67" s="11">
        <f t="shared" si="9"/>
        <v>0</v>
      </c>
      <c r="N67" s="11">
        <f t="shared" si="10"/>
        <v>0</v>
      </c>
      <c r="O67" s="11">
        <f t="shared" si="11"/>
        <v>0</v>
      </c>
      <c r="P67" s="11">
        <f t="shared" si="12"/>
        <v>0</v>
      </c>
      <c r="Q67" s="11">
        <f t="shared" si="13"/>
        <v>0</v>
      </c>
      <c r="R67" s="11">
        <f t="shared" si="14"/>
        <v>0</v>
      </c>
    </row>
    <row r="68" spans="1:18" x14ac:dyDescent="0.25">
      <c r="A68" s="9">
        <f>IF(Lease!$H$4="Monthly",DATE(YEAR(Yearly!A67),MONTH(Yearly!A67)+1,DAY(Yearly!A67)),IF(Lease!$H$4="Quarterly",DATE(YEAR(Yearly!A67),MONTH(Yearly!A67)+3,DAY(Yearly!A67)),DATE(YEAR(Yearly!A67)+1,MONTH(Yearly!A67),DAY(Yearly!A67))))</f>
        <v>65454</v>
      </c>
      <c r="B68" s="9">
        <f t="shared" si="2"/>
        <v>65440</v>
      </c>
      <c r="C68" s="9">
        <f t="shared" si="15"/>
        <v>65470</v>
      </c>
      <c r="D68" s="3">
        <f t="shared" si="16"/>
        <v>31</v>
      </c>
      <c r="E68" s="4">
        <f>Lease!K78</f>
        <v>0</v>
      </c>
      <c r="F68" s="3">
        <f t="shared" si="17"/>
        <v>0</v>
      </c>
      <c r="G68" s="11">
        <f t="shared" si="3"/>
        <v>0</v>
      </c>
      <c r="H68" s="11">
        <f t="shared" si="4"/>
        <v>0</v>
      </c>
      <c r="I68" s="11">
        <f t="shared" si="5"/>
        <v>0</v>
      </c>
      <c r="J68" s="11">
        <f t="shared" si="6"/>
        <v>0</v>
      </c>
      <c r="K68" s="11">
        <f t="shared" si="7"/>
        <v>0</v>
      </c>
      <c r="L68" s="11">
        <f t="shared" si="8"/>
        <v>0</v>
      </c>
      <c r="M68" s="11">
        <f t="shared" si="9"/>
        <v>0</v>
      </c>
      <c r="N68" s="11">
        <f t="shared" si="10"/>
        <v>0</v>
      </c>
      <c r="O68" s="11">
        <f t="shared" si="11"/>
        <v>0</v>
      </c>
      <c r="P68" s="11">
        <f t="shared" si="12"/>
        <v>0</v>
      </c>
      <c r="Q68" s="11">
        <f t="shared" si="13"/>
        <v>0</v>
      </c>
      <c r="R68" s="11">
        <f t="shared" si="14"/>
        <v>0</v>
      </c>
    </row>
    <row r="69" spans="1:18" x14ac:dyDescent="0.25">
      <c r="A69" s="9">
        <f>IF(Lease!$H$4="Monthly",DATE(YEAR(Yearly!A68),MONTH(Yearly!A68)+1,DAY(Yearly!A68)),IF(Lease!$H$4="Quarterly",DATE(YEAR(Yearly!A68),MONTH(Yearly!A68)+3,DAY(Yearly!A68)),DATE(YEAR(Yearly!A68)+1,MONTH(Yearly!A68),DAY(Yearly!A68))))</f>
        <v>65820</v>
      </c>
      <c r="B69" s="9">
        <f t="shared" si="2"/>
        <v>65806</v>
      </c>
      <c r="C69" s="9">
        <f t="shared" si="15"/>
        <v>65836</v>
      </c>
      <c r="D69" s="3">
        <f t="shared" si="16"/>
        <v>31</v>
      </c>
      <c r="E69" s="4">
        <f>Lease!K79</f>
        <v>0</v>
      </c>
      <c r="F69" s="3">
        <f t="shared" si="17"/>
        <v>0</v>
      </c>
      <c r="G69" s="11">
        <f t="shared" si="3"/>
        <v>0</v>
      </c>
      <c r="H69" s="11">
        <f t="shared" si="4"/>
        <v>0</v>
      </c>
      <c r="I69" s="11">
        <f t="shared" si="5"/>
        <v>0</v>
      </c>
      <c r="J69" s="11">
        <f t="shared" si="6"/>
        <v>0</v>
      </c>
      <c r="K69" s="11">
        <f t="shared" si="7"/>
        <v>0</v>
      </c>
      <c r="L69" s="11">
        <f t="shared" si="8"/>
        <v>0</v>
      </c>
      <c r="M69" s="11">
        <f t="shared" si="9"/>
        <v>0</v>
      </c>
      <c r="N69" s="11">
        <f t="shared" si="10"/>
        <v>0</v>
      </c>
      <c r="O69" s="11">
        <f t="shared" si="11"/>
        <v>0</v>
      </c>
      <c r="P69" s="11">
        <f t="shared" si="12"/>
        <v>0</v>
      </c>
      <c r="Q69" s="11">
        <f t="shared" si="13"/>
        <v>0</v>
      </c>
      <c r="R69" s="11">
        <f t="shared" si="14"/>
        <v>0</v>
      </c>
    </row>
    <row r="70" spans="1:18" x14ac:dyDescent="0.25">
      <c r="A70" s="9">
        <f>IF(Lease!$H$4="Monthly",DATE(YEAR(Yearly!A69),MONTH(Yearly!A69)+1,DAY(Yearly!A69)),IF(Lease!$H$4="Quarterly",DATE(YEAR(Yearly!A69),MONTH(Yearly!A69)+3,DAY(Yearly!A69)),DATE(YEAR(Yearly!A69)+1,MONTH(Yearly!A69),DAY(Yearly!A69))))</f>
        <v>66185</v>
      </c>
      <c r="B70" s="9">
        <f t="shared" ref="B70:B100" si="18">EOMONTH(A70,-1)+1</f>
        <v>66171</v>
      </c>
      <c r="C70" s="9">
        <f t="shared" si="15"/>
        <v>66201</v>
      </c>
      <c r="D70" s="3">
        <f t="shared" si="16"/>
        <v>31</v>
      </c>
      <c r="E70" s="4">
        <f>Lease!K80</f>
        <v>0</v>
      </c>
      <c r="F70" s="3">
        <f t="shared" si="17"/>
        <v>0</v>
      </c>
      <c r="G70" s="11">
        <f t="shared" ref="G70:G99" si="19">$E71/($A71-$A70+1)*((((EOMONTH(DATE(YEAR($A70),MONTH($A70)+G$4,DAY($A70)),0)))-DATE(YEAR($A70),MONTH(EOMONTH($A70,-1)+G$4)+G$4,1))+1)</f>
        <v>0</v>
      </c>
      <c r="H70" s="11">
        <f t="shared" ref="H70:H99" si="20">$E71/($A71-$A70+1)*((((EOMONTH(DATE(YEAR($A70),MONTH($A70)+H$4,DAY($A70)),0)))-DATE(YEAR($A70),MONTH(EOMONTH($A70,-1)+H$4)+H$4,1))+1)</f>
        <v>0</v>
      </c>
      <c r="I70" s="11">
        <f t="shared" ref="I70:I99" si="21">$E71/($A71-$A70+1)*((((EOMONTH(DATE(YEAR($A70),MONTH($A70)+I$4,DAY($A70)),0)))-DATE(YEAR($A70),MONTH(EOMONTH($A70,-1)+I$4)+I$4,1))+1)</f>
        <v>0</v>
      </c>
      <c r="J70" s="11">
        <f t="shared" ref="J70:J99" si="22">$E71/($A71-$A70+1)*((((EOMONTH(DATE(YEAR($A70),MONTH($A70)+J$4,DAY($A70)),0)))-DATE(YEAR($A70),MONTH(EOMONTH($A70,-1)+J$4)+J$4,1))+1)</f>
        <v>0</v>
      </c>
      <c r="K70" s="11">
        <f t="shared" ref="K70:K99" si="23">$E71/($A71-$A70+1)*((((EOMONTH(DATE(YEAR($A70),MONTH($A70)+K$4,DAY($A70)),0)))-DATE(YEAR($A70),MONTH(EOMONTH($A70,-1)+K$4)+K$4,1))+1)</f>
        <v>0</v>
      </c>
      <c r="L70" s="11">
        <f t="shared" ref="L70:L99" si="24">$E71/($A71-$A70+1)*((((EOMONTH(DATE(YEAR($A70),MONTH($A70)+L$4,DAY($A70)),0)))-DATE(YEAR($A70),MONTH(EOMONTH($A70,-1)+L$4)+L$4,1))+1)</f>
        <v>0</v>
      </c>
      <c r="M70" s="11">
        <f t="shared" ref="M70:M99" si="25">$E71/($A71-$A70+1)*((((EOMONTH(DATE(YEAR($A70),MONTH($A70)+M$4,DAY($A70)),0)))-DATE(YEAR($A70),MONTH(EOMONTH($A70,-1)+M$4)+M$4,1))+1)</f>
        <v>0</v>
      </c>
      <c r="N70" s="11">
        <f t="shared" ref="N70:N99" si="26">$E71/($A71-$A70+1)*((((EOMONTH(DATE(YEAR($A70),MONTH($A70)+N$4,DAY($A70)),0)))-DATE(YEAR($A70),MONTH(EOMONTH($A70,-1)+N$4)+N$4,1))+1)</f>
        <v>0</v>
      </c>
      <c r="O70" s="11">
        <f t="shared" ref="O70:O99" si="27">$E71/($A71-$A70+1)*((((EOMONTH(DATE(YEAR($A70),MONTH($A70)+O$4,DAY($A70)),0)))-DATE(YEAR($A70),MONTH(EOMONTH($A70,-1)+O$4)+O$4,1))+1)</f>
        <v>0</v>
      </c>
      <c r="P70" s="11">
        <f t="shared" ref="P70:P99" si="28">$E71/($A71-$A70+1)*((((EOMONTH(DATE(YEAR($A70),MONTH($A70)+P$4,DAY($A70)),0)))-DATE(YEAR($A70),MONTH(EOMONTH($A70,-1)+P$4)+P$4,1))+1)</f>
        <v>0</v>
      </c>
      <c r="Q70" s="11">
        <f t="shared" ref="Q70:Q99" si="29">$E71/($A71-$A70+1)*((((EOMONTH(DATE(YEAR($A70),MONTH($A70)+Q$4,DAY($A70)),0)))-DATE(YEAR($A70),MONTH(EOMONTH($A70,-1)+Q$4)+Q$4,1))+1)</f>
        <v>0</v>
      </c>
      <c r="R70" s="11">
        <f t="shared" ref="R70:R99" si="30">$E71/($A71-$A70+1)*IF((((EOMONTH(DATE(YEAR($A70),MONTH($A70)+R$4,DAY($A70)),0))))&lt;$A70,$A70-DATE(YEAR($A70),MONTH(EOMONTH($A70,-1)+R$4)+R$4,1)+1,$A70-1-EOMONTH($A70,-1)+1)</f>
        <v>0</v>
      </c>
    </row>
    <row r="71" spans="1:18" x14ac:dyDescent="0.25">
      <c r="A71" s="9">
        <f>IF(Lease!$H$4="Monthly",DATE(YEAR(Yearly!A70),MONTH(Yearly!A70)+1,DAY(Yearly!A70)),IF(Lease!$H$4="Quarterly",DATE(YEAR(Yearly!A70),MONTH(Yearly!A70)+3,DAY(Yearly!A70)),DATE(YEAR(Yearly!A70)+1,MONTH(Yearly!A70),DAY(Yearly!A70))))</f>
        <v>66550</v>
      </c>
      <c r="B71" s="9">
        <f t="shared" si="18"/>
        <v>66536</v>
      </c>
      <c r="C71" s="9">
        <f t="shared" ref="C71:C100" si="31">EOMONTH(A71,0)</f>
        <v>66566</v>
      </c>
      <c r="D71" s="3">
        <f t="shared" ref="D71:D100" si="32">C71-B71+1</f>
        <v>31</v>
      </c>
      <c r="E71" s="4">
        <f>Lease!K81</f>
        <v>0</v>
      </c>
      <c r="F71" s="3">
        <f t="shared" si="17"/>
        <v>0</v>
      </c>
      <c r="G71" s="11">
        <f t="shared" si="19"/>
        <v>0</v>
      </c>
      <c r="H71" s="11">
        <f t="shared" si="20"/>
        <v>0</v>
      </c>
      <c r="I71" s="11">
        <f t="shared" si="21"/>
        <v>0</v>
      </c>
      <c r="J71" s="11">
        <f t="shared" si="22"/>
        <v>0</v>
      </c>
      <c r="K71" s="11">
        <f t="shared" si="23"/>
        <v>0</v>
      </c>
      <c r="L71" s="11">
        <f t="shared" si="24"/>
        <v>0</v>
      </c>
      <c r="M71" s="11">
        <f t="shared" si="25"/>
        <v>0</v>
      </c>
      <c r="N71" s="11">
        <f t="shared" si="26"/>
        <v>0</v>
      </c>
      <c r="O71" s="11">
        <f t="shared" si="27"/>
        <v>0</v>
      </c>
      <c r="P71" s="11">
        <f t="shared" si="28"/>
        <v>0</v>
      </c>
      <c r="Q71" s="11">
        <f t="shared" si="29"/>
        <v>0</v>
      </c>
      <c r="R71" s="11">
        <f t="shared" si="30"/>
        <v>0</v>
      </c>
    </row>
    <row r="72" spans="1:18" x14ac:dyDescent="0.25">
      <c r="A72" s="9">
        <f>IF(Lease!$H$4="Monthly",DATE(YEAR(Yearly!A71),MONTH(Yearly!A71)+1,DAY(Yearly!A71)),IF(Lease!$H$4="Quarterly",DATE(YEAR(Yearly!A71),MONTH(Yearly!A71)+3,DAY(Yearly!A71)),DATE(YEAR(Yearly!A71)+1,MONTH(Yearly!A71),DAY(Yearly!A71))))</f>
        <v>66915</v>
      </c>
      <c r="B72" s="9">
        <f t="shared" si="18"/>
        <v>66901</v>
      </c>
      <c r="C72" s="9">
        <f t="shared" si="31"/>
        <v>66931</v>
      </c>
      <c r="D72" s="3">
        <f t="shared" si="32"/>
        <v>31</v>
      </c>
      <c r="E72" s="4">
        <f>Lease!K82</f>
        <v>0</v>
      </c>
      <c r="F72" s="3">
        <f t="shared" ref="F72:F99" si="33">E73/(A73-A72+1)*(EOMONTH(A72,0)-A72+1)+R71</f>
        <v>0</v>
      </c>
      <c r="G72" s="11">
        <f t="shared" si="19"/>
        <v>0</v>
      </c>
      <c r="H72" s="11">
        <f t="shared" si="20"/>
        <v>0</v>
      </c>
      <c r="I72" s="11">
        <f t="shared" si="21"/>
        <v>0</v>
      </c>
      <c r="J72" s="11">
        <f t="shared" si="22"/>
        <v>0</v>
      </c>
      <c r="K72" s="11">
        <f t="shared" si="23"/>
        <v>0</v>
      </c>
      <c r="L72" s="11">
        <f t="shared" si="24"/>
        <v>0</v>
      </c>
      <c r="M72" s="11">
        <f t="shared" si="25"/>
        <v>0</v>
      </c>
      <c r="N72" s="11">
        <f t="shared" si="26"/>
        <v>0</v>
      </c>
      <c r="O72" s="11">
        <f t="shared" si="27"/>
        <v>0</v>
      </c>
      <c r="P72" s="11">
        <f t="shared" si="28"/>
        <v>0</v>
      </c>
      <c r="Q72" s="11">
        <f t="shared" si="29"/>
        <v>0</v>
      </c>
      <c r="R72" s="11">
        <f t="shared" si="30"/>
        <v>0</v>
      </c>
    </row>
    <row r="73" spans="1:18" x14ac:dyDescent="0.25">
      <c r="A73" s="9">
        <f>IF(Lease!$H$4="Monthly",DATE(YEAR(Yearly!A72),MONTH(Yearly!A72)+1,DAY(Yearly!A72)),IF(Lease!$H$4="Quarterly",DATE(YEAR(Yearly!A72),MONTH(Yearly!A72)+3,DAY(Yearly!A72)),DATE(YEAR(Yearly!A72)+1,MONTH(Yearly!A72),DAY(Yearly!A72))))</f>
        <v>67281</v>
      </c>
      <c r="B73" s="9">
        <f t="shared" si="18"/>
        <v>67267</v>
      </c>
      <c r="C73" s="9">
        <f t="shared" si="31"/>
        <v>67297</v>
      </c>
      <c r="D73" s="3">
        <f t="shared" si="32"/>
        <v>31</v>
      </c>
      <c r="E73" s="4">
        <f>Lease!K83</f>
        <v>0</v>
      </c>
      <c r="F73" s="3">
        <f t="shared" si="33"/>
        <v>0</v>
      </c>
      <c r="G73" s="11">
        <f t="shared" si="19"/>
        <v>0</v>
      </c>
      <c r="H73" s="11">
        <f t="shared" si="20"/>
        <v>0</v>
      </c>
      <c r="I73" s="11">
        <f t="shared" si="21"/>
        <v>0</v>
      </c>
      <c r="J73" s="11">
        <f t="shared" si="22"/>
        <v>0</v>
      </c>
      <c r="K73" s="11">
        <f t="shared" si="23"/>
        <v>0</v>
      </c>
      <c r="L73" s="11">
        <f t="shared" si="24"/>
        <v>0</v>
      </c>
      <c r="M73" s="11">
        <f t="shared" si="25"/>
        <v>0</v>
      </c>
      <c r="N73" s="11">
        <f t="shared" si="26"/>
        <v>0</v>
      </c>
      <c r="O73" s="11">
        <f t="shared" si="27"/>
        <v>0</v>
      </c>
      <c r="P73" s="11">
        <f t="shared" si="28"/>
        <v>0</v>
      </c>
      <c r="Q73" s="11">
        <f t="shared" si="29"/>
        <v>0</v>
      </c>
      <c r="R73" s="11">
        <f t="shared" si="30"/>
        <v>0</v>
      </c>
    </row>
    <row r="74" spans="1:18" x14ac:dyDescent="0.25">
      <c r="A74" s="9">
        <f>IF(Lease!$H$4="Monthly",DATE(YEAR(Yearly!A73),MONTH(Yearly!A73)+1,DAY(Yearly!A73)),IF(Lease!$H$4="Quarterly",DATE(YEAR(Yearly!A73),MONTH(Yearly!A73)+3,DAY(Yearly!A73)),DATE(YEAR(Yearly!A73)+1,MONTH(Yearly!A73),DAY(Yearly!A73))))</f>
        <v>67646</v>
      </c>
      <c r="B74" s="9">
        <f t="shared" si="18"/>
        <v>67632</v>
      </c>
      <c r="C74" s="9">
        <f t="shared" si="31"/>
        <v>67662</v>
      </c>
      <c r="D74" s="3">
        <f t="shared" si="32"/>
        <v>31</v>
      </c>
      <c r="E74" s="4">
        <f>Lease!K84</f>
        <v>0</v>
      </c>
      <c r="F74" s="3">
        <f t="shared" si="33"/>
        <v>0</v>
      </c>
      <c r="G74" s="11">
        <f t="shared" si="19"/>
        <v>0</v>
      </c>
      <c r="H74" s="11">
        <f t="shared" si="20"/>
        <v>0</v>
      </c>
      <c r="I74" s="11">
        <f t="shared" si="21"/>
        <v>0</v>
      </c>
      <c r="J74" s="11">
        <f t="shared" si="22"/>
        <v>0</v>
      </c>
      <c r="K74" s="11">
        <f t="shared" si="23"/>
        <v>0</v>
      </c>
      <c r="L74" s="11">
        <f t="shared" si="24"/>
        <v>0</v>
      </c>
      <c r="M74" s="11">
        <f t="shared" si="25"/>
        <v>0</v>
      </c>
      <c r="N74" s="11">
        <f t="shared" si="26"/>
        <v>0</v>
      </c>
      <c r="O74" s="11">
        <f t="shared" si="27"/>
        <v>0</v>
      </c>
      <c r="P74" s="11">
        <f t="shared" si="28"/>
        <v>0</v>
      </c>
      <c r="Q74" s="11">
        <f t="shared" si="29"/>
        <v>0</v>
      </c>
      <c r="R74" s="11">
        <f t="shared" si="30"/>
        <v>0</v>
      </c>
    </row>
    <row r="75" spans="1:18" x14ac:dyDescent="0.25">
      <c r="A75" s="9">
        <f>IF(Lease!$H$4="Monthly",DATE(YEAR(Yearly!A74),MONTH(Yearly!A74)+1,DAY(Yearly!A74)),IF(Lease!$H$4="Quarterly",DATE(YEAR(Yearly!A74),MONTH(Yearly!A74)+3,DAY(Yearly!A74)),DATE(YEAR(Yearly!A74)+1,MONTH(Yearly!A74),DAY(Yearly!A74))))</f>
        <v>68011</v>
      </c>
      <c r="B75" s="9">
        <f t="shared" si="18"/>
        <v>67997</v>
      </c>
      <c r="C75" s="9">
        <f t="shared" si="31"/>
        <v>68027</v>
      </c>
      <c r="D75" s="3">
        <f t="shared" si="32"/>
        <v>31</v>
      </c>
      <c r="E75" s="4">
        <f>Lease!K85</f>
        <v>0</v>
      </c>
      <c r="F75" s="3">
        <f t="shared" si="33"/>
        <v>0</v>
      </c>
      <c r="G75" s="11">
        <f t="shared" si="19"/>
        <v>0</v>
      </c>
      <c r="H75" s="11">
        <f t="shared" si="20"/>
        <v>0</v>
      </c>
      <c r="I75" s="11">
        <f t="shared" si="21"/>
        <v>0</v>
      </c>
      <c r="J75" s="11">
        <f t="shared" si="22"/>
        <v>0</v>
      </c>
      <c r="K75" s="11">
        <f t="shared" si="23"/>
        <v>0</v>
      </c>
      <c r="L75" s="11">
        <f t="shared" si="24"/>
        <v>0</v>
      </c>
      <c r="M75" s="11">
        <f t="shared" si="25"/>
        <v>0</v>
      </c>
      <c r="N75" s="11">
        <f t="shared" si="26"/>
        <v>0</v>
      </c>
      <c r="O75" s="11">
        <f t="shared" si="27"/>
        <v>0</v>
      </c>
      <c r="P75" s="11">
        <f t="shared" si="28"/>
        <v>0</v>
      </c>
      <c r="Q75" s="11">
        <f t="shared" si="29"/>
        <v>0</v>
      </c>
      <c r="R75" s="11">
        <f t="shared" si="30"/>
        <v>0</v>
      </c>
    </row>
    <row r="76" spans="1:18" x14ac:dyDescent="0.25">
      <c r="A76" s="9">
        <f>IF(Lease!$H$4="Monthly",DATE(YEAR(Yearly!A75),MONTH(Yearly!A75)+1,DAY(Yearly!A75)),IF(Lease!$H$4="Quarterly",DATE(YEAR(Yearly!A75),MONTH(Yearly!A75)+3,DAY(Yearly!A75)),DATE(YEAR(Yearly!A75)+1,MONTH(Yearly!A75),DAY(Yearly!A75))))</f>
        <v>68376</v>
      </c>
      <c r="B76" s="9">
        <f t="shared" si="18"/>
        <v>68362</v>
      </c>
      <c r="C76" s="9">
        <f t="shared" si="31"/>
        <v>68392</v>
      </c>
      <c r="D76" s="3">
        <f t="shared" si="32"/>
        <v>31</v>
      </c>
      <c r="E76" s="4">
        <f>Lease!K86</f>
        <v>0</v>
      </c>
      <c r="F76" s="3">
        <f t="shared" si="33"/>
        <v>0</v>
      </c>
      <c r="G76" s="11">
        <f t="shared" si="19"/>
        <v>0</v>
      </c>
      <c r="H76" s="11">
        <f t="shared" si="20"/>
        <v>0</v>
      </c>
      <c r="I76" s="11">
        <f t="shared" si="21"/>
        <v>0</v>
      </c>
      <c r="J76" s="11">
        <f t="shared" si="22"/>
        <v>0</v>
      </c>
      <c r="K76" s="11">
        <f t="shared" si="23"/>
        <v>0</v>
      </c>
      <c r="L76" s="11">
        <f t="shared" si="24"/>
        <v>0</v>
      </c>
      <c r="M76" s="11">
        <f t="shared" si="25"/>
        <v>0</v>
      </c>
      <c r="N76" s="11">
        <f t="shared" si="26"/>
        <v>0</v>
      </c>
      <c r="O76" s="11">
        <f t="shared" si="27"/>
        <v>0</v>
      </c>
      <c r="P76" s="11">
        <f t="shared" si="28"/>
        <v>0</v>
      </c>
      <c r="Q76" s="11">
        <f t="shared" si="29"/>
        <v>0</v>
      </c>
      <c r="R76" s="11">
        <f t="shared" si="30"/>
        <v>0</v>
      </c>
    </row>
    <row r="77" spans="1:18" x14ac:dyDescent="0.25">
      <c r="A77" s="9">
        <f>IF(Lease!$H$4="Monthly",DATE(YEAR(Yearly!A76),MONTH(Yearly!A76)+1,DAY(Yearly!A76)),IF(Lease!$H$4="Quarterly",DATE(YEAR(Yearly!A76),MONTH(Yearly!A76)+3,DAY(Yearly!A76)),DATE(YEAR(Yearly!A76)+1,MONTH(Yearly!A76),DAY(Yearly!A76))))</f>
        <v>68742</v>
      </c>
      <c r="B77" s="9">
        <f t="shared" si="18"/>
        <v>68728</v>
      </c>
      <c r="C77" s="9">
        <f t="shared" si="31"/>
        <v>68758</v>
      </c>
      <c r="D77" s="3">
        <f t="shared" si="32"/>
        <v>31</v>
      </c>
      <c r="E77" s="4">
        <f>Lease!K87</f>
        <v>0</v>
      </c>
      <c r="F77" s="3">
        <f t="shared" si="33"/>
        <v>0</v>
      </c>
      <c r="G77" s="11">
        <f t="shared" si="19"/>
        <v>0</v>
      </c>
      <c r="H77" s="11">
        <f t="shared" si="20"/>
        <v>0</v>
      </c>
      <c r="I77" s="11">
        <f t="shared" si="21"/>
        <v>0</v>
      </c>
      <c r="J77" s="11">
        <f t="shared" si="22"/>
        <v>0</v>
      </c>
      <c r="K77" s="11">
        <f t="shared" si="23"/>
        <v>0</v>
      </c>
      <c r="L77" s="11">
        <f t="shared" si="24"/>
        <v>0</v>
      </c>
      <c r="M77" s="11">
        <f t="shared" si="25"/>
        <v>0</v>
      </c>
      <c r="N77" s="11">
        <f t="shared" si="26"/>
        <v>0</v>
      </c>
      <c r="O77" s="11">
        <f t="shared" si="27"/>
        <v>0</v>
      </c>
      <c r="P77" s="11">
        <f t="shared" si="28"/>
        <v>0</v>
      </c>
      <c r="Q77" s="11">
        <f t="shared" si="29"/>
        <v>0</v>
      </c>
      <c r="R77" s="11">
        <f t="shared" si="30"/>
        <v>0</v>
      </c>
    </row>
    <row r="78" spans="1:18" x14ac:dyDescent="0.25">
      <c r="A78" s="9">
        <f>IF(Lease!$H$4="Monthly",DATE(YEAR(Yearly!A77),MONTH(Yearly!A77)+1,DAY(Yearly!A77)),IF(Lease!$H$4="Quarterly",DATE(YEAR(Yearly!A77),MONTH(Yearly!A77)+3,DAY(Yearly!A77)),DATE(YEAR(Yearly!A77)+1,MONTH(Yearly!A77),DAY(Yearly!A77))))</f>
        <v>69107</v>
      </c>
      <c r="B78" s="9">
        <f t="shared" si="18"/>
        <v>69093</v>
      </c>
      <c r="C78" s="9">
        <f t="shared" si="31"/>
        <v>69123</v>
      </c>
      <c r="D78" s="3">
        <f t="shared" si="32"/>
        <v>31</v>
      </c>
      <c r="E78" s="4">
        <f>Lease!K88</f>
        <v>0</v>
      </c>
      <c r="F78" s="3">
        <f t="shared" si="33"/>
        <v>0</v>
      </c>
      <c r="G78" s="11">
        <f t="shared" si="19"/>
        <v>0</v>
      </c>
      <c r="H78" s="11">
        <f t="shared" si="20"/>
        <v>0</v>
      </c>
      <c r="I78" s="11">
        <f t="shared" si="21"/>
        <v>0</v>
      </c>
      <c r="J78" s="11">
        <f t="shared" si="22"/>
        <v>0</v>
      </c>
      <c r="K78" s="11">
        <f t="shared" si="23"/>
        <v>0</v>
      </c>
      <c r="L78" s="11">
        <f t="shared" si="24"/>
        <v>0</v>
      </c>
      <c r="M78" s="11">
        <f t="shared" si="25"/>
        <v>0</v>
      </c>
      <c r="N78" s="11">
        <f t="shared" si="26"/>
        <v>0</v>
      </c>
      <c r="O78" s="11">
        <f t="shared" si="27"/>
        <v>0</v>
      </c>
      <c r="P78" s="11">
        <f t="shared" si="28"/>
        <v>0</v>
      </c>
      <c r="Q78" s="11">
        <f t="shared" si="29"/>
        <v>0</v>
      </c>
      <c r="R78" s="11">
        <f t="shared" si="30"/>
        <v>0</v>
      </c>
    </row>
    <row r="79" spans="1:18" x14ac:dyDescent="0.25">
      <c r="A79" s="9">
        <f>IF(Lease!$H$4="Monthly",DATE(YEAR(Yearly!A78),MONTH(Yearly!A78)+1,DAY(Yearly!A78)),IF(Lease!$H$4="Quarterly",DATE(YEAR(Yearly!A78),MONTH(Yearly!A78)+3,DAY(Yearly!A78)),DATE(YEAR(Yearly!A78)+1,MONTH(Yearly!A78),DAY(Yearly!A78))))</f>
        <v>69472</v>
      </c>
      <c r="B79" s="9">
        <f t="shared" si="18"/>
        <v>69458</v>
      </c>
      <c r="C79" s="9">
        <f t="shared" si="31"/>
        <v>69488</v>
      </c>
      <c r="D79" s="3">
        <f t="shared" si="32"/>
        <v>31</v>
      </c>
      <c r="E79" s="4">
        <f>Lease!K89</f>
        <v>0</v>
      </c>
      <c r="F79" s="3">
        <f t="shared" si="33"/>
        <v>0</v>
      </c>
      <c r="G79" s="11">
        <f t="shared" si="19"/>
        <v>0</v>
      </c>
      <c r="H79" s="11">
        <f t="shared" si="20"/>
        <v>0</v>
      </c>
      <c r="I79" s="11">
        <f t="shared" si="21"/>
        <v>0</v>
      </c>
      <c r="J79" s="11">
        <f t="shared" si="22"/>
        <v>0</v>
      </c>
      <c r="K79" s="11">
        <f t="shared" si="23"/>
        <v>0</v>
      </c>
      <c r="L79" s="11">
        <f t="shared" si="24"/>
        <v>0</v>
      </c>
      <c r="M79" s="11">
        <f t="shared" si="25"/>
        <v>0</v>
      </c>
      <c r="N79" s="11">
        <f t="shared" si="26"/>
        <v>0</v>
      </c>
      <c r="O79" s="11">
        <f t="shared" si="27"/>
        <v>0</v>
      </c>
      <c r="P79" s="11">
        <f t="shared" si="28"/>
        <v>0</v>
      </c>
      <c r="Q79" s="11">
        <f t="shared" si="29"/>
        <v>0</v>
      </c>
      <c r="R79" s="11">
        <f t="shared" si="30"/>
        <v>0</v>
      </c>
    </row>
    <row r="80" spans="1:18" x14ac:dyDescent="0.25">
      <c r="A80" s="9">
        <f>IF(Lease!$H$4="Monthly",DATE(YEAR(Yearly!A79),MONTH(Yearly!A79)+1,DAY(Yearly!A79)),IF(Lease!$H$4="Quarterly",DATE(YEAR(Yearly!A79),MONTH(Yearly!A79)+3,DAY(Yearly!A79)),DATE(YEAR(Yearly!A79)+1,MONTH(Yearly!A79),DAY(Yearly!A79))))</f>
        <v>69837</v>
      </c>
      <c r="B80" s="9">
        <f t="shared" si="18"/>
        <v>69823</v>
      </c>
      <c r="C80" s="9">
        <f t="shared" si="31"/>
        <v>69853</v>
      </c>
      <c r="D80" s="3">
        <f t="shared" si="32"/>
        <v>31</v>
      </c>
      <c r="E80" s="4">
        <f>Lease!K90</f>
        <v>0</v>
      </c>
      <c r="F80" s="3">
        <f t="shared" si="33"/>
        <v>0</v>
      </c>
      <c r="G80" s="11">
        <f t="shared" si="19"/>
        <v>0</v>
      </c>
      <c r="H80" s="11">
        <f t="shared" si="20"/>
        <v>0</v>
      </c>
      <c r="I80" s="11">
        <f t="shared" si="21"/>
        <v>0</v>
      </c>
      <c r="J80" s="11">
        <f t="shared" si="22"/>
        <v>0</v>
      </c>
      <c r="K80" s="11">
        <f t="shared" si="23"/>
        <v>0</v>
      </c>
      <c r="L80" s="11">
        <f t="shared" si="24"/>
        <v>0</v>
      </c>
      <c r="M80" s="11">
        <f t="shared" si="25"/>
        <v>0</v>
      </c>
      <c r="N80" s="11">
        <f t="shared" si="26"/>
        <v>0</v>
      </c>
      <c r="O80" s="11">
        <f t="shared" si="27"/>
        <v>0</v>
      </c>
      <c r="P80" s="11">
        <f t="shared" si="28"/>
        <v>0</v>
      </c>
      <c r="Q80" s="11">
        <f t="shared" si="29"/>
        <v>0</v>
      </c>
      <c r="R80" s="11">
        <f t="shared" si="30"/>
        <v>0</v>
      </c>
    </row>
    <row r="81" spans="1:18" x14ac:dyDescent="0.25">
      <c r="A81" s="9">
        <f>IF(Lease!$H$4="Monthly",DATE(YEAR(Yearly!A80),MONTH(Yearly!A80)+1,DAY(Yearly!A80)),IF(Lease!$H$4="Quarterly",DATE(YEAR(Yearly!A80),MONTH(Yearly!A80)+3,DAY(Yearly!A80)),DATE(YEAR(Yearly!A80)+1,MONTH(Yearly!A80),DAY(Yearly!A80))))</f>
        <v>70203</v>
      </c>
      <c r="B81" s="9">
        <f t="shared" si="18"/>
        <v>70189</v>
      </c>
      <c r="C81" s="9">
        <f t="shared" si="31"/>
        <v>70219</v>
      </c>
      <c r="D81" s="3">
        <f t="shared" si="32"/>
        <v>31</v>
      </c>
      <c r="E81" s="4">
        <f>Lease!K91</f>
        <v>0</v>
      </c>
      <c r="F81" s="3">
        <f t="shared" si="33"/>
        <v>0</v>
      </c>
      <c r="G81" s="11">
        <f t="shared" si="19"/>
        <v>0</v>
      </c>
      <c r="H81" s="11">
        <f t="shared" si="20"/>
        <v>0</v>
      </c>
      <c r="I81" s="11">
        <f t="shared" si="21"/>
        <v>0</v>
      </c>
      <c r="J81" s="11">
        <f t="shared" si="22"/>
        <v>0</v>
      </c>
      <c r="K81" s="11">
        <f t="shared" si="23"/>
        <v>0</v>
      </c>
      <c r="L81" s="11">
        <f t="shared" si="24"/>
        <v>0</v>
      </c>
      <c r="M81" s="11">
        <f t="shared" si="25"/>
        <v>0</v>
      </c>
      <c r="N81" s="11">
        <f t="shared" si="26"/>
        <v>0</v>
      </c>
      <c r="O81" s="11">
        <f t="shared" si="27"/>
        <v>0</v>
      </c>
      <c r="P81" s="11">
        <f t="shared" si="28"/>
        <v>0</v>
      </c>
      <c r="Q81" s="11">
        <f t="shared" si="29"/>
        <v>0</v>
      </c>
      <c r="R81" s="11">
        <f t="shared" si="30"/>
        <v>0</v>
      </c>
    </row>
    <row r="82" spans="1:18" x14ac:dyDescent="0.25">
      <c r="A82" s="9">
        <f>IF(Lease!$H$4="Monthly",DATE(YEAR(Yearly!A81),MONTH(Yearly!A81)+1,DAY(Yearly!A81)),IF(Lease!$H$4="Quarterly",DATE(YEAR(Yearly!A81),MONTH(Yearly!A81)+3,DAY(Yearly!A81)),DATE(YEAR(Yearly!A81)+1,MONTH(Yearly!A81),DAY(Yearly!A81))))</f>
        <v>70568</v>
      </c>
      <c r="B82" s="9">
        <f t="shared" si="18"/>
        <v>70554</v>
      </c>
      <c r="C82" s="9">
        <f t="shared" si="31"/>
        <v>70584</v>
      </c>
      <c r="D82" s="3">
        <f t="shared" si="32"/>
        <v>31</v>
      </c>
      <c r="E82" s="4">
        <f>Lease!K92</f>
        <v>0</v>
      </c>
      <c r="F82" s="3">
        <f t="shared" si="33"/>
        <v>0</v>
      </c>
      <c r="G82" s="11">
        <f t="shared" si="19"/>
        <v>0</v>
      </c>
      <c r="H82" s="11">
        <f t="shared" si="20"/>
        <v>0</v>
      </c>
      <c r="I82" s="11">
        <f t="shared" si="21"/>
        <v>0</v>
      </c>
      <c r="J82" s="11">
        <f t="shared" si="22"/>
        <v>0</v>
      </c>
      <c r="K82" s="11">
        <f t="shared" si="23"/>
        <v>0</v>
      </c>
      <c r="L82" s="11">
        <f t="shared" si="24"/>
        <v>0</v>
      </c>
      <c r="M82" s="11">
        <f t="shared" si="25"/>
        <v>0</v>
      </c>
      <c r="N82" s="11">
        <f t="shared" si="26"/>
        <v>0</v>
      </c>
      <c r="O82" s="11">
        <f t="shared" si="27"/>
        <v>0</v>
      </c>
      <c r="P82" s="11">
        <f t="shared" si="28"/>
        <v>0</v>
      </c>
      <c r="Q82" s="11">
        <f t="shared" si="29"/>
        <v>0</v>
      </c>
      <c r="R82" s="11">
        <f t="shared" si="30"/>
        <v>0</v>
      </c>
    </row>
    <row r="83" spans="1:18" x14ac:dyDescent="0.25">
      <c r="A83" s="9">
        <f>IF(Lease!$H$4="Monthly",DATE(YEAR(Yearly!A82),MONTH(Yearly!A82)+1,DAY(Yearly!A82)),IF(Lease!$H$4="Quarterly",DATE(YEAR(Yearly!A82),MONTH(Yearly!A82)+3,DAY(Yearly!A82)),DATE(YEAR(Yearly!A82)+1,MONTH(Yearly!A82),DAY(Yearly!A82))))</f>
        <v>70933</v>
      </c>
      <c r="B83" s="9">
        <f t="shared" si="18"/>
        <v>70919</v>
      </c>
      <c r="C83" s="9">
        <f t="shared" si="31"/>
        <v>70949</v>
      </c>
      <c r="D83" s="3">
        <f t="shared" si="32"/>
        <v>31</v>
      </c>
      <c r="E83" s="4">
        <f>Lease!K93</f>
        <v>0</v>
      </c>
      <c r="F83" s="3">
        <f t="shared" si="33"/>
        <v>0</v>
      </c>
      <c r="G83" s="11">
        <f t="shared" si="19"/>
        <v>0</v>
      </c>
      <c r="H83" s="11">
        <f t="shared" si="20"/>
        <v>0</v>
      </c>
      <c r="I83" s="11">
        <f t="shared" si="21"/>
        <v>0</v>
      </c>
      <c r="J83" s="11">
        <f t="shared" si="22"/>
        <v>0</v>
      </c>
      <c r="K83" s="11">
        <f t="shared" si="23"/>
        <v>0</v>
      </c>
      <c r="L83" s="11">
        <f t="shared" si="24"/>
        <v>0</v>
      </c>
      <c r="M83" s="11">
        <f t="shared" si="25"/>
        <v>0</v>
      </c>
      <c r="N83" s="11">
        <f t="shared" si="26"/>
        <v>0</v>
      </c>
      <c r="O83" s="11">
        <f t="shared" si="27"/>
        <v>0</v>
      </c>
      <c r="P83" s="11">
        <f t="shared" si="28"/>
        <v>0</v>
      </c>
      <c r="Q83" s="11">
        <f t="shared" si="29"/>
        <v>0</v>
      </c>
      <c r="R83" s="11">
        <f t="shared" si="30"/>
        <v>0</v>
      </c>
    </row>
    <row r="84" spans="1:18" x14ac:dyDescent="0.25">
      <c r="A84" s="9">
        <f>IF(Lease!$H$4="Monthly",DATE(YEAR(Yearly!A83),MONTH(Yearly!A83)+1,DAY(Yearly!A83)),IF(Lease!$H$4="Quarterly",DATE(YEAR(Yearly!A83),MONTH(Yearly!A83)+3,DAY(Yearly!A83)),DATE(YEAR(Yearly!A83)+1,MONTH(Yearly!A83),DAY(Yearly!A83))))</f>
        <v>71298</v>
      </c>
      <c r="B84" s="9">
        <f t="shared" si="18"/>
        <v>71284</v>
      </c>
      <c r="C84" s="9">
        <f t="shared" si="31"/>
        <v>71314</v>
      </c>
      <c r="D84" s="3">
        <f t="shared" si="32"/>
        <v>31</v>
      </c>
      <c r="E84" s="4">
        <f>Lease!K94</f>
        <v>0</v>
      </c>
      <c r="F84" s="3">
        <f t="shared" si="33"/>
        <v>0</v>
      </c>
      <c r="G84" s="11">
        <f t="shared" si="19"/>
        <v>0</v>
      </c>
      <c r="H84" s="11">
        <f t="shared" si="20"/>
        <v>0</v>
      </c>
      <c r="I84" s="11">
        <f t="shared" si="21"/>
        <v>0</v>
      </c>
      <c r="J84" s="11">
        <f t="shared" si="22"/>
        <v>0</v>
      </c>
      <c r="K84" s="11">
        <f t="shared" si="23"/>
        <v>0</v>
      </c>
      <c r="L84" s="11">
        <f t="shared" si="24"/>
        <v>0</v>
      </c>
      <c r="M84" s="11">
        <f t="shared" si="25"/>
        <v>0</v>
      </c>
      <c r="N84" s="11">
        <f t="shared" si="26"/>
        <v>0</v>
      </c>
      <c r="O84" s="11">
        <f t="shared" si="27"/>
        <v>0</v>
      </c>
      <c r="P84" s="11">
        <f t="shared" si="28"/>
        <v>0</v>
      </c>
      <c r="Q84" s="11">
        <f t="shared" si="29"/>
        <v>0</v>
      </c>
      <c r="R84" s="11">
        <f t="shared" si="30"/>
        <v>0</v>
      </c>
    </row>
    <row r="85" spans="1:18" x14ac:dyDescent="0.25">
      <c r="A85" s="9">
        <f>IF(Lease!$H$4="Monthly",DATE(YEAR(Yearly!A84),MONTH(Yearly!A84)+1,DAY(Yearly!A84)),IF(Lease!$H$4="Quarterly",DATE(YEAR(Yearly!A84),MONTH(Yearly!A84)+3,DAY(Yearly!A84)),DATE(YEAR(Yearly!A84)+1,MONTH(Yearly!A84),DAY(Yearly!A84))))</f>
        <v>71664</v>
      </c>
      <c r="B85" s="9">
        <f t="shared" si="18"/>
        <v>71650</v>
      </c>
      <c r="C85" s="9">
        <f t="shared" si="31"/>
        <v>71680</v>
      </c>
      <c r="D85" s="3">
        <f t="shared" si="32"/>
        <v>31</v>
      </c>
      <c r="E85" s="4">
        <f>Lease!K95</f>
        <v>0</v>
      </c>
      <c r="F85" s="3">
        <f t="shared" si="33"/>
        <v>0</v>
      </c>
      <c r="G85" s="11">
        <f t="shared" si="19"/>
        <v>0</v>
      </c>
      <c r="H85" s="11">
        <f t="shared" si="20"/>
        <v>0</v>
      </c>
      <c r="I85" s="11">
        <f t="shared" si="21"/>
        <v>0</v>
      </c>
      <c r="J85" s="11">
        <f t="shared" si="22"/>
        <v>0</v>
      </c>
      <c r="K85" s="11">
        <f t="shared" si="23"/>
        <v>0</v>
      </c>
      <c r="L85" s="11">
        <f t="shared" si="24"/>
        <v>0</v>
      </c>
      <c r="M85" s="11">
        <f t="shared" si="25"/>
        <v>0</v>
      </c>
      <c r="N85" s="11">
        <f t="shared" si="26"/>
        <v>0</v>
      </c>
      <c r="O85" s="11">
        <f t="shared" si="27"/>
        <v>0</v>
      </c>
      <c r="P85" s="11">
        <f t="shared" si="28"/>
        <v>0</v>
      </c>
      <c r="Q85" s="11">
        <f t="shared" si="29"/>
        <v>0</v>
      </c>
      <c r="R85" s="11">
        <f t="shared" si="30"/>
        <v>0</v>
      </c>
    </row>
    <row r="86" spans="1:18" x14ac:dyDescent="0.25">
      <c r="A86" s="9">
        <f>IF(Lease!$H$4="Monthly",DATE(YEAR(Yearly!A85),MONTH(Yearly!A85)+1,DAY(Yearly!A85)),IF(Lease!$H$4="Quarterly",DATE(YEAR(Yearly!A85),MONTH(Yearly!A85)+3,DAY(Yearly!A85)),DATE(YEAR(Yearly!A85)+1,MONTH(Yearly!A85),DAY(Yearly!A85))))</f>
        <v>72029</v>
      </c>
      <c r="B86" s="9">
        <f t="shared" si="18"/>
        <v>72015</v>
      </c>
      <c r="C86" s="9">
        <f t="shared" si="31"/>
        <v>72045</v>
      </c>
      <c r="D86" s="3">
        <f t="shared" si="32"/>
        <v>31</v>
      </c>
      <c r="E86" s="4">
        <f>Lease!K96</f>
        <v>0</v>
      </c>
      <c r="F86" s="3">
        <f t="shared" si="33"/>
        <v>0</v>
      </c>
      <c r="G86" s="11">
        <f t="shared" si="19"/>
        <v>0</v>
      </c>
      <c r="H86" s="11">
        <f t="shared" si="20"/>
        <v>0</v>
      </c>
      <c r="I86" s="11">
        <f t="shared" si="21"/>
        <v>0</v>
      </c>
      <c r="J86" s="11">
        <f t="shared" si="22"/>
        <v>0</v>
      </c>
      <c r="K86" s="11">
        <f t="shared" si="23"/>
        <v>0</v>
      </c>
      <c r="L86" s="11">
        <f t="shared" si="24"/>
        <v>0</v>
      </c>
      <c r="M86" s="11">
        <f t="shared" si="25"/>
        <v>0</v>
      </c>
      <c r="N86" s="11">
        <f t="shared" si="26"/>
        <v>0</v>
      </c>
      <c r="O86" s="11">
        <f t="shared" si="27"/>
        <v>0</v>
      </c>
      <c r="P86" s="11">
        <f t="shared" si="28"/>
        <v>0</v>
      </c>
      <c r="Q86" s="11">
        <f t="shared" si="29"/>
        <v>0</v>
      </c>
      <c r="R86" s="11">
        <f t="shared" si="30"/>
        <v>0</v>
      </c>
    </row>
    <row r="87" spans="1:18" x14ac:dyDescent="0.25">
      <c r="A87" s="9">
        <f>IF(Lease!$H$4="Monthly",DATE(YEAR(Yearly!A86),MONTH(Yearly!A86)+1,DAY(Yearly!A86)),IF(Lease!$H$4="Quarterly",DATE(YEAR(Yearly!A86),MONTH(Yearly!A86)+3,DAY(Yearly!A86)),DATE(YEAR(Yearly!A86)+1,MONTH(Yearly!A86),DAY(Yearly!A86))))</f>
        <v>72394</v>
      </c>
      <c r="B87" s="9">
        <f t="shared" si="18"/>
        <v>72380</v>
      </c>
      <c r="C87" s="9">
        <f t="shared" si="31"/>
        <v>72410</v>
      </c>
      <c r="D87" s="3">
        <f t="shared" si="32"/>
        <v>31</v>
      </c>
      <c r="E87" s="4">
        <f>Lease!K97</f>
        <v>0</v>
      </c>
      <c r="F87" s="3">
        <f t="shared" si="33"/>
        <v>0</v>
      </c>
      <c r="G87" s="11">
        <f t="shared" si="19"/>
        <v>0</v>
      </c>
      <c r="H87" s="11">
        <f t="shared" si="20"/>
        <v>0</v>
      </c>
      <c r="I87" s="11">
        <f t="shared" si="21"/>
        <v>0</v>
      </c>
      <c r="J87" s="11">
        <f t="shared" si="22"/>
        <v>0</v>
      </c>
      <c r="K87" s="11">
        <f t="shared" si="23"/>
        <v>0</v>
      </c>
      <c r="L87" s="11">
        <f t="shared" si="24"/>
        <v>0</v>
      </c>
      <c r="M87" s="11">
        <f t="shared" si="25"/>
        <v>0</v>
      </c>
      <c r="N87" s="11">
        <f t="shared" si="26"/>
        <v>0</v>
      </c>
      <c r="O87" s="11">
        <f t="shared" si="27"/>
        <v>0</v>
      </c>
      <c r="P87" s="11">
        <f t="shared" si="28"/>
        <v>0</v>
      </c>
      <c r="Q87" s="11">
        <f t="shared" si="29"/>
        <v>0</v>
      </c>
      <c r="R87" s="11">
        <f t="shared" si="30"/>
        <v>0</v>
      </c>
    </row>
    <row r="88" spans="1:18" x14ac:dyDescent="0.25">
      <c r="A88" s="9">
        <f>IF(Lease!$H$4="Monthly",DATE(YEAR(Yearly!A87),MONTH(Yearly!A87)+1,DAY(Yearly!A87)),IF(Lease!$H$4="Quarterly",DATE(YEAR(Yearly!A87),MONTH(Yearly!A87)+3,DAY(Yearly!A87)),DATE(YEAR(Yearly!A87)+1,MONTH(Yearly!A87),DAY(Yearly!A87))))</f>
        <v>72759</v>
      </c>
      <c r="B88" s="9">
        <f t="shared" si="18"/>
        <v>72745</v>
      </c>
      <c r="C88" s="9">
        <f t="shared" si="31"/>
        <v>72775</v>
      </c>
      <c r="D88" s="3">
        <f t="shared" si="32"/>
        <v>31</v>
      </c>
      <c r="E88" s="4">
        <f>Lease!K98</f>
        <v>0</v>
      </c>
      <c r="F88" s="3">
        <f t="shared" si="33"/>
        <v>0</v>
      </c>
      <c r="G88" s="11">
        <f t="shared" si="19"/>
        <v>0</v>
      </c>
      <c r="H88" s="11">
        <f t="shared" si="20"/>
        <v>0</v>
      </c>
      <c r="I88" s="11">
        <f t="shared" si="21"/>
        <v>0</v>
      </c>
      <c r="J88" s="11">
        <f t="shared" si="22"/>
        <v>0</v>
      </c>
      <c r="K88" s="11">
        <f t="shared" si="23"/>
        <v>0</v>
      </c>
      <c r="L88" s="11">
        <f t="shared" si="24"/>
        <v>0</v>
      </c>
      <c r="M88" s="11">
        <f t="shared" si="25"/>
        <v>0</v>
      </c>
      <c r="N88" s="11">
        <f t="shared" si="26"/>
        <v>0</v>
      </c>
      <c r="O88" s="11">
        <f t="shared" si="27"/>
        <v>0</v>
      </c>
      <c r="P88" s="11">
        <f t="shared" si="28"/>
        <v>0</v>
      </c>
      <c r="Q88" s="11">
        <f t="shared" si="29"/>
        <v>0</v>
      </c>
      <c r="R88" s="11">
        <f t="shared" si="30"/>
        <v>0</v>
      </c>
    </row>
    <row r="89" spans="1:18" x14ac:dyDescent="0.25">
      <c r="A89" s="9">
        <f>IF(Lease!$H$4="Monthly",DATE(YEAR(Yearly!A88),MONTH(Yearly!A88)+1,DAY(Yearly!A88)),IF(Lease!$H$4="Quarterly",DATE(YEAR(Yearly!A88),MONTH(Yearly!A88)+3,DAY(Yearly!A88)),DATE(YEAR(Yearly!A88)+1,MONTH(Yearly!A88),DAY(Yearly!A88))))</f>
        <v>73124</v>
      </c>
      <c r="B89" s="9">
        <f t="shared" si="18"/>
        <v>73110</v>
      </c>
      <c r="C89" s="9">
        <f t="shared" si="31"/>
        <v>73140</v>
      </c>
      <c r="D89" s="3">
        <f t="shared" si="32"/>
        <v>31</v>
      </c>
      <c r="E89" s="4">
        <f>Lease!K99</f>
        <v>0</v>
      </c>
      <c r="F89" s="3">
        <f t="shared" si="33"/>
        <v>0</v>
      </c>
      <c r="G89" s="11">
        <f t="shared" si="19"/>
        <v>0</v>
      </c>
      <c r="H89" s="11">
        <f t="shared" si="20"/>
        <v>0</v>
      </c>
      <c r="I89" s="11">
        <f t="shared" si="21"/>
        <v>0</v>
      </c>
      <c r="J89" s="11">
        <f t="shared" si="22"/>
        <v>0</v>
      </c>
      <c r="K89" s="11">
        <f t="shared" si="23"/>
        <v>0</v>
      </c>
      <c r="L89" s="11">
        <f t="shared" si="24"/>
        <v>0</v>
      </c>
      <c r="M89" s="11">
        <f t="shared" si="25"/>
        <v>0</v>
      </c>
      <c r="N89" s="11">
        <f t="shared" si="26"/>
        <v>0</v>
      </c>
      <c r="O89" s="11">
        <f t="shared" si="27"/>
        <v>0</v>
      </c>
      <c r="P89" s="11">
        <f t="shared" si="28"/>
        <v>0</v>
      </c>
      <c r="Q89" s="11">
        <f t="shared" si="29"/>
        <v>0</v>
      </c>
      <c r="R89" s="11">
        <f t="shared" si="30"/>
        <v>0</v>
      </c>
    </row>
    <row r="90" spans="1:18" x14ac:dyDescent="0.25">
      <c r="A90" s="9">
        <f>IF(Lease!$H$4="Monthly",DATE(YEAR(Yearly!A89),MONTH(Yearly!A89)+1,DAY(Yearly!A89)),IF(Lease!$H$4="Quarterly",DATE(YEAR(Yearly!A89),MONTH(Yearly!A89)+3,DAY(Yearly!A89)),DATE(YEAR(Yearly!A89)+1,MONTH(Yearly!A89),DAY(Yearly!A89))))</f>
        <v>73489</v>
      </c>
      <c r="B90" s="9">
        <f t="shared" si="18"/>
        <v>73475</v>
      </c>
      <c r="C90" s="9">
        <f t="shared" si="31"/>
        <v>73505</v>
      </c>
      <c r="D90" s="3">
        <f t="shared" si="32"/>
        <v>31</v>
      </c>
      <c r="E90" s="4">
        <f>Lease!K100</f>
        <v>0</v>
      </c>
      <c r="F90" s="3" t="e">
        <f t="shared" si="33"/>
        <v>#REF!</v>
      </c>
      <c r="G90" s="11" t="e">
        <f t="shared" si="19"/>
        <v>#REF!</v>
      </c>
      <c r="H90" s="11" t="e">
        <f t="shared" si="20"/>
        <v>#REF!</v>
      </c>
      <c r="I90" s="11" t="e">
        <f t="shared" si="21"/>
        <v>#REF!</v>
      </c>
      <c r="J90" s="11" t="e">
        <f t="shared" si="22"/>
        <v>#REF!</v>
      </c>
      <c r="K90" s="11" t="e">
        <f t="shared" si="23"/>
        <v>#REF!</v>
      </c>
      <c r="L90" s="11" t="e">
        <f t="shared" si="24"/>
        <v>#REF!</v>
      </c>
      <c r="M90" s="11" t="e">
        <f t="shared" si="25"/>
        <v>#REF!</v>
      </c>
      <c r="N90" s="11" t="e">
        <f t="shared" si="26"/>
        <v>#REF!</v>
      </c>
      <c r="O90" s="11" t="e">
        <f t="shared" si="27"/>
        <v>#REF!</v>
      </c>
      <c r="P90" s="11" t="e">
        <f t="shared" si="28"/>
        <v>#REF!</v>
      </c>
      <c r="Q90" s="11" t="e">
        <f t="shared" si="29"/>
        <v>#REF!</v>
      </c>
      <c r="R90" s="11" t="e">
        <f t="shared" si="30"/>
        <v>#REF!</v>
      </c>
    </row>
    <row r="91" spans="1:18" x14ac:dyDescent="0.25">
      <c r="A91" s="9">
        <f>IF(Lease!$H$4="Monthly",DATE(YEAR(Yearly!A90),MONTH(Yearly!A90)+1,DAY(Yearly!A90)),IF(Lease!$H$4="Quarterly",DATE(YEAR(Yearly!A90),MONTH(Yearly!A90)+3,DAY(Yearly!A90)),DATE(YEAR(Yearly!A90)+1,MONTH(Yearly!A90),DAY(Yearly!A90))))</f>
        <v>73854</v>
      </c>
      <c r="B91" s="9">
        <f t="shared" si="18"/>
        <v>73840</v>
      </c>
      <c r="C91" s="9">
        <f t="shared" si="31"/>
        <v>73870</v>
      </c>
      <c r="D91" s="3">
        <f t="shared" si="32"/>
        <v>31</v>
      </c>
      <c r="E91" s="4" t="e">
        <f>Lease!#REF!</f>
        <v>#REF!</v>
      </c>
      <c r="F91" s="3" t="e">
        <f t="shared" si="33"/>
        <v>#REF!</v>
      </c>
      <c r="G91" s="11" t="e">
        <f t="shared" si="19"/>
        <v>#REF!</v>
      </c>
      <c r="H91" s="11" t="e">
        <f t="shared" si="20"/>
        <v>#REF!</v>
      </c>
      <c r="I91" s="11" t="e">
        <f t="shared" si="21"/>
        <v>#REF!</v>
      </c>
      <c r="J91" s="11" t="e">
        <f t="shared" si="22"/>
        <v>#REF!</v>
      </c>
      <c r="K91" s="11" t="e">
        <f t="shared" si="23"/>
        <v>#REF!</v>
      </c>
      <c r="L91" s="11" t="e">
        <f t="shared" si="24"/>
        <v>#REF!</v>
      </c>
      <c r="M91" s="11" t="e">
        <f t="shared" si="25"/>
        <v>#REF!</v>
      </c>
      <c r="N91" s="11" t="e">
        <f t="shared" si="26"/>
        <v>#REF!</v>
      </c>
      <c r="O91" s="11" t="e">
        <f t="shared" si="27"/>
        <v>#REF!</v>
      </c>
      <c r="P91" s="11" t="e">
        <f t="shared" si="28"/>
        <v>#REF!</v>
      </c>
      <c r="Q91" s="11" t="e">
        <f t="shared" si="29"/>
        <v>#REF!</v>
      </c>
      <c r="R91" s="11" t="e">
        <f t="shared" si="30"/>
        <v>#REF!</v>
      </c>
    </row>
    <row r="92" spans="1:18" x14ac:dyDescent="0.25">
      <c r="A92" s="9">
        <f>IF(Lease!$H$4="Monthly",DATE(YEAR(Yearly!A91),MONTH(Yearly!A91)+1,DAY(Yearly!A91)),IF(Lease!$H$4="Quarterly",DATE(YEAR(Yearly!A91),MONTH(Yearly!A91)+3,DAY(Yearly!A91)),DATE(YEAR(Yearly!A91)+1,MONTH(Yearly!A91),DAY(Yearly!A91))))</f>
        <v>74219</v>
      </c>
      <c r="B92" s="9">
        <f t="shared" si="18"/>
        <v>74205</v>
      </c>
      <c r="C92" s="9">
        <f t="shared" si="31"/>
        <v>74235</v>
      </c>
      <c r="D92" s="3">
        <f t="shared" si="32"/>
        <v>31</v>
      </c>
      <c r="E92" s="4" t="e">
        <f>Lease!#REF!</f>
        <v>#REF!</v>
      </c>
      <c r="F92" s="3" t="e">
        <f t="shared" si="33"/>
        <v>#REF!</v>
      </c>
      <c r="G92" s="11" t="e">
        <f t="shared" si="19"/>
        <v>#REF!</v>
      </c>
      <c r="H92" s="11" t="e">
        <f t="shared" si="20"/>
        <v>#REF!</v>
      </c>
      <c r="I92" s="11" t="e">
        <f t="shared" si="21"/>
        <v>#REF!</v>
      </c>
      <c r="J92" s="11" t="e">
        <f t="shared" si="22"/>
        <v>#REF!</v>
      </c>
      <c r="K92" s="11" t="e">
        <f t="shared" si="23"/>
        <v>#REF!</v>
      </c>
      <c r="L92" s="11" t="e">
        <f t="shared" si="24"/>
        <v>#REF!</v>
      </c>
      <c r="M92" s="11" t="e">
        <f t="shared" si="25"/>
        <v>#REF!</v>
      </c>
      <c r="N92" s="11" t="e">
        <f t="shared" si="26"/>
        <v>#REF!</v>
      </c>
      <c r="O92" s="11" t="e">
        <f t="shared" si="27"/>
        <v>#REF!</v>
      </c>
      <c r="P92" s="11" t="e">
        <f t="shared" si="28"/>
        <v>#REF!</v>
      </c>
      <c r="Q92" s="11" t="e">
        <f t="shared" si="29"/>
        <v>#REF!</v>
      </c>
      <c r="R92" s="11" t="e">
        <f t="shared" si="30"/>
        <v>#REF!</v>
      </c>
    </row>
    <row r="93" spans="1:18" x14ac:dyDescent="0.25">
      <c r="A93" s="9">
        <f>IF(Lease!$H$4="Monthly",DATE(YEAR(Yearly!A92),MONTH(Yearly!A92)+1,DAY(Yearly!A92)),IF(Lease!$H$4="Quarterly",DATE(YEAR(Yearly!A92),MONTH(Yearly!A92)+3,DAY(Yearly!A92)),DATE(YEAR(Yearly!A92)+1,MONTH(Yearly!A92),DAY(Yearly!A92))))</f>
        <v>74585</v>
      </c>
      <c r="B93" s="9">
        <f t="shared" si="18"/>
        <v>74571</v>
      </c>
      <c r="C93" s="9">
        <f t="shared" si="31"/>
        <v>74601</v>
      </c>
      <c r="D93" s="3">
        <f t="shared" si="32"/>
        <v>31</v>
      </c>
      <c r="E93" s="4" t="e">
        <f>Lease!#REF!</f>
        <v>#REF!</v>
      </c>
      <c r="F93" s="3" t="e">
        <f t="shared" si="33"/>
        <v>#REF!</v>
      </c>
      <c r="G93" s="11" t="e">
        <f t="shared" si="19"/>
        <v>#REF!</v>
      </c>
      <c r="H93" s="11" t="e">
        <f t="shared" si="20"/>
        <v>#REF!</v>
      </c>
      <c r="I93" s="11" t="e">
        <f t="shared" si="21"/>
        <v>#REF!</v>
      </c>
      <c r="J93" s="11" t="e">
        <f t="shared" si="22"/>
        <v>#REF!</v>
      </c>
      <c r="K93" s="11" t="e">
        <f t="shared" si="23"/>
        <v>#REF!</v>
      </c>
      <c r="L93" s="11" t="e">
        <f t="shared" si="24"/>
        <v>#REF!</v>
      </c>
      <c r="M93" s="11" t="e">
        <f t="shared" si="25"/>
        <v>#REF!</v>
      </c>
      <c r="N93" s="11" t="e">
        <f t="shared" si="26"/>
        <v>#REF!</v>
      </c>
      <c r="O93" s="11" t="e">
        <f t="shared" si="27"/>
        <v>#REF!</v>
      </c>
      <c r="P93" s="11" t="e">
        <f t="shared" si="28"/>
        <v>#REF!</v>
      </c>
      <c r="Q93" s="11" t="e">
        <f t="shared" si="29"/>
        <v>#REF!</v>
      </c>
      <c r="R93" s="11" t="e">
        <f t="shared" si="30"/>
        <v>#REF!</v>
      </c>
    </row>
    <row r="94" spans="1:18" x14ac:dyDescent="0.25">
      <c r="A94" s="9">
        <f>IF(Lease!$H$4="Monthly",DATE(YEAR(Yearly!A93),MONTH(Yearly!A93)+1,DAY(Yearly!A93)),IF(Lease!$H$4="Quarterly",DATE(YEAR(Yearly!A93),MONTH(Yearly!A93)+3,DAY(Yearly!A93)),DATE(YEAR(Yearly!A93)+1,MONTH(Yearly!A93),DAY(Yearly!A93))))</f>
        <v>74950</v>
      </c>
      <c r="B94" s="9">
        <f t="shared" si="18"/>
        <v>74936</v>
      </c>
      <c r="C94" s="9">
        <f t="shared" si="31"/>
        <v>74966</v>
      </c>
      <c r="D94" s="3">
        <f t="shared" si="32"/>
        <v>31</v>
      </c>
      <c r="E94" s="4" t="e">
        <f>Lease!#REF!</f>
        <v>#REF!</v>
      </c>
      <c r="F94" s="3" t="e">
        <f t="shared" si="33"/>
        <v>#REF!</v>
      </c>
      <c r="G94" s="11" t="e">
        <f t="shared" si="19"/>
        <v>#REF!</v>
      </c>
      <c r="H94" s="11" t="e">
        <f t="shared" si="20"/>
        <v>#REF!</v>
      </c>
      <c r="I94" s="11" t="e">
        <f t="shared" si="21"/>
        <v>#REF!</v>
      </c>
      <c r="J94" s="11" t="e">
        <f t="shared" si="22"/>
        <v>#REF!</v>
      </c>
      <c r="K94" s="11" t="e">
        <f t="shared" si="23"/>
        <v>#REF!</v>
      </c>
      <c r="L94" s="11" t="e">
        <f t="shared" si="24"/>
        <v>#REF!</v>
      </c>
      <c r="M94" s="11" t="e">
        <f t="shared" si="25"/>
        <v>#REF!</v>
      </c>
      <c r="N94" s="11" t="e">
        <f t="shared" si="26"/>
        <v>#REF!</v>
      </c>
      <c r="O94" s="11" t="e">
        <f t="shared" si="27"/>
        <v>#REF!</v>
      </c>
      <c r="P94" s="11" t="e">
        <f t="shared" si="28"/>
        <v>#REF!</v>
      </c>
      <c r="Q94" s="11" t="e">
        <f t="shared" si="29"/>
        <v>#REF!</v>
      </c>
      <c r="R94" s="11" t="e">
        <f t="shared" si="30"/>
        <v>#REF!</v>
      </c>
    </row>
    <row r="95" spans="1:18" x14ac:dyDescent="0.25">
      <c r="A95" s="9">
        <f>IF(Lease!$H$4="Monthly",DATE(YEAR(Yearly!A94),MONTH(Yearly!A94)+1,DAY(Yearly!A94)),IF(Lease!$H$4="Quarterly",DATE(YEAR(Yearly!A94),MONTH(Yearly!A94)+3,DAY(Yearly!A94)),DATE(YEAR(Yearly!A94)+1,MONTH(Yearly!A94),DAY(Yearly!A94))))</f>
        <v>75315</v>
      </c>
      <c r="B95" s="9">
        <f t="shared" si="18"/>
        <v>75301</v>
      </c>
      <c r="C95" s="9">
        <f t="shared" si="31"/>
        <v>75331</v>
      </c>
      <c r="D95" s="3">
        <f t="shared" si="32"/>
        <v>31</v>
      </c>
      <c r="E95" s="4" t="e">
        <f>Lease!#REF!</f>
        <v>#REF!</v>
      </c>
      <c r="F95" s="3" t="e">
        <f t="shared" si="33"/>
        <v>#REF!</v>
      </c>
      <c r="G95" s="11" t="e">
        <f t="shared" si="19"/>
        <v>#REF!</v>
      </c>
      <c r="H95" s="11" t="e">
        <f t="shared" si="20"/>
        <v>#REF!</v>
      </c>
      <c r="I95" s="11" t="e">
        <f t="shared" si="21"/>
        <v>#REF!</v>
      </c>
      <c r="J95" s="11" t="e">
        <f t="shared" si="22"/>
        <v>#REF!</v>
      </c>
      <c r="K95" s="11" t="e">
        <f t="shared" si="23"/>
        <v>#REF!</v>
      </c>
      <c r="L95" s="11" t="e">
        <f t="shared" si="24"/>
        <v>#REF!</v>
      </c>
      <c r="M95" s="11" t="e">
        <f t="shared" si="25"/>
        <v>#REF!</v>
      </c>
      <c r="N95" s="11" t="e">
        <f t="shared" si="26"/>
        <v>#REF!</v>
      </c>
      <c r="O95" s="11" t="e">
        <f t="shared" si="27"/>
        <v>#REF!</v>
      </c>
      <c r="P95" s="11" t="e">
        <f t="shared" si="28"/>
        <v>#REF!</v>
      </c>
      <c r="Q95" s="11" t="e">
        <f t="shared" si="29"/>
        <v>#REF!</v>
      </c>
      <c r="R95" s="11" t="e">
        <f t="shared" si="30"/>
        <v>#REF!</v>
      </c>
    </row>
    <row r="96" spans="1:18" x14ac:dyDescent="0.25">
      <c r="A96" s="9">
        <f>IF(Lease!$H$4="Monthly",DATE(YEAR(Yearly!A95),MONTH(Yearly!A95)+1,DAY(Yearly!A95)),IF(Lease!$H$4="Quarterly",DATE(YEAR(Yearly!A95),MONTH(Yearly!A95)+3,DAY(Yearly!A95)),DATE(YEAR(Yearly!A95)+1,MONTH(Yearly!A95),DAY(Yearly!A95))))</f>
        <v>75680</v>
      </c>
      <c r="B96" s="9">
        <f t="shared" si="18"/>
        <v>75666</v>
      </c>
      <c r="C96" s="9">
        <f t="shared" si="31"/>
        <v>75696</v>
      </c>
      <c r="D96" s="3">
        <f t="shared" si="32"/>
        <v>31</v>
      </c>
      <c r="E96" s="4" t="e">
        <f>Lease!#REF!</f>
        <v>#REF!</v>
      </c>
      <c r="F96" s="3" t="e">
        <f t="shared" si="33"/>
        <v>#REF!</v>
      </c>
      <c r="G96" s="11" t="e">
        <f t="shared" si="19"/>
        <v>#REF!</v>
      </c>
      <c r="H96" s="11" t="e">
        <f t="shared" si="20"/>
        <v>#REF!</v>
      </c>
      <c r="I96" s="11" t="e">
        <f t="shared" si="21"/>
        <v>#REF!</v>
      </c>
      <c r="J96" s="11" t="e">
        <f t="shared" si="22"/>
        <v>#REF!</v>
      </c>
      <c r="K96" s="11" t="e">
        <f t="shared" si="23"/>
        <v>#REF!</v>
      </c>
      <c r="L96" s="11" t="e">
        <f t="shared" si="24"/>
        <v>#REF!</v>
      </c>
      <c r="M96" s="11" t="e">
        <f t="shared" si="25"/>
        <v>#REF!</v>
      </c>
      <c r="N96" s="11" t="e">
        <f t="shared" si="26"/>
        <v>#REF!</v>
      </c>
      <c r="O96" s="11" t="e">
        <f t="shared" si="27"/>
        <v>#REF!</v>
      </c>
      <c r="P96" s="11" t="e">
        <f t="shared" si="28"/>
        <v>#REF!</v>
      </c>
      <c r="Q96" s="11" t="e">
        <f t="shared" si="29"/>
        <v>#REF!</v>
      </c>
      <c r="R96" s="11" t="e">
        <f t="shared" si="30"/>
        <v>#REF!</v>
      </c>
    </row>
    <row r="97" spans="1:18" x14ac:dyDescent="0.25">
      <c r="A97" s="9">
        <f>IF(Lease!$H$4="Monthly",DATE(YEAR(Yearly!A96),MONTH(Yearly!A96)+1,DAY(Yearly!A96)),IF(Lease!$H$4="Quarterly",DATE(YEAR(Yearly!A96),MONTH(Yearly!A96)+3,DAY(Yearly!A96)),DATE(YEAR(Yearly!A96)+1,MONTH(Yearly!A96),DAY(Yearly!A96))))</f>
        <v>76046</v>
      </c>
      <c r="B97" s="9">
        <f t="shared" si="18"/>
        <v>76032</v>
      </c>
      <c r="C97" s="9">
        <f t="shared" si="31"/>
        <v>76062</v>
      </c>
      <c r="D97" s="3">
        <f t="shared" si="32"/>
        <v>31</v>
      </c>
      <c r="E97" s="4" t="e">
        <f>Lease!#REF!</f>
        <v>#REF!</v>
      </c>
      <c r="F97" s="3" t="e">
        <f t="shared" si="33"/>
        <v>#REF!</v>
      </c>
      <c r="G97" s="11" t="e">
        <f t="shared" si="19"/>
        <v>#REF!</v>
      </c>
      <c r="H97" s="11" t="e">
        <f t="shared" si="20"/>
        <v>#REF!</v>
      </c>
      <c r="I97" s="11" t="e">
        <f t="shared" si="21"/>
        <v>#REF!</v>
      </c>
      <c r="J97" s="11" t="e">
        <f t="shared" si="22"/>
        <v>#REF!</v>
      </c>
      <c r="K97" s="11" t="e">
        <f t="shared" si="23"/>
        <v>#REF!</v>
      </c>
      <c r="L97" s="11" t="e">
        <f t="shared" si="24"/>
        <v>#REF!</v>
      </c>
      <c r="M97" s="11" t="e">
        <f t="shared" si="25"/>
        <v>#REF!</v>
      </c>
      <c r="N97" s="11" t="e">
        <f t="shared" si="26"/>
        <v>#REF!</v>
      </c>
      <c r="O97" s="11" t="e">
        <f t="shared" si="27"/>
        <v>#REF!</v>
      </c>
      <c r="P97" s="11" t="e">
        <f t="shared" si="28"/>
        <v>#REF!</v>
      </c>
      <c r="Q97" s="11" t="e">
        <f t="shared" si="29"/>
        <v>#REF!</v>
      </c>
      <c r="R97" s="11" t="e">
        <f t="shared" si="30"/>
        <v>#REF!</v>
      </c>
    </row>
    <row r="98" spans="1:18" x14ac:dyDescent="0.25">
      <c r="A98" s="9">
        <f>IF(Lease!$H$4="Monthly",DATE(YEAR(Yearly!A97),MONTH(Yearly!A97)+1,DAY(Yearly!A97)),IF(Lease!$H$4="Quarterly",DATE(YEAR(Yearly!A97),MONTH(Yearly!A97)+3,DAY(Yearly!A97)),DATE(YEAR(Yearly!A97)+1,MONTH(Yearly!A97),DAY(Yearly!A97))))</f>
        <v>76411</v>
      </c>
      <c r="B98" s="9">
        <f t="shared" si="18"/>
        <v>76397</v>
      </c>
      <c r="C98" s="9">
        <f t="shared" si="31"/>
        <v>76427</v>
      </c>
      <c r="D98" s="3">
        <f t="shared" si="32"/>
        <v>31</v>
      </c>
      <c r="E98" s="4" t="e">
        <f>Lease!#REF!</f>
        <v>#REF!</v>
      </c>
      <c r="F98" s="3" t="e">
        <f t="shared" si="33"/>
        <v>#REF!</v>
      </c>
      <c r="G98" s="11" t="e">
        <f t="shared" si="19"/>
        <v>#REF!</v>
      </c>
      <c r="H98" s="11" t="e">
        <f t="shared" si="20"/>
        <v>#REF!</v>
      </c>
      <c r="I98" s="11" t="e">
        <f t="shared" si="21"/>
        <v>#REF!</v>
      </c>
      <c r="J98" s="11" t="e">
        <f t="shared" si="22"/>
        <v>#REF!</v>
      </c>
      <c r="K98" s="11" t="e">
        <f t="shared" si="23"/>
        <v>#REF!</v>
      </c>
      <c r="L98" s="11" t="e">
        <f t="shared" si="24"/>
        <v>#REF!</v>
      </c>
      <c r="M98" s="11" t="e">
        <f t="shared" si="25"/>
        <v>#REF!</v>
      </c>
      <c r="N98" s="11" t="e">
        <f t="shared" si="26"/>
        <v>#REF!</v>
      </c>
      <c r="O98" s="11" t="e">
        <f t="shared" si="27"/>
        <v>#REF!</v>
      </c>
      <c r="P98" s="11" t="e">
        <f t="shared" si="28"/>
        <v>#REF!</v>
      </c>
      <c r="Q98" s="11" t="e">
        <f t="shared" si="29"/>
        <v>#REF!</v>
      </c>
      <c r="R98" s="11" t="e">
        <f t="shared" si="30"/>
        <v>#REF!</v>
      </c>
    </row>
    <row r="99" spans="1:18" x14ac:dyDescent="0.25">
      <c r="A99" s="9">
        <f>IF(Lease!$H$4="Monthly",DATE(YEAR(Yearly!A98),MONTH(Yearly!A98)+1,DAY(Yearly!A98)),IF(Lease!$H$4="Quarterly",DATE(YEAR(Yearly!A98),MONTH(Yearly!A98)+3,DAY(Yearly!A98)),DATE(YEAR(Yearly!A98)+1,MONTH(Yearly!A98),DAY(Yearly!A98))))</f>
        <v>76776</v>
      </c>
      <c r="B99" s="9">
        <f t="shared" si="18"/>
        <v>76762</v>
      </c>
      <c r="C99" s="9">
        <f t="shared" si="31"/>
        <v>76792</v>
      </c>
      <c r="D99" s="3">
        <f t="shared" si="32"/>
        <v>31</v>
      </c>
      <c r="E99" s="4" t="e">
        <f>Lease!#REF!</f>
        <v>#REF!</v>
      </c>
      <c r="F99" s="3" t="e">
        <f t="shared" si="33"/>
        <v>#REF!</v>
      </c>
      <c r="G99" s="11" t="e">
        <f t="shared" si="19"/>
        <v>#REF!</v>
      </c>
      <c r="H99" s="11" t="e">
        <f t="shared" si="20"/>
        <v>#REF!</v>
      </c>
      <c r="I99" s="11" t="e">
        <f t="shared" si="21"/>
        <v>#REF!</v>
      </c>
      <c r="J99" s="11" t="e">
        <f t="shared" si="22"/>
        <v>#REF!</v>
      </c>
      <c r="K99" s="11" t="e">
        <f t="shared" si="23"/>
        <v>#REF!</v>
      </c>
      <c r="L99" s="11" t="e">
        <f t="shared" si="24"/>
        <v>#REF!</v>
      </c>
      <c r="M99" s="11" t="e">
        <f t="shared" si="25"/>
        <v>#REF!</v>
      </c>
      <c r="N99" s="11" t="e">
        <f t="shared" si="26"/>
        <v>#REF!</v>
      </c>
      <c r="O99" s="11" t="e">
        <f t="shared" si="27"/>
        <v>#REF!</v>
      </c>
      <c r="P99" s="11" t="e">
        <f t="shared" si="28"/>
        <v>#REF!</v>
      </c>
      <c r="Q99" s="11" t="e">
        <f t="shared" si="29"/>
        <v>#REF!</v>
      </c>
      <c r="R99" s="11" t="e">
        <f t="shared" si="30"/>
        <v>#REF!</v>
      </c>
    </row>
    <row r="100" spans="1:18" x14ac:dyDescent="0.25">
      <c r="A100" s="9">
        <f>IF(Lease!$H$4="Monthly",DATE(YEAR(Yearly!A99),MONTH(Yearly!A99)+1,DAY(Yearly!A99)),IF(Lease!$H$4="Quarterly",DATE(YEAR(Yearly!A99),MONTH(Yearly!A99)+3,DAY(Yearly!A99)),DATE(YEAR(Yearly!A99)+1,MONTH(Yearly!A99),DAY(Yearly!A99))))</f>
        <v>77141</v>
      </c>
      <c r="B100" s="9">
        <f t="shared" si="18"/>
        <v>77127</v>
      </c>
      <c r="C100" s="9">
        <f t="shared" si="31"/>
        <v>77157</v>
      </c>
      <c r="D100" s="3">
        <f t="shared" si="32"/>
        <v>31</v>
      </c>
      <c r="E100" s="4" t="e">
        <f>Lease!#REF!</f>
        <v>#REF!</v>
      </c>
      <c r="F100" s="3" t="e">
        <f>#REF!/(#REF!-A100+1)*(EOMONTH(A100,0)-A100+1)+R99</f>
        <v>#REF!</v>
      </c>
      <c r="G100" s="11" t="e">
        <f>#REF!/(#REF!-$A100+1)*((((EOMONTH(DATE(YEAR($A100),MONTH($A100)+G$4,DAY($A100)),0)))-DATE(YEAR($A100),MONTH(EOMONTH($A100,-1)+G$4)+G$4,1))+1)</f>
        <v>#REF!</v>
      </c>
      <c r="H100" s="11" t="e">
        <f>#REF!/(#REF!-$A100+1)*((((EOMONTH(DATE(YEAR($A100),MONTH($A100)+H$4,DAY($A100)),0)))-DATE(YEAR($A100),MONTH(EOMONTH($A100,-1)+H$4)+H$4,1))+1)</f>
        <v>#REF!</v>
      </c>
      <c r="I100" s="11" t="e">
        <f>#REF!/(#REF!-$A100+1)*((((EOMONTH(DATE(YEAR($A100),MONTH($A100)+I$4,DAY($A100)),0)))-DATE(YEAR($A100),MONTH(EOMONTH($A100,-1)+I$4)+I$4,1))+1)</f>
        <v>#REF!</v>
      </c>
      <c r="J100" s="11" t="e">
        <f>#REF!/(#REF!-$A100+1)*((((EOMONTH(DATE(YEAR($A100),MONTH($A100)+J$4,DAY($A100)),0)))-DATE(YEAR($A100),MONTH(EOMONTH($A100,-1)+J$4)+J$4,1))+1)</f>
        <v>#REF!</v>
      </c>
      <c r="K100" s="11" t="e">
        <f>#REF!/(#REF!-$A100+1)*((((EOMONTH(DATE(YEAR($A100),MONTH($A100)+K$4,DAY($A100)),0)))-DATE(YEAR($A100),MONTH(EOMONTH($A100,-1)+K$4)+K$4,1))+1)</f>
        <v>#REF!</v>
      </c>
      <c r="L100" s="11" t="e">
        <f>#REF!/(#REF!-$A100+1)*((((EOMONTH(DATE(YEAR($A100),MONTH($A100)+L$4,DAY($A100)),0)))-DATE(YEAR($A100),MONTH(EOMONTH($A100,-1)+L$4)+L$4,1))+1)</f>
        <v>#REF!</v>
      </c>
      <c r="M100" s="11" t="e">
        <f>#REF!/(#REF!-$A100+1)*((((EOMONTH(DATE(YEAR($A100),MONTH($A100)+M$4,DAY($A100)),0)))-DATE(YEAR($A100),MONTH(EOMONTH($A100,-1)+M$4)+M$4,1))+1)</f>
        <v>#REF!</v>
      </c>
      <c r="N100" s="11" t="e">
        <f>#REF!/(#REF!-$A100+1)*((((EOMONTH(DATE(YEAR($A100),MONTH($A100)+N$4,DAY($A100)),0)))-DATE(YEAR($A100),MONTH(EOMONTH($A100,-1)+N$4)+N$4,1))+1)</f>
        <v>#REF!</v>
      </c>
      <c r="O100" s="11" t="e">
        <f>#REF!/(#REF!-$A100+1)*((((EOMONTH(DATE(YEAR($A100),MONTH($A100)+O$4,DAY($A100)),0)))-DATE(YEAR($A100),MONTH(EOMONTH($A100,-1)+O$4)+O$4,1))+1)</f>
        <v>#REF!</v>
      </c>
      <c r="P100" s="11" t="e">
        <f>#REF!/(#REF!-$A100+1)*((((EOMONTH(DATE(YEAR($A100),MONTH($A100)+P$4,DAY($A100)),0)))-DATE(YEAR($A100),MONTH(EOMONTH($A100,-1)+P$4)+P$4,1))+1)</f>
        <v>#REF!</v>
      </c>
      <c r="Q100" s="11" t="e">
        <f>#REF!/(#REF!-$A100+1)*((((EOMONTH(DATE(YEAR($A100),MONTH($A100)+Q$4,DAY($A100)),0)))-DATE(YEAR($A100),MONTH(EOMONTH($A100,-1)+Q$4)+Q$4,1))+1)</f>
        <v>#REF!</v>
      </c>
      <c r="R100" s="11" t="e">
        <f>#REF!/(#REF!-$A100+1)*IF((((EOMONTH(DATE(YEAR($A100),MONTH($A100)+R$4,DAY($A100)),0))))&lt;$A100,$A100-DATE(YEAR($A100),MONTH(EOMONTH($A100,-1)+R$4)+R$4,1)+1,$A100-1-EOMONTH($A100,-1)+1)</f>
        <v>#REF!</v>
      </c>
    </row>
  </sheetData>
  <phoneticPr fontId="5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showGridLines="0" topLeftCell="A6" workbookViewId="0">
      <selection activeCell="A32" sqref="A32"/>
    </sheetView>
  </sheetViews>
  <sheetFormatPr baseColWidth="10" defaultColWidth="9.140625" defaultRowHeight="15" x14ac:dyDescent="0.25"/>
  <cols>
    <col min="1" max="1" width="79" bestFit="1" customWidth="1"/>
    <col min="2" max="2" width="13.28515625" bestFit="1" customWidth="1"/>
    <col min="3" max="3" width="9.7109375" bestFit="1" customWidth="1"/>
    <col min="5" max="5" width="9.5703125" bestFit="1" customWidth="1"/>
    <col min="6" max="6" width="16.28515625" bestFit="1" customWidth="1"/>
    <col min="8" max="8" width="10.5703125" bestFit="1" customWidth="1"/>
  </cols>
  <sheetData>
    <row r="2" spans="1:11" x14ac:dyDescent="0.25">
      <c r="A2" s="71" t="s">
        <v>97</v>
      </c>
      <c r="F2" s="2" t="s">
        <v>98</v>
      </c>
    </row>
    <row r="5" spans="1:11" x14ac:dyDescent="0.25">
      <c r="A5" s="62" t="s">
        <v>70</v>
      </c>
      <c r="B5" s="37">
        <v>43466</v>
      </c>
      <c r="C5" s="5"/>
      <c r="D5" s="5"/>
      <c r="F5" t="s">
        <v>94</v>
      </c>
      <c r="H5" s="64">
        <f>B35</f>
        <v>151480.44665121776</v>
      </c>
      <c r="I5" s="5"/>
      <c r="J5" s="5"/>
      <c r="K5" s="5"/>
    </row>
    <row r="6" spans="1:11" x14ac:dyDescent="0.25">
      <c r="A6" s="62" t="s">
        <v>68</v>
      </c>
      <c r="B6" s="37">
        <f>LOOKUP(B15,1/(Lease!$B$17:$B$100=B15),Lease!$C$17:$C$100)</f>
        <v>43174</v>
      </c>
      <c r="C6" s="5"/>
      <c r="D6" s="5"/>
      <c r="E6" s="5"/>
      <c r="F6" t="s">
        <v>77</v>
      </c>
      <c r="H6" s="64">
        <f>B34</f>
        <v>1270872.1584783962</v>
      </c>
      <c r="I6" s="5"/>
      <c r="J6" s="5"/>
      <c r="K6" s="5"/>
    </row>
    <row r="7" spans="1:11" x14ac:dyDescent="0.25">
      <c r="A7" s="62" t="s">
        <v>74</v>
      </c>
      <c r="B7" s="37">
        <f>VLOOKUP(B14,Lease!B17:M270,3,FALSE)</f>
        <v>110000.00000000001</v>
      </c>
      <c r="C7" s="5"/>
      <c r="D7" s="5"/>
      <c r="E7" s="5"/>
      <c r="F7" t="s">
        <v>4</v>
      </c>
      <c r="H7" s="64">
        <f>B16</f>
        <v>1422352.605129614</v>
      </c>
      <c r="I7" s="5"/>
      <c r="J7" s="5"/>
      <c r="K7" s="5"/>
    </row>
    <row r="8" spans="1:11" x14ac:dyDescent="0.25">
      <c r="A8" s="62" t="s">
        <v>67</v>
      </c>
      <c r="B8" s="40">
        <f>VLOOKUP(B14,Lease!B17:M270,9,FALSE)</f>
        <v>1422042.9888743861</v>
      </c>
      <c r="D8" s="5"/>
      <c r="F8" s="5"/>
      <c r="G8" s="5"/>
      <c r="H8" s="5"/>
      <c r="I8" s="5"/>
      <c r="J8" s="5"/>
      <c r="K8" s="5"/>
    </row>
    <row r="9" spans="1:11" x14ac:dyDescent="0.25">
      <c r="A9" s="62" t="s">
        <v>73</v>
      </c>
      <c r="B9" s="57">
        <f>B7-B6+1</f>
        <v>66827.000000000015</v>
      </c>
      <c r="C9" s="61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62" t="s">
        <v>69</v>
      </c>
      <c r="B10" s="40">
        <f>VLOOKUP(B14,Lease!B17:M270,10,FALSE)</f>
        <v>71102.149443719303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5">
      <c r="A11" s="62" t="s">
        <v>71</v>
      </c>
      <c r="B11" s="57">
        <f>B10/B9</f>
        <v>1.0639733856632692</v>
      </c>
      <c r="C11" s="5"/>
      <c r="D11" s="5"/>
      <c r="E11" s="58"/>
      <c r="F11" s="5"/>
      <c r="G11" s="5"/>
      <c r="H11" s="5"/>
      <c r="I11" s="5"/>
      <c r="J11" s="5"/>
      <c r="K11" s="5"/>
    </row>
    <row r="12" spans="1:11" x14ac:dyDescent="0.25">
      <c r="A12" s="62" t="s">
        <v>72</v>
      </c>
      <c r="B12" s="57">
        <f>B5-B6-1</f>
        <v>291</v>
      </c>
      <c r="C12" s="59"/>
      <c r="D12" s="59"/>
      <c r="E12" s="59"/>
      <c r="F12" s="59"/>
      <c r="G12" s="59"/>
      <c r="H12" s="59"/>
      <c r="I12" s="59"/>
      <c r="J12" s="59"/>
      <c r="K12" s="59"/>
    </row>
    <row r="13" spans="1:11" x14ac:dyDescent="0.25">
      <c r="A13" s="62" t="str">
        <f>"Finance charge for "&amp;""&amp;(B12)</f>
        <v>Finance charge for 291</v>
      </c>
      <c r="B13" s="57">
        <f>B11*B12</f>
        <v>309.61625522801131</v>
      </c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3" t="s">
        <v>75</v>
      </c>
      <c r="B14" s="13">
        <v>2019</v>
      </c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5">
      <c r="A15" s="13" t="s">
        <v>76</v>
      </c>
      <c r="B15" s="13">
        <v>2018</v>
      </c>
    </row>
    <row r="16" spans="1:11" x14ac:dyDescent="0.25">
      <c r="A16" s="48" t="s">
        <v>100</v>
      </c>
      <c r="B16" s="63">
        <f>B8+B13</f>
        <v>1422352.605129614</v>
      </c>
    </row>
    <row r="18" spans="1:6" x14ac:dyDescent="0.25">
      <c r="F18" s="64"/>
    </row>
    <row r="20" spans="1:6" x14ac:dyDescent="0.25">
      <c r="D20" s="64"/>
      <c r="F20" s="1"/>
    </row>
    <row r="21" spans="1:6" x14ac:dyDescent="0.25">
      <c r="A21" t="s">
        <v>79</v>
      </c>
      <c r="B21">
        <f>B5-Lease!B4+1</f>
        <v>658</v>
      </c>
      <c r="F21" s="12"/>
    </row>
    <row r="22" spans="1:6" x14ac:dyDescent="0.25">
      <c r="A22" t="s">
        <v>78</v>
      </c>
      <c r="B22">
        <f>Lease!P26-Lease!P17</f>
        <v>3287</v>
      </c>
    </row>
    <row r="23" spans="1:6" x14ac:dyDescent="0.25">
      <c r="A23" t="s">
        <v>81</v>
      </c>
      <c r="B23">
        <f>B22-B21</f>
        <v>2629</v>
      </c>
    </row>
    <row r="24" spans="1:6" x14ac:dyDescent="0.25">
      <c r="A24" t="s">
        <v>80</v>
      </c>
      <c r="B24" s="65">
        <f>Lease!Q17/'Cumulative Catchup'!B22</f>
        <v>471.42219388772111</v>
      </c>
    </row>
    <row r="25" spans="1:6" x14ac:dyDescent="0.25">
      <c r="B25" s="12">
        <f>B24*B21</f>
        <v>310195.80357812048</v>
      </c>
    </row>
    <row r="26" spans="1:6" x14ac:dyDescent="0.25">
      <c r="B26" s="12"/>
    </row>
    <row r="27" spans="1:6" x14ac:dyDescent="0.25">
      <c r="A27" t="s">
        <v>6</v>
      </c>
      <c r="B27" s="7">
        <f>Lease!B4</f>
        <v>42809</v>
      </c>
    </row>
    <row r="28" spans="1:6" x14ac:dyDescent="0.25">
      <c r="A28" t="s">
        <v>82</v>
      </c>
      <c r="B28" s="66">
        <f>DATE(YEAR(Lease!B4)+Lease!L4,MONTH(Lease!B4),DAY(Lease!B4))</f>
        <v>46461</v>
      </c>
    </row>
    <row r="29" spans="1:6" x14ac:dyDescent="0.25">
      <c r="A29" t="s">
        <v>83</v>
      </c>
      <c r="B29" s="66">
        <v>43466</v>
      </c>
    </row>
    <row r="30" spans="1:6" x14ac:dyDescent="0.25">
      <c r="A30" t="s">
        <v>78</v>
      </c>
      <c r="B30">
        <f>B28-B27+1</f>
        <v>3653</v>
      </c>
    </row>
    <row r="31" spans="1:6" x14ac:dyDescent="0.25">
      <c r="A31" t="s">
        <v>84</v>
      </c>
      <c r="B31">
        <f>B29-B27</f>
        <v>657</v>
      </c>
    </row>
    <row r="32" spans="1:6" x14ac:dyDescent="0.25">
      <c r="A32" t="s">
        <v>80</v>
      </c>
      <c r="B32" s="67">
        <f>Lease!Q17/'Cumulative Catchup'!B30</f>
        <v>424.18963901148078</v>
      </c>
    </row>
    <row r="33" spans="1:2" x14ac:dyDescent="0.25">
      <c r="A33" t="s">
        <v>85</v>
      </c>
      <c r="B33" s="68">
        <f>B32*B31</f>
        <v>278692.59283054288</v>
      </c>
    </row>
    <row r="34" spans="1:2" x14ac:dyDescent="0.25">
      <c r="A34" t="s">
        <v>86</v>
      </c>
      <c r="B34" s="64">
        <f>Lease!Q17-'Cumulative Catchup'!B33</f>
        <v>1270872.1584783962</v>
      </c>
    </row>
    <row r="35" spans="1:2" x14ac:dyDescent="0.25">
      <c r="A35" t="s">
        <v>87</v>
      </c>
      <c r="B35" s="64">
        <f>H7-B34</f>
        <v>151480.44665121776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showGridLines="0" topLeftCell="A19" workbookViewId="0">
      <selection activeCell="A33" sqref="A33"/>
    </sheetView>
  </sheetViews>
  <sheetFormatPr baseColWidth="10" defaultColWidth="9.140625" defaultRowHeight="15" x14ac:dyDescent="0.25"/>
  <cols>
    <col min="1" max="1" width="79" bestFit="1" customWidth="1"/>
    <col min="2" max="2" width="13.28515625" bestFit="1" customWidth="1"/>
    <col min="3" max="3" width="9.7109375" bestFit="1" customWidth="1"/>
    <col min="4" max="4" width="10.5703125" bestFit="1" customWidth="1"/>
    <col min="5" max="5" width="16.28515625" bestFit="1" customWidth="1"/>
    <col min="6" max="6" width="13.28515625" bestFit="1" customWidth="1"/>
    <col min="7" max="7" width="10.5703125" bestFit="1" customWidth="1"/>
    <col min="8" max="8" width="5" bestFit="1" customWidth="1"/>
  </cols>
  <sheetData>
    <row r="2" spans="1:11" x14ac:dyDescent="0.25">
      <c r="A2" s="71" t="s">
        <v>99</v>
      </c>
      <c r="E2" s="2" t="s">
        <v>98</v>
      </c>
    </row>
    <row r="5" spans="1:11" x14ac:dyDescent="0.25">
      <c r="A5" s="62" t="s">
        <v>70</v>
      </c>
      <c r="B5" s="37">
        <v>43101</v>
      </c>
      <c r="C5" s="5"/>
      <c r="D5" s="5"/>
      <c r="E5" t="s">
        <v>0</v>
      </c>
      <c r="G5" s="64">
        <f>B29</f>
        <v>1425701.3767175868</v>
      </c>
      <c r="I5" s="5"/>
      <c r="J5" s="5"/>
      <c r="K5" s="5"/>
    </row>
    <row r="6" spans="1:11" x14ac:dyDescent="0.25">
      <c r="A6" s="62" t="s">
        <v>68</v>
      </c>
      <c r="B6" s="37">
        <f>LOOKUP(B15,1/(Lease!$B$17:$B$100=B15),Lease!$C$17:$C$100)</f>
        <v>42809</v>
      </c>
      <c r="C6" s="5"/>
      <c r="D6" s="5"/>
      <c r="E6" t="s">
        <v>94</v>
      </c>
      <c r="G6" s="64">
        <f>B30</f>
        <v>24232.152866837569</v>
      </c>
      <c r="H6" s="5"/>
      <c r="I6" s="5"/>
      <c r="J6" s="5"/>
      <c r="K6" s="5"/>
    </row>
    <row r="7" spans="1:11" x14ac:dyDescent="0.25">
      <c r="A7" s="62" t="s">
        <v>74</v>
      </c>
      <c r="B7" s="37">
        <f>VLOOKUP(B14,Lease!B17:M270,3,FALSE)</f>
        <v>100000</v>
      </c>
      <c r="C7" s="5"/>
      <c r="D7" s="5"/>
      <c r="E7" t="s">
        <v>4</v>
      </c>
      <c r="G7" s="64">
        <f>B16</f>
        <v>1449933.5295844243</v>
      </c>
      <c r="H7" s="5"/>
      <c r="I7" s="5"/>
      <c r="J7" s="5"/>
      <c r="K7" s="5"/>
    </row>
    <row r="8" spans="1:11" x14ac:dyDescent="0.25">
      <c r="A8" s="62" t="s">
        <v>67</v>
      </c>
      <c r="B8" s="40">
        <f>VLOOKUP(B14,Lease!B17:M270,9,FALSE)</f>
        <v>1449564.7513089392</v>
      </c>
      <c r="D8" s="5"/>
      <c r="F8" s="5"/>
      <c r="G8" s="5"/>
      <c r="H8" s="5"/>
      <c r="I8" s="5"/>
      <c r="J8" s="5"/>
      <c r="K8" s="5"/>
    </row>
    <row r="9" spans="1:11" x14ac:dyDescent="0.25">
      <c r="A9" s="62" t="s">
        <v>73</v>
      </c>
      <c r="B9" s="57">
        <f>B7-B6+1</f>
        <v>57192</v>
      </c>
      <c r="C9" s="61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62" t="s">
        <v>69</v>
      </c>
      <c r="B10" s="40">
        <f>VLOOKUP(B14,Lease!B17:M270,10,FALSE)</f>
        <v>72478.237565446965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5">
      <c r="A11" s="62" t="s">
        <v>71</v>
      </c>
      <c r="B11" s="57">
        <f>B10/B9</f>
        <v>1.2672792971997302</v>
      </c>
      <c r="C11" s="5"/>
      <c r="D11" s="5"/>
      <c r="E11" s="58"/>
      <c r="F11" s="5"/>
      <c r="G11" s="5"/>
      <c r="H11" s="5"/>
      <c r="I11" s="5"/>
      <c r="J11" s="5"/>
      <c r="K11" s="5"/>
    </row>
    <row r="12" spans="1:11" x14ac:dyDescent="0.25">
      <c r="A12" s="62" t="s">
        <v>72</v>
      </c>
      <c r="B12" s="57">
        <f>B5-B6-1</f>
        <v>291</v>
      </c>
      <c r="C12" s="59"/>
      <c r="D12" s="59"/>
      <c r="E12" s="59"/>
      <c r="F12" s="59"/>
      <c r="G12" s="59"/>
      <c r="H12" s="59"/>
      <c r="I12" s="59"/>
      <c r="J12" s="59"/>
      <c r="K12" s="59"/>
    </row>
    <row r="13" spans="1:11" x14ac:dyDescent="0.25">
      <c r="A13" s="62" t="str">
        <f>"Finance charge for "&amp;""&amp;(B12)</f>
        <v>Finance charge for 291</v>
      </c>
      <c r="B13" s="57">
        <f>B11*B12</f>
        <v>368.77827548512147</v>
      </c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3" t="s">
        <v>75</v>
      </c>
      <c r="B14" s="13">
        <v>2018</v>
      </c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5">
      <c r="A15" s="13" t="s">
        <v>76</v>
      </c>
      <c r="B15" s="13">
        <v>2017</v>
      </c>
    </row>
    <row r="16" spans="1:11" x14ac:dyDescent="0.25">
      <c r="A16" s="48" t="s">
        <v>100</v>
      </c>
      <c r="B16" s="63">
        <f>B8+B13</f>
        <v>1449933.5295844243</v>
      </c>
    </row>
    <row r="20" spans="1:6" x14ac:dyDescent="0.25">
      <c r="F20" s="1"/>
    </row>
    <row r="22" spans="1:6" x14ac:dyDescent="0.25">
      <c r="A22" t="s">
        <v>6</v>
      </c>
      <c r="B22" s="7">
        <f>Lease!B4</f>
        <v>42809</v>
      </c>
    </row>
    <row r="23" spans="1:6" x14ac:dyDescent="0.25">
      <c r="A23" t="s">
        <v>82</v>
      </c>
      <c r="B23" s="66">
        <f>DATE(YEAR(Lease!B4)+Lease!L4,MONTH(Lease!B4),DAY(Lease!B4))</f>
        <v>46461</v>
      </c>
    </row>
    <row r="24" spans="1:6" x14ac:dyDescent="0.25">
      <c r="A24" t="s">
        <v>83</v>
      </c>
      <c r="B24" s="66">
        <v>43101</v>
      </c>
    </row>
    <row r="25" spans="1:6" x14ac:dyDescent="0.25">
      <c r="A25" t="s">
        <v>78</v>
      </c>
      <c r="B25">
        <f>B23-B22+1</f>
        <v>3653</v>
      </c>
    </row>
    <row r="26" spans="1:6" x14ac:dyDescent="0.25">
      <c r="A26" t="s">
        <v>84</v>
      </c>
      <c r="B26">
        <f>B24-B22</f>
        <v>292</v>
      </c>
    </row>
    <row r="27" spans="1:6" x14ac:dyDescent="0.25">
      <c r="A27" t="s">
        <v>80</v>
      </c>
      <c r="B27" s="67">
        <f>Lease!Q17/B25</f>
        <v>424.18963901148078</v>
      </c>
    </row>
    <row r="28" spans="1:6" x14ac:dyDescent="0.25">
      <c r="A28" t="s">
        <v>95</v>
      </c>
      <c r="B28" s="68">
        <f>B27*B26</f>
        <v>123863.37459135239</v>
      </c>
    </row>
    <row r="29" spans="1:6" x14ac:dyDescent="0.25">
      <c r="A29" t="s">
        <v>86</v>
      </c>
      <c r="B29" s="64">
        <f>Lease!Q17-B28</f>
        <v>1425701.3767175868</v>
      </c>
    </row>
    <row r="30" spans="1:6" x14ac:dyDescent="0.25">
      <c r="A30" t="s">
        <v>87</v>
      </c>
      <c r="B30" s="64">
        <f>G7-B29</f>
        <v>24232.152866837569</v>
      </c>
    </row>
    <row r="32" spans="1:6" x14ac:dyDescent="0.25">
      <c r="A32" t="s">
        <v>88</v>
      </c>
    </row>
    <row r="33" spans="1:2" x14ac:dyDescent="0.25">
      <c r="A33" t="s">
        <v>101</v>
      </c>
    </row>
    <row r="34" spans="1:2" x14ac:dyDescent="0.25">
      <c r="A34" s="64" t="s">
        <v>89</v>
      </c>
    </row>
    <row r="36" spans="1:2" x14ac:dyDescent="0.25">
      <c r="A36" t="s">
        <v>91</v>
      </c>
      <c r="B36" t="s">
        <v>4</v>
      </c>
    </row>
    <row r="37" spans="1:2" x14ac:dyDescent="0.25">
      <c r="A37" t="s">
        <v>92</v>
      </c>
      <c r="B37" t="s">
        <v>90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Lease</vt:lpstr>
      <vt:lpstr>Monthly</vt:lpstr>
      <vt:lpstr>Quarterly</vt:lpstr>
      <vt:lpstr>Yearly</vt:lpstr>
      <vt:lpstr>Cumulative Catchup</vt:lpstr>
      <vt:lpstr>Retrospective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IFRS 16 example: initial measurement of the right-of-use asset and lease liability</dc:title>
  <dc:creator>MM</dc:creator>
  <cp:lastModifiedBy>Junaid Paracha</cp:lastModifiedBy>
  <dcterms:created xsi:type="dcterms:W3CDTF">2018-10-06T14:44:45Z</dcterms:created>
  <dcterms:modified xsi:type="dcterms:W3CDTF">2019-11-15T10:41:40Z</dcterms:modified>
</cp:coreProperties>
</file>