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ge037/Library/CloudStorage/GoogleDrive-junge037@umn.edu/.shortcut-targets-by-id/0B0FzspCm6Gy3VzJGMlVvSnhjV2M/Intermediate_wheatgrass_research/SARE Legumes/TLI Sare Legume/"/>
    </mc:Choice>
  </mc:AlternateContent>
  <xr:revisionPtr revIDLastSave="0" documentId="13_ncr:1_{152EB0C4-B89F-2243-8D03-CC36FF0CC19C}" xr6:coauthVersionLast="47" xr6:coauthVersionMax="47" xr10:uidLastSave="{00000000-0000-0000-0000-000000000000}"/>
  <bookViews>
    <workbookView xWindow="0" yWindow="760" windowWidth="34560" windowHeight="21580" activeTab="4" xr2:uid="{92D52613-51FB-408C-BDC1-9F089184A0C9}"/>
  </bookViews>
  <sheets>
    <sheet name="2020 Wagner Kernza" sheetId="1" r:id="rId1"/>
    <sheet name="2021 Wagner Legumes" sheetId="2" r:id="rId2"/>
    <sheet name="2021 Wagner Kernza" sheetId="3" r:id="rId3"/>
    <sheet name="TLI_OFL" sheetId="4" r:id="rId4"/>
    <sheet name="WI_OF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3" l="1"/>
  <c r="P4" i="3"/>
  <c r="O4" i="3"/>
  <c r="K4" i="3"/>
  <c r="J4" i="3"/>
  <c r="F5" i="3"/>
  <c r="F6" i="3"/>
  <c r="F7" i="3"/>
  <c r="F8" i="3"/>
  <c r="F9" i="3"/>
  <c r="F10" i="3"/>
  <c r="F11" i="3"/>
  <c r="F4" i="3"/>
  <c r="B6" i="3"/>
  <c r="B11" i="3"/>
  <c r="B10" i="3"/>
  <c r="B9" i="3"/>
  <c r="B5" i="3"/>
  <c r="B7" i="3"/>
  <c r="B8" i="3"/>
  <c r="B4" i="3"/>
  <c r="D8" i="3"/>
  <c r="D4" i="3"/>
  <c r="D5" i="3"/>
  <c r="D9" i="3"/>
  <c r="D6" i="3"/>
  <c r="D10" i="3"/>
  <c r="D7" i="3"/>
  <c r="D11" i="3"/>
  <c r="C8" i="3" l="1"/>
  <c r="C4" i="3"/>
  <c r="C7" i="3"/>
  <c r="C6" i="3"/>
  <c r="C10" i="3"/>
  <c r="C9" i="3"/>
  <c r="C5" i="3"/>
  <c r="C11" i="3"/>
  <c r="H11" i="3"/>
  <c r="Q11" i="3" s="1"/>
  <c r="E11" i="3"/>
  <c r="P11" i="3" s="1"/>
  <c r="H10" i="3"/>
  <c r="Q10" i="3" s="1"/>
  <c r="E10" i="3"/>
  <c r="P10" i="3" s="1"/>
  <c r="H9" i="3"/>
  <c r="Q9" i="3" s="1"/>
  <c r="E9" i="3"/>
  <c r="H8" i="3"/>
  <c r="Q8" i="3" s="1"/>
  <c r="E8" i="3"/>
  <c r="P8" i="3" s="1"/>
  <c r="H7" i="3"/>
  <c r="Q7" i="3" s="1"/>
  <c r="E7" i="3"/>
  <c r="P7" i="3" s="1"/>
  <c r="H6" i="3"/>
  <c r="Q6" i="3" s="1"/>
  <c r="E6" i="3"/>
  <c r="P6" i="3" s="1"/>
  <c r="H5" i="3"/>
  <c r="Q5" i="3" s="1"/>
  <c r="E5" i="3"/>
  <c r="H4" i="3"/>
  <c r="Q4" i="3" s="1"/>
  <c r="E4" i="3"/>
  <c r="A15" i="2"/>
  <c r="B5" i="2" s="1"/>
  <c r="C5" i="2"/>
  <c r="C10" i="2"/>
  <c r="C7" i="2"/>
  <c r="C8" i="2"/>
  <c r="C6" i="2"/>
  <c r="C11" i="2"/>
  <c r="C9" i="2"/>
  <c r="U6" i="1"/>
  <c r="T6" i="1"/>
  <c r="S6" i="1"/>
  <c r="R6" i="1"/>
  <c r="U2" i="1"/>
  <c r="T2" i="1"/>
  <c r="S2" i="1"/>
  <c r="R2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N2" i="1"/>
  <c r="L2" i="1"/>
  <c r="G3" i="1"/>
  <c r="G4" i="1"/>
  <c r="G5" i="1"/>
  <c r="G6" i="1"/>
  <c r="L6" i="1" s="1"/>
  <c r="G7" i="1"/>
  <c r="G8" i="1"/>
  <c r="G9" i="1"/>
  <c r="G2" i="1"/>
  <c r="P2" i="1" s="1"/>
  <c r="B6" i="2" l="1"/>
  <c r="B8" i="2"/>
  <c r="D8" i="2"/>
  <c r="B9" i="2"/>
  <c r="B7" i="2"/>
  <c r="D7" i="2" s="1"/>
  <c r="B10" i="2"/>
  <c r="D10" i="2" s="1"/>
  <c r="B11" i="2"/>
  <c r="D11" i="2" s="1"/>
  <c r="B12" i="2"/>
  <c r="D12" i="2" s="1"/>
  <c r="K8" i="3"/>
  <c r="L8" i="3"/>
  <c r="M8" i="3"/>
  <c r="J8" i="3"/>
  <c r="M4" i="3"/>
  <c r="L4" i="3"/>
  <c r="V4" i="3"/>
  <c r="U4" i="3"/>
  <c r="U8" i="3"/>
  <c r="V8" i="3"/>
  <c r="P5" i="3"/>
  <c r="T4" i="3" s="1"/>
  <c r="P9" i="3"/>
  <c r="T8" i="3" s="1"/>
  <c r="D9" i="2"/>
  <c r="D6" i="2"/>
  <c r="D5" i="2"/>
  <c r="K6" i="1"/>
  <c r="K2" i="1"/>
  <c r="D3" i="1"/>
  <c r="D4" i="1"/>
  <c r="D5" i="1"/>
  <c r="D6" i="1"/>
  <c r="D7" i="1"/>
  <c r="D8" i="1"/>
  <c r="D9" i="1"/>
  <c r="D2" i="1"/>
  <c r="S8" i="3" l="1"/>
  <c r="J6" i="1"/>
  <c r="I6" i="1"/>
  <c r="J2" i="1"/>
  <c r="O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tc={E98F4B58-2DAA-4E6E-814B-022066BEDA69}</author>
    <author>tc={12F9E90E-AD03-443C-83F8-ED2014A936CA}</author>
    <author>tc={716644F1-4750-4E57-87C3-85679B774CF7}</author>
    <author>tc={85496489-9852-43A8-B704-9D286DF1E15B}</author>
  </authors>
  <commentList>
    <comment ref="B3" authorId="0" shapeId="0" xr:uid="{E98F4B58-2DAA-4E6E-814B-022066BEDA69}">
      <text>
        <t>[Threaded comment]
Your version of Excel allows you to read this threaded comment; however, any edits to it will get removed if the file is opened in a newer version of Excel. Learn more: https://go.microsoft.com/fwlink/?linkid=870924
Comment:
    20 bags were weighed to find the average bag weight. This was then multiplied by the number of bags used for the plot</t>
      </text>
    </comment>
    <comment ref="E3" authorId="1" shapeId="0" xr:uid="{12F9E90E-AD03-443C-83F8-ED2014A936C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everything ~10cm+ harvested from the quadrat, so stems + seed heads</t>
      </text>
    </comment>
    <comment ref="G3" authorId="2" shapeId="0" xr:uid="{716644F1-4750-4E57-87C3-85679B774C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naked seed (threshed in the wintersteiger, which came out mostly naked, and then aspirated with the seed blower)</t>
      </text>
    </comment>
    <comment ref="G8" authorId="3" shapeId="0" xr:uid="{85496489-9852-43A8-B704-9D286DF1E15B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had bags 1 &amp;3, missing bag 2 (b/c had 3 bags for the biomass originally)</t>
      </text>
    </comment>
  </commentList>
</comments>
</file>

<file path=xl/sharedStrings.xml><?xml version="1.0" encoding="utf-8"?>
<sst xmlns="http://schemas.openxmlformats.org/spreadsheetml/2006/main" count="172" uniqueCount="57">
  <si>
    <t xml:space="preserve">Plot </t>
  </si>
  <si>
    <t>Bag wt (g)</t>
  </si>
  <si>
    <t>A1</t>
  </si>
  <si>
    <t>A2</t>
  </si>
  <si>
    <t>A3</t>
  </si>
  <si>
    <t>A4</t>
  </si>
  <si>
    <t>S1</t>
  </si>
  <si>
    <t>S2</t>
  </si>
  <si>
    <t>S4</t>
  </si>
  <si>
    <t>S3</t>
  </si>
  <si>
    <t>Kernza biomass dry wt (g) + bag wt</t>
  </si>
  <si>
    <t>Kernza dry wt (g)</t>
  </si>
  <si>
    <t>Seed bag wt (g)</t>
  </si>
  <si>
    <t>Seed + bag wt (g)</t>
  </si>
  <si>
    <t>Seed wt (g)</t>
  </si>
  <si>
    <t>Biomass SE</t>
  </si>
  <si>
    <t>Mean Grain SE</t>
  </si>
  <si>
    <t>K-alfalfa</t>
  </si>
  <si>
    <t>K-sainfoin</t>
  </si>
  <si>
    <t>Mean Biomass (g)</t>
  </si>
  <si>
    <t>Mean Grain (g)</t>
  </si>
  <si>
    <t>30" = .762 m</t>
  </si>
  <si>
    <t>eng to metric</t>
  </si>
  <si>
    <t>#rows/ha</t>
  </si>
  <si>
    <t>Grain per kg/ ha</t>
  </si>
  <si>
    <t>Biomass kg  /ha</t>
  </si>
  <si>
    <t>mean biomass kg/ha</t>
  </si>
  <si>
    <t>biomass SE</t>
  </si>
  <si>
    <t>mean grain kg/ha</t>
  </si>
  <si>
    <t>grain SE</t>
  </si>
  <si>
    <t>Harvest date</t>
  </si>
  <si>
    <t>Harvested by Madeline &amp; Courtney</t>
  </si>
  <si>
    <t>Legume biomass dry wt (g) + bag wt</t>
  </si>
  <si>
    <t>Legume dry wt (g)</t>
  </si>
  <si>
    <t>Length harvested (m)</t>
  </si>
  <si>
    <t>Average bag wt (g)</t>
  </si>
  <si>
    <t>Note: Some of the sainfoin plots at Wagner's also have alfalfa growing in the rows now</t>
  </si>
  <si>
    <t>Kernza biomass wet wt (g) + bag wt</t>
  </si>
  <si>
    <t>Harvested by Madeline &amp; Tim</t>
  </si>
  <si>
    <t>Kernza biomass dry wt (g)</t>
  </si>
  <si>
    <t>straw</t>
  </si>
  <si>
    <t>grain</t>
  </si>
  <si>
    <t>Kernza-alfalfa</t>
  </si>
  <si>
    <t>Kernza-sainfoin</t>
  </si>
  <si>
    <t>Wagner</t>
  </si>
  <si>
    <t>Wepking</t>
  </si>
  <si>
    <t>alfalfa</t>
  </si>
  <si>
    <t>weed</t>
  </si>
  <si>
    <t>Kernza-alf-wc</t>
  </si>
  <si>
    <t>Kernza-wc</t>
  </si>
  <si>
    <t>wc</t>
  </si>
  <si>
    <t>site</t>
  </si>
  <si>
    <t>year</t>
  </si>
  <si>
    <t>trt</t>
  </si>
  <si>
    <t>part</t>
  </si>
  <si>
    <t>biomass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</si>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</sst>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  <xf numFmtId="1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0" fillId="0" borderId="0" xfId="0" applyFill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c Cassetta" id="{F9FACB08-D5D6-4AEC-9441-A18F4A8D4F06}" userId="Eric Cassetta" providerId="None"/>
  <person displayName="Madeline Dubois" id="{D311EEFC-A2B5-46F7-977A-8BB5B8E76741}" userId="Madeline Duboi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1-07-30T19:55:07.49" personId="{F9FACB08-D5D6-4AEC-9441-A18F4A8D4F06}" id="{E98F4B58-2DAA-4E6E-814B-022066BEDA69}">
    <text>20 bags were weighed to find the average bag weight. This was then multiplied by the number of bags used for the plot</text>
  </threadedComment>
  <threadedComment ref="E3" dT="2021-11-09T17:47:21.07" personId="{D311EEFC-A2B5-46F7-977A-8BB5B8E76741}" id="{12F9E90E-AD03-443C-83F8-ED2014A936CA}">
    <text>This everything ~10cm+ harvested from the quadrat, so stems + seed heads</text>
  </threadedComment>
  <threadedComment ref="G3" dT="2021-11-04T15:08:21.95" personId="{D311EEFC-A2B5-46F7-977A-8BB5B8E76741}" id="{716644F1-4750-4E57-87C3-85679B774CF7}">
    <text>This is naked seed (threshed in the wintersteiger, which came out mostly naked, and then aspirated with the seed blower)</text>
  </threadedComment>
  <threadedComment ref="G8" dT="2021-11-09T19:49:36.93" personId="{D311EEFC-A2B5-46F7-977A-8BB5B8E76741}" id="{85496489-9852-43A8-B704-9D286DF1E15B}">
    <text>Only had bags 1 &amp;3, missing bag 2 (b/c had 3 bags for the biomass originally)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CA5D-326A-43F2-8B11-148178265C7E}">
  <dimension ref="A1:U9"/>
  <sheetViews>
    <sheetView zoomScale="150" zoomScaleNormal="150" workbookViewId="0">
      <selection activeCell="O1" sqref="O1:P9"/>
    </sheetView>
  </sheetViews>
  <sheetFormatPr baseColWidth="10" defaultColWidth="8.83203125" defaultRowHeight="15" x14ac:dyDescent="0.2"/>
  <cols>
    <col min="3" max="3" width="14" customWidth="1"/>
    <col min="4" max="4" width="16" bestFit="1" customWidth="1"/>
    <col min="5" max="5" width="10.6640625" customWidth="1"/>
    <col min="9" max="9" width="10.1640625" customWidth="1"/>
    <col min="10" max="10" width="8.1640625" customWidth="1"/>
    <col min="11" max="11" width="8.33203125" customWidth="1"/>
    <col min="12" max="12" width="9.1640625" customWidth="1"/>
  </cols>
  <sheetData>
    <row r="1" spans="1:21" s="3" customFormat="1" ht="48" x14ac:dyDescent="0.2">
      <c r="A1" s="3" t="s">
        <v>0</v>
      </c>
      <c r="B1" s="3" t="s">
        <v>1</v>
      </c>
      <c r="C1" s="3" t="s">
        <v>10</v>
      </c>
      <c r="D1" s="3" t="s">
        <v>39</v>
      </c>
      <c r="E1" s="3" t="s">
        <v>12</v>
      </c>
      <c r="F1" s="3" t="s">
        <v>13</v>
      </c>
      <c r="G1" s="3" t="s">
        <v>14</v>
      </c>
      <c r="I1" s="3" t="s">
        <v>19</v>
      </c>
      <c r="J1" s="3" t="s">
        <v>15</v>
      </c>
      <c r="K1" s="3" t="s">
        <v>20</v>
      </c>
      <c r="L1" s="3" t="s">
        <v>16</v>
      </c>
      <c r="M1" s="3" t="s">
        <v>22</v>
      </c>
      <c r="N1" s="3" t="s">
        <v>21</v>
      </c>
      <c r="O1" s="3" t="s">
        <v>25</v>
      </c>
      <c r="P1" s="3" t="s">
        <v>24</v>
      </c>
      <c r="R1" s="3" t="s">
        <v>26</v>
      </c>
      <c r="S1" s="3" t="s">
        <v>27</v>
      </c>
      <c r="T1" s="3" t="s">
        <v>28</v>
      </c>
      <c r="U1" s="3" t="s">
        <v>29</v>
      </c>
    </row>
    <row r="2" spans="1:21" x14ac:dyDescent="0.2">
      <c r="A2" t="s">
        <v>2</v>
      </c>
      <c r="B2">
        <v>249.5</v>
      </c>
      <c r="C2">
        <v>1282</v>
      </c>
      <c r="D2">
        <f>C2-B2</f>
        <v>1032.5</v>
      </c>
      <c r="E2">
        <v>7.39</v>
      </c>
      <c r="F2">
        <v>98.53</v>
      </c>
      <c r="G2">
        <f>F2-E2</f>
        <v>91.14</v>
      </c>
      <c r="H2" t="s">
        <v>17</v>
      </c>
      <c r="I2" s="2">
        <f>AVERAGE(D2:D5)</f>
        <v>1101.2249999999999</v>
      </c>
      <c r="J2" s="2">
        <f>STDEV(D2,D3,D4,D5)/SQRT(3)</f>
        <v>242.88354491173121</v>
      </c>
      <c r="K2" s="2">
        <f>AVERAGE(G2:G5)</f>
        <v>115.39749999999998</v>
      </c>
      <c r="L2" s="2">
        <f>STDEV(G2,G3,G4,G5)/SQRT(3)</f>
        <v>21.405904883673823</v>
      </c>
      <c r="M2" t="s">
        <v>23</v>
      </c>
      <c r="N2">
        <f>100/0.762</f>
        <v>131.23359580052494</v>
      </c>
      <c r="O2">
        <f>D2*20*131.2/1000</f>
        <v>2709.2799999999997</v>
      </c>
      <c r="P2">
        <f>G2*20*131.2/1000</f>
        <v>239.15135999999998</v>
      </c>
      <c r="Q2" t="s">
        <v>17</v>
      </c>
      <c r="R2" s="4">
        <f>AVERAGE(O2:O5)</f>
        <v>2889.6143999999995</v>
      </c>
      <c r="S2" s="4">
        <f>STDEV(O2,O3,O4,O5)/SQRT(3)</f>
        <v>637.32642184838255</v>
      </c>
      <c r="T2" s="4">
        <f>AVERAGE(P2:P5)</f>
        <v>302.80303999999995</v>
      </c>
      <c r="U2" s="4">
        <f>STDEV(P2,P3,P4,P5)/SQRT(3)</f>
        <v>56.169094414759961</v>
      </c>
    </row>
    <row r="3" spans="1:21" x14ac:dyDescent="0.2">
      <c r="A3" t="s">
        <v>3</v>
      </c>
      <c r="B3">
        <v>259.8</v>
      </c>
      <c r="C3">
        <v>1016.1</v>
      </c>
      <c r="D3">
        <f t="shared" ref="D3:D9" si="0">C3-B3</f>
        <v>756.3</v>
      </c>
      <c r="E3">
        <v>7.51</v>
      </c>
      <c r="F3">
        <v>91.01</v>
      </c>
      <c r="G3">
        <f t="shared" ref="G3:G9" si="1">F3-E3</f>
        <v>83.5</v>
      </c>
      <c r="O3">
        <f t="shared" ref="O3:O9" si="2">D3*20*131.2/1000</f>
        <v>1984.5311999999997</v>
      </c>
      <c r="P3">
        <f t="shared" ref="P3:P9" si="3">G3*20*131.2/1000</f>
        <v>219.10399999999998</v>
      </c>
    </row>
    <row r="4" spans="1:21" x14ac:dyDescent="0.2">
      <c r="A4" t="s">
        <v>4</v>
      </c>
      <c r="B4">
        <v>265.3</v>
      </c>
      <c r="C4">
        <v>1974.4</v>
      </c>
      <c r="D4">
        <f t="shared" si="0"/>
        <v>1709.1000000000001</v>
      </c>
      <c r="E4">
        <v>7.55</v>
      </c>
      <c r="F4">
        <v>172.72</v>
      </c>
      <c r="G4">
        <f t="shared" si="1"/>
        <v>165.17</v>
      </c>
      <c r="O4">
        <f t="shared" si="2"/>
        <v>4484.6783999999998</v>
      </c>
      <c r="P4">
        <f t="shared" si="3"/>
        <v>433.40607999999992</v>
      </c>
    </row>
    <row r="5" spans="1:21" x14ac:dyDescent="0.2">
      <c r="A5" t="s">
        <v>5</v>
      </c>
      <c r="B5">
        <v>249.1</v>
      </c>
      <c r="C5">
        <v>1156.0999999999999</v>
      </c>
      <c r="D5">
        <f t="shared" si="0"/>
        <v>906.99999999999989</v>
      </c>
      <c r="E5">
        <v>7.36</v>
      </c>
      <c r="F5">
        <v>129.13999999999999</v>
      </c>
      <c r="G5">
        <f t="shared" si="1"/>
        <v>121.77999999999999</v>
      </c>
      <c r="O5">
        <f t="shared" si="2"/>
        <v>2379.9679999999994</v>
      </c>
      <c r="P5">
        <f t="shared" si="3"/>
        <v>319.55071999999996</v>
      </c>
    </row>
    <row r="6" spans="1:21" x14ac:dyDescent="0.2">
      <c r="A6" t="s">
        <v>6</v>
      </c>
      <c r="B6">
        <v>266</v>
      </c>
      <c r="C6">
        <v>1287.4000000000001</v>
      </c>
      <c r="D6">
        <f t="shared" si="0"/>
        <v>1021.4000000000001</v>
      </c>
      <c r="E6">
        <v>7.39</v>
      </c>
      <c r="F6">
        <v>83.7</v>
      </c>
      <c r="G6">
        <f t="shared" si="1"/>
        <v>76.31</v>
      </c>
      <c r="H6" t="s">
        <v>18</v>
      </c>
      <c r="I6" s="2">
        <f>AVERAGE(D6:D9)</f>
        <v>969.90000000000009</v>
      </c>
      <c r="J6" s="2">
        <f>STDEV(D6,D7,D8,D9)/SQRT(3)</f>
        <v>253.61801110243641</v>
      </c>
      <c r="K6" s="2">
        <f>AVERAGE(G6:G9)</f>
        <v>92.550000000000011</v>
      </c>
      <c r="L6" s="2">
        <f>STDEV(G6,G7,G8,G9)/SQRT(3)</f>
        <v>24.14547162513086</v>
      </c>
      <c r="O6">
        <f t="shared" si="2"/>
        <v>2680.1535999999996</v>
      </c>
      <c r="P6">
        <f t="shared" si="3"/>
        <v>200.23743999999999</v>
      </c>
      <c r="Q6" t="s">
        <v>18</v>
      </c>
      <c r="R6" s="4">
        <f>AVERAGE(O6:O9)</f>
        <v>2545.0175999999997</v>
      </c>
      <c r="S6" s="4">
        <f>STDEV(O6,O7,O8,O9)/SQRT(3)</f>
        <v>665.49366113279279</v>
      </c>
      <c r="T6" s="4">
        <f>AVERAGE(P6:P9)</f>
        <v>242.85119999999998</v>
      </c>
      <c r="U6" s="4">
        <f>STDEV(P6,P7,P8,P9)/SQRT(3)</f>
        <v>63.357717544343387</v>
      </c>
    </row>
    <row r="7" spans="1:21" x14ac:dyDescent="0.2">
      <c r="A7" t="s">
        <v>7</v>
      </c>
      <c r="B7">
        <v>240</v>
      </c>
      <c r="C7">
        <v>598.5</v>
      </c>
      <c r="D7">
        <f t="shared" si="0"/>
        <v>358.5</v>
      </c>
      <c r="E7">
        <v>7.39</v>
      </c>
      <c r="F7">
        <v>50.4</v>
      </c>
      <c r="G7">
        <f t="shared" si="1"/>
        <v>43.01</v>
      </c>
      <c r="O7">
        <f t="shared" si="2"/>
        <v>940.70399999999984</v>
      </c>
      <c r="P7">
        <f t="shared" si="3"/>
        <v>112.85823999999998</v>
      </c>
    </row>
    <row r="8" spans="1:21" x14ac:dyDescent="0.2">
      <c r="A8" t="s">
        <v>9</v>
      </c>
      <c r="B8">
        <v>262.5</v>
      </c>
      <c r="C8">
        <v>1361.2</v>
      </c>
      <c r="D8">
        <f t="shared" si="0"/>
        <v>1098.7</v>
      </c>
      <c r="E8">
        <v>7.38</v>
      </c>
      <c r="F8">
        <v>119.3</v>
      </c>
      <c r="G8">
        <f t="shared" si="1"/>
        <v>111.92</v>
      </c>
      <c r="O8">
        <f t="shared" si="2"/>
        <v>2882.9887999999996</v>
      </c>
      <c r="P8">
        <f t="shared" si="3"/>
        <v>293.67807999999997</v>
      </c>
    </row>
    <row r="9" spans="1:21" x14ac:dyDescent="0.2">
      <c r="A9" t="s">
        <v>8</v>
      </c>
      <c r="B9">
        <v>266.89999999999998</v>
      </c>
      <c r="C9">
        <v>1667.9</v>
      </c>
      <c r="D9">
        <f t="shared" si="0"/>
        <v>1401</v>
      </c>
      <c r="E9">
        <v>7.42</v>
      </c>
      <c r="F9">
        <v>146.38</v>
      </c>
      <c r="G9">
        <f t="shared" si="1"/>
        <v>138.96</v>
      </c>
      <c r="O9">
        <f t="shared" si="2"/>
        <v>3676.2239999999997</v>
      </c>
      <c r="P9">
        <f t="shared" si="3"/>
        <v>364.63103999999998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7606-0AD1-42D8-9EFE-386F39C5D6CF}">
  <dimension ref="A1:E15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12.1640625" bestFit="1" customWidth="1"/>
    <col min="2" max="2" width="9.6640625" bestFit="1" customWidth="1"/>
    <col min="3" max="3" width="32" bestFit="1" customWidth="1"/>
    <col min="4" max="4" width="17" bestFit="1" customWidth="1"/>
  </cols>
  <sheetData>
    <row r="1" spans="1:5" x14ac:dyDescent="0.2">
      <c r="A1" t="s">
        <v>30</v>
      </c>
      <c r="B1" s="5">
        <v>44368</v>
      </c>
    </row>
    <row r="2" spans="1:5" x14ac:dyDescent="0.2">
      <c r="A2" t="s">
        <v>31</v>
      </c>
    </row>
    <row r="4" spans="1:5" x14ac:dyDescent="0.2">
      <c r="A4" s="1" t="s">
        <v>0</v>
      </c>
      <c r="B4" s="1" t="s">
        <v>1</v>
      </c>
      <c r="C4" s="1" t="s">
        <v>32</v>
      </c>
      <c r="D4" s="1" t="s">
        <v>33</v>
      </c>
      <c r="E4" s="1" t="s">
        <v>34</v>
      </c>
    </row>
    <row r="5" spans="1:5" x14ac:dyDescent="0.2">
      <c r="A5" t="s">
        <v>4</v>
      </c>
      <c r="B5">
        <f>A15*2</f>
        <v>140.17000000000002</v>
      </c>
      <c r="C5">
        <f>348.8+205.4</f>
        <v>554.20000000000005</v>
      </c>
      <c r="D5" s="2">
        <f>C5-B5</f>
        <v>414.03000000000003</v>
      </c>
      <c r="E5">
        <v>5</v>
      </c>
    </row>
    <row r="6" spans="1:5" x14ac:dyDescent="0.2">
      <c r="A6" t="s">
        <v>5</v>
      </c>
      <c r="B6">
        <f>A15*2</f>
        <v>140.17000000000002</v>
      </c>
      <c r="C6">
        <f>460.5+346.2</f>
        <v>806.7</v>
      </c>
      <c r="D6" s="2">
        <f t="shared" ref="D6:D12" si="0">C6-B6</f>
        <v>666.53</v>
      </c>
      <c r="E6">
        <v>5</v>
      </c>
    </row>
    <row r="7" spans="1:5" x14ac:dyDescent="0.2">
      <c r="A7" t="s">
        <v>2</v>
      </c>
      <c r="B7">
        <f>A15*3</f>
        <v>210.25500000000002</v>
      </c>
      <c r="C7">
        <f>323.8+258.7+281.4</f>
        <v>863.9</v>
      </c>
      <c r="D7" s="2">
        <f t="shared" si="0"/>
        <v>653.64499999999998</v>
      </c>
      <c r="E7">
        <v>5</v>
      </c>
    </row>
    <row r="8" spans="1:5" x14ac:dyDescent="0.2">
      <c r="A8" t="s">
        <v>3</v>
      </c>
      <c r="B8">
        <f>A15*3</f>
        <v>210.25500000000002</v>
      </c>
      <c r="C8">
        <f>335.5+312.9+339.6</f>
        <v>988</v>
      </c>
      <c r="D8" s="2">
        <f t="shared" si="0"/>
        <v>777.745</v>
      </c>
      <c r="E8">
        <v>5</v>
      </c>
    </row>
    <row r="9" spans="1:5" x14ac:dyDescent="0.2">
      <c r="A9" t="s">
        <v>9</v>
      </c>
      <c r="B9">
        <f>A15*2</f>
        <v>140.17000000000002</v>
      </c>
      <c r="C9">
        <f>292.6+226.3</f>
        <v>518.90000000000009</v>
      </c>
      <c r="D9" s="2">
        <f t="shared" si="0"/>
        <v>378.73000000000008</v>
      </c>
      <c r="E9">
        <v>5</v>
      </c>
    </row>
    <row r="10" spans="1:5" x14ac:dyDescent="0.2">
      <c r="A10" t="s">
        <v>8</v>
      </c>
      <c r="B10">
        <f>A15*2</f>
        <v>140.17000000000002</v>
      </c>
      <c r="C10">
        <f>250+216.2</f>
        <v>466.2</v>
      </c>
      <c r="D10" s="2">
        <f t="shared" si="0"/>
        <v>326.02999999999997</v>
      </c>
      <c r="E10">
        <v>5</v>
      </c>
    </row>
    <row r="11" spans="1:5" x14ac:dyDescent="0.2">
      <c r="A11" t="s">
        <v>6</v>
      </c>
      <c r="B11">
        <f>A15*3</f>
        <v>210.25500000000002</v>
      </c>
      <c r="C11">
        <f>314.1+340.3+228.4</f>
        <v>882.80000000000007</v>
      </c>
      <c r="D11" s="2">
        <f t="shared" si="0"/>
        <v>672.54500000000007</v>
      </c>
      <c r="E11">
        <v>5</v>
      </c>
    </row>
    <row r="12" spans="1:5" x14ac:dyDescent="0.2">
      <c r="A12" t="s">
        <v>7</v>
      </c>
      <c r="B12">
        <f>A15</f>
        <v>70.085000000000008</v>
      </c>
      <c r="C12">
        <v>270.39999999999998</v>
      </c>
      <c r="D12" s="2">
        <f t="shared" si="0"/>
        <v>200.31499999999997</v>
      </c>
      <c r="E12">
        <v>5</v>
      </c>
    </row>
    <row r="14" spans="1:5" x14ac:dyDescent="0.2">
      <c r="A14" t="s">
        <v>35</v>
      </c>
      <c r="C14" t="s">
        <v>36</v>
      </c>
    </row>
    <row r="15" spans="1:5" x14ac:dyDescent="0.2">
      <c r="A15">
        <f>1401.7/20</f>
        <v>70.085000000000008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7F56-4B99-4B24-B0A2-E7DFCFBFDA50}">
  <dimension ref="A1:V11"/>
  <sheetViews>
    <sheetView zoomScale="152" zoomScaleNormal="150" workbookViewId="0">
      <selection activeCell="P4" sqref="P4:Q11"/>
    </sheetView>
  </sheetViews>
  <sheetFormatPr baseColWidth="10" defaultColWidth="8.83203125" defaultRowHeight="15" x14ac:dyDescent="0.2"/>
  <cols>
    <col min="1" max="1" width="12.6640625" customWidth="1"/>
    <col min="2" max="2" width="9.6640625" bestFit="1" customWidth="1"/>
    <col min="3" max="3" width="13.83203125" customWidth="1"/>
    <col min="4" max="4" width="32" bestFit="1" customWidth="1"/>
    <col min="5" max="5" width="16" bestFit="1" customWidth="1"/>
    <col min="6" max="6" width="14.6640625" bestFit="1" customWidth="1"/>
    <col min="10" max="10" width="10.1640625" customWidth="1"/>
    <col min="11" max="11" width="8.1640625" customWidth="1"/>
    <col min="12" max="12" width="8.33203125" customWidth="1"/>
    <col min="13" max="13" width="9.1640625" customWidth="1"/>
  </cols>
  <sheetData>
    <row r="1" spans="1:22" x14ac:dyDescent="0.2">
      <c r="A1" t="s">
        <v>30</v>
      </c>
      <c r="B1" s="5">
        <v>44396</v>
      </c>
    </row>
    <row r="2" spans="1:22" x14ac:dyDescent="0.2">
      <c r="A2" t="s">
        <v>38</v>
      </c>
    </row>
    <row r="3" spans="1:22" s="1" customFormat="1" ht="48" x14ac:dyDescent="0.2">
      <c r="A3" s="1" t="s">
        <v>0</v>
      </c>
      <c r="B3" s="1" t="s">
        <v>1</v>
      </c>
      <c r="C3" s="1" t="s">
        <v>37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J3" s="3" t="s">
        <v>19</v>
      </c>
      <c r="K3" s="3" t="s">
        <v>15</v>
      </c>
      <c r="L3" s="3" t="s">
        <v>20</v>
      </c>
      <c r="M3" s="3" t="s">
        <v>16</v>
      </c>
      <c r="N3" s="3" t="s">
        <v>22</v>
      </c>
      <c r="O3" s="1" t="s">
        <v>21</v>
      </c>
      <c r="P3" s="3" t="s">
        <v>25</v>
      </c>
      <c r="Q3" s="3" t="s">
        <v>24</v>
      </c>
      <c r="S3" s="3" t="s">
        <v>26</v>
      </c>
      <c r="T3" s="1" t="s">
        <v>27</v>
      </c>
      <c r="U3" s="3" t="s">
        <v>28</v>
      </c>
      <c r="V3" s="1" t="s">
        <v>29</v>
      </c>
    </row>
    <row r="4" spans="1:22" x14ac:dyDescent="0.2">
      <c r="A4" t="s">
        <v>2</v>
      </c>
      <c r="B4">
        <f>(1382.9/20)*3</f>
        <v>207.43500000000003</v>
      </c>
      <c r="C4">
        <f>334.9+1392.2+1679.8</f>
        <v>3406.8999999999996</v>
      </c>
      <c r="D4">
        <f>1037.3+885.7+234.7</f>
        <v>2157.6999999999998</v>
      </c>
      <c r="E4">
        <f>D4-B4</f>
        <v>1950.2649999999999</v>
      </c>
      <c r="F4" s="6">
        <f>107/15</f>
        <v>7.1333333333333337</v>
      </c>
      <c r="G4">
        <v>142.69999999999999</v>
      </c>
      <c r="H4" s="2">
        <f>G4-F4</f>
        <v>135.56666666666666</v>
      </c>
      <c r="I4" t="s">
        <v>17</v>
      </c>
      <c r="J4" s="2">
        <f>AVERAGE(E4:E7)</f>
        <v>1612.4012499999999</v>
      </c>
      <c r="K4" s="2">
        <f>STDEV(E4,E5,E6,E7)/SQRT(3)</f>
        <v>164.69195681930711</v>
      </c>
      <c r="L4" s="2">
        <f>AVERAGE(H4:H7)</f>
        <v>133.01666666666668</v>
      </c>
      <c r="M4" s="2">
        <f>STDEV(H4,H5,H6,H7)/SQRT(3)</f>
        <v>13.113309608519359</v>
      </c>
      <c r="N4" t="s">
        <v>23</v>
      </c>
      <c r="O4">
        <f>100/0.762</f>
        <v>131.23359580052494</v>
      </c>
      <c r="P4" s="2">
        <f>E4*20*131.2/1000</f>
        <v>5117.495359999999</v>
      </c>
      <c r="Q4" s="2">
        <f>H4*20*131.2/1000</f>
        <v>355.72693333333331</v>
      </c>
      <c r="R4" t="s">
        <v>17</v>
      </c>
      <c r="S4" s="4">
        <f>AVERAGE(P4:P7)</f>
        <v>4230.9408800000001</v>
      </c>
      <c r="T4" s="4">
        <f>STDEV(P4,P5,P6,P7)/SQRT(3)</f>
        <v>432.15169469385978</v>
      </c>
      <c r="U4" s="4">
        <f>AVERAGE(Q4:Q7)</f>
        <v>349.03573333333327</v>
      </c>
      <c r="V4" s="4">
        <f>STDEV(Q4,Q5,Q6,Q7)/SQRT(3)</f>
        <v>34.409324412755176</v>
      </c>
    </row>
    <row r="5" spans="1:22" x14ac:dyDescent="0.2">
      <c r="A5" t="s">
        <v>3</v>
      </c>
      <c r="B5">
        <f t="shared" ref="B5:B8" si="0">(1382.9/20)*3</f>
        <v>207.43500000000003</v>
      </c>
      <c r="C5">
        <f>753.4+1168.9+1141.8</f>
        <v>3064.1000000000004</v>
      </c>
      <c r="D5">
        <f>740.3+491.1+716.5</f>
        <v>1947.9</v>
      </c>
      <c r="E5">
        <f t="shared" ref="E5:E11" si="1">D5-B5</f>
        <v>1740.4650000000001</v>
      </c>
      <c r="F5" s="6">
        <f t="shared" ref="F5:F11" si="2">107/15</f>
        <v>7.1333333333333337</v>
      </c>
      <c r="G5">
        <v>168.9</v>
      </c>
      <c r="H5" s="2">
        <f t="shared" ref="H5:H11" si="3">G5-F5</f>
        <v>161.76666666666668</v>
      </c>
      <c r="P5" s="2">
        <f t="shared" ref="P5:P11" si="4">E5*20*131.2/1000</f>
        <v>4566.9801600000001</v>
      </c>
      <c r="Q5" s="2">
        <f t="shared" ref="Q5:Q11" si="5">H5*20*131.2/1000</f>
        <v>424.47573333333332</v>
      </c>
    </row>
    <row r="6" spans="1:22" x14ac:dyDescent="0.2">
      <c r="A6" t="s">
        <v>4</v>
      </c>
      <c r="B6">
        <f>(1382.9/20)*2</f>
        <v>138.29000000000002</v>
      </c>
      <c r="C6">
        <f>1247.2+1192.7</f>
        <v>2439.9</v>
      </c>
      <c r="D6">
        <f>759.6+808.2</f>
        <v>1567.8000000000002</v>
      </c>
      <c r="E6">
        <f t="shared" si="1"/>
        <v>1429.5100000000002</v>
      </c>
      <c r="F6" s="6">
        <f t="shared" si="2"/>
        <v>7.1333333333333337</v>
      </c>
      <c r="G6">
        <v>113.9</v>
      </c>
      <c r="H6" s="2">
        <f t="shared" si="3"/>
        <v>106.76666666666667</v>
      </c>
      <c r="P6" s="2">
        <f t="shared" si="4"/>
        <v>3751.0342400000004</v>
      </c>
      <c r="Q6" s="2">
        <f t="shared" si="5"/>
        <v>280.15573333333333</v>
      </c>
    </row>
    <row r="7" spans="1:22" x14ac:dyDescent="0.2">
      <c r="A7" t="s">
        <v>5</v>
      </c>
      <c r="B7">
        <f t="shared" si="0"/>
        <v>207.43500000000003</v>
      </c>
      <c r="C7">
        <f>1104.6+1392.4</f>
        <v>2497</v>
      </c>
      <c r="D7">
        <f>679.7+857.1</f>
        <v>1536.8000000000002</v>
      </c>
      <c r="E7">
        <f t="shared" si="1"/>
        <v>1329.3650000000002</v>
      </c>
      <c r="F7" s="6">
        <f t="shared" si="2"/>
        <v>7.1333333333333337</v>
      </c>
      <c r="G7">
        <v>135.1</v>
      </c>
      <c r="H7" s="2">
        <f t="shared" si="3"/>
        <v>127.96666666666665</v>
      </c>
      <c r="P7" s="2">
        <f t="shared" si="4"/>
        <v>3488.2537600000001</v>
      </c>
      <c r="Q7" s="2">
        <f t="shared" si="5"/>
        <v>335.78453333333329</v>
      </c>
    </row>
    <row r="8" spans="1:22" x14ac:dyDescent="0.2">
      <c r="A8" t="s">
        <v>6</v>
      </c>
      <c r="B8">
        <f t="shared" si="0"/>
        <v>207.43500000000003</v>
      </c>
      <c r="C8">
        <f>957.6+500.7+751.9</f>
        <v>2210.1999999999998</v>
      </c>
      <c r="D8">
        <f>443.9+598.7+317.3</f>
        <v>1359.8999999999999</v>
      </c>
      <c r="E8">
        <f t="shared" si="1"/>
        <v>1152.4649999999999</v>
      </c>
      <c r="F8" s="6">
        <f t="shared" si="2"/>
        <v>7.1333333333333337</v>
      </c>
      <c r="G8" s="7">
        <v>55.3</v>
      </c>
      <c r="H8" s="2">
        <f t="shared" si="3"/>
        <v>48.166666666666664</v>
      </c>
      <c r="I8" t="s">
        <v>18</v>
      </c>
      <c r="J8" s="2">
        <f>AVERAGE(E8:E11)</f>
        <v>1248.4737500000001</v>
      </c>
      <c r="K8" s="2">
        <f>STDEV(E8,E9,E10,E11)/SQRT(3)</f>
        <v>177.98816651325393</v>
      </c>
      <c r="L8" s="2">
        <f>AVERAGE(H8:H11)</f>
        <v>96.466666666666669</v>
      </c>
      <c r="M8" s="2">
        <f>STDEV(H8,H9,H10,H11)/SQRT(3)</f>
        <v>23.78435526886436</v>
      </c>
      <c r="P8" s="2">
        <f t="shared" si="4"/>
        <v>3024.0681599999998</v>
      </c>
      <c r="Q8" s="2">
        <f t="shared" si="5"/>
        <v>126.38933333333331</v>
      </c>
      <c r="R8" t="s">
        <v>18</v>
      </c>
      <c r="S8" s="4">
        <f>AVERAGE(P8:P11)</f>
        <v>3275.9951199999996</v>
      </c>
      <c r="T8" s="4">
        <f>STDEV(P8,P9,P10,P11)/SQRT(3)</f>
        <v>467.04094893077979</v>
      </c>
      <c r="U8" s="4">
        <f>AVERAGE(Q8:Q11)</f>
        <v>253.12853333333334</v>
      </c>
      <c r="V8" s="4">
        <f>STDEV(Q8,Q9,Q10,Q11)/SQRT(3)</f>
        <v>62.410148225500087</v>
      </c>
    </row>
    <row r="9" spans="1:22" x14ac:dyDescent="0.2">
      <c r="A9" t="s">
        <v>7</v>
      </c>
      <c r="B9">
        <f>(1382.9/20)*2</f>
        <v>138.29000000000002</v>
      </c>
      <c r="C9">
        <f>1129.4+593.2</f>
        <v>1722.6000000000001</v>
      </c>
      <c r="D9">
        <f>372.9+620.2</f>
        <v>993.1</v>
      </c>
      <c r="E9">
        <f t="shared" si="1"/>
        <v>854.81</v>
      </c>
      <c r="F9" s="6">
        <f t="shared" si="2"/>
        <v>7.1333333333333337</v>
      </c>
      <c r="G9">
        <v>88.9</v>
      </c>
      <c r="H9" s="2">
        <f t="shared" si="3"/>
        <v>81.766666666666666</v>
      </c>
      <c r="P9" s="2">
        <f t="shared" si="4"/>
        <v>2243.0214399999995</v>
      </c>
      <c r="Q9" s="2">
        <f t="shared" si="5"/>
        <v>214.55573333333331</v>
      </c>
    </row>
    <row r="10" spans="1:22" x14ac:dyDescent="0.2">
      <c r="A10" t="s">
        <v>9</v>
      </c>
      <c r="B10">
        <f>(1382.9/20)*2</f>
        <v>138.29000000000002</v>
      </c>
      <c r="C10">
        <f>1135.5+1501.3</f>
        <v>2636.8</v>
      </c>
      <c r="D10">
        <f>863.5+745.3</f>
        <v>1608.8</v>
      </c>
      <c r="E10">
        <f t="shared" si="1"/>
        <v>1470.51</v>
      </c>
      <c r="F10" s="6">
        <f t="shared" si="2"/>
        <v>7.1333333333333337</v>
      </c>
      <c r="G10">
        <v>151.80000000000001</v>
      </c>
      <c r="H10" s="2">
        <f t="shared" si="3"/>
        <v>144.66666666666669</v>
      </c>
      <c r="P10" s="2">
        <f t="shared" si="4"/>
        <v>3858.6182399999998</v>
      </c>
      <c r="Q10" s="2">
        <f t="shared" si="5"/>
        <v>379.60533333333336</v>
      </c>
    </row>
    <row r="11" spans="1:22" x14ac:dyDescent="0.2">
      <c r="A11" t="s">
        <v>8</v>
      </c>
      <c r="B11">
        <f>(1382.9/20)*2</f>
        <v>138.29000000000002</v>
      </c>
      <c r="C11">
        <f>1412.3+1323.5</f>
        <v>2735.8</v>
      </c>
      <c r="D11">
        <f>798+856.4</f>
        <v>1654.4</v>
      </c>
      <c r="E11">
        <f t="shared" si="1"/>
        <v>1516.1100000000001</v>
      </c>
      <c r="F11" s="6">
        <f t="shared" si="2"/>
        <v>7.1333333333333337</v>
      </c>
      <c r="G11">
        <v>118.4</v>
      </c>
      <c r="H11" s="2">
        <f t="shared" si="3"/>
        <v>111.26666666666667</v>
      </c>
      <c r="P11" s="2">
        <f t="shared" si="4"/>
        <v>3978.2726400000001</v>
      </c>
      <c r="Q11" s="2">
        <f t="shared" si="5"/>
        <v>291.96373333333332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06BC-A6D8-D84B-B029-379B527537F3}">
  <dimension ref="A1:E17"/>
  <sheetViews>
    <sheetView zoomScale="140" zoomScaleNormal="140" workbookViewId="0">
      <selection activeCell="C5" sqref="C5"/>
    </sheetView>
  </sheetViews>
  <sheetFormatPr baseColWidth="10" defaultRowHeight="15" x14ac:dyDescent="0.2"/>
  <sheetData>
    <row r="1" spans="1:5" ht="16" x14ac:dyDescent="0.2">
      <c r="A1" t="s">
        <v>51</v>
      </c>
      <c r="B1" t="s">
        <v>52</v>
      </c>
      <c r="C1" t="s">
        <v>53</v>
      </c>
      <c r="D1" s="15" t="s">
        <v>40</v>
      </c>
      <c r="E1" s="15" t="s">
        <v>41</v>
      </c>
    </row>
    <row r="2" spans="1:5" x14ac:dyDescent="0.2">
      <c r="A2" t="s">
        <v>44</v>
      </c>
      <c r="B2">
        <v>2020</v>
      </c>
      <c r="C2" t="s">
        <v>42</v>
      </c>
      <c r="D2">
        <v>2709.2799999999997</v>
      </c>
      <c r="E2">
        <v>239.15135999999998</v>
      </c>
    </row>
    <row r="3" spans="1:5" x14ac:dyDescent="0.2">
      <c r="A3" t="s">
        <v>44</v>
      </c>
      <c r="B3">
        <v>2020</v>
      </c>
      <c r="C3" t="s">
        <v>42</v>
      </c>
      <c r="D3">
        <v>1984.5311999999997</v>
      </c>
      <c r="E3">
        <v>219.10399999999998</v>
      </c>
    </row>
    <row r="4" spans="1:5" x14ac:dyDescent="0.2">
      <c r="A4" t="s">
        <v>44</v>
      </c>
      <c r="B4">
        <v>2020</v>
      </c>
      <c r="C4" t="s">
        <v>42</v>
      </c>
      <c r="D4">
        <v>4484.6783999999998</v>
      </c>
      <c r="E4">
        <v>433.40607999999992</v>
      </c>
    </row>
    <row r="5" spans="1:5" x14ac:dyDescent="0.2">
      <c r="A5" t="s">
        <v>44</v>
      </c>
      <c r="B5">
        <v>2020</v>
      </c>
      <c r="C5" t="s">
        <v>42</v>
      </c>
      <c r="D5">
        <v>2379.9679999999994</v>
      </c>
      <c r="E5">
        <v>319.55071999999996</v>
      </c>
    </row>
    <row r="6" spans="1:5" x14ac:dyDescent="0.2">
      <c r="A6" t="s">
        <v>44</v>
      </c>
      <c r="B6">
        <v>2020</v>
      </c>
      <c r="C6" t="s">
        <v>43</v>
      </c>
      <c r="D6">
        <v>2680.1535999999996</v>
      </c>
      <c r="E6">
        <v>200.23743999999999</v>
      </c>
    </row>
    <row r="7" spans="1:5" x14ac:dyDescent="0.2">
      <c r="A7" t="s">
        <v>44</v>
      </c>
      <c r="B7">
        <v>2020</v>
      </c>
      <c r="C7" t="s">
        <v>43</v>
      </c>
      <c r="D7">
        <v>940.70399999999984</v>
      </c>
      <c r="E7">
        <v>112.85823999999998</v>
      </c>
    </row>
    <row r="8" spans="1:5" x14ac:dyDescent="0.2">
      <c r="A8" t="s">
        <v>44</v>
      </c>
      <c r="B8">
        <v>2020</v>
      </c>
      <c r="C8" t="s">
        <v>43</v>
      </c>
      <c r="D8">
        <v>2882.9887999999996</v>
      </c>
      <c r="E8">
        <v>293.67807999999997</v>
      </c>
    </row>
    <row r="9" spans="1:5" x14ac:dyDescent="0.2">
      <c r="A9" t="s">
        <v>44</v>
      </c>
      <c r="B9">
        <v>2020</v>
      </c>
      <c r="C9" t="s">
        <v>43</v>
      </c>
      <c r="D9">
        <v>3676.2239999999997</v>
      </c>
      <c r="E9">
        <v>364.63103999999998</v>
      </c>
    </row>
    <row r="10" spans="1:5" x14ac:dyDescent="0.2">
      <c r="A10" t="s">
        <v>44</v>
      </c>
      <c r="B10">
        <v>2021</v>
      </c>
      <c r="C10" t="s">
        <v>42</v>
      </c>
      <c r="D10">
        <v>5117.495359999999</v>
      </c>
      <c r="E10">
        <v>355.72693333333331</v>
      </c>
    </row>
    <row r="11" spans="1:5" x14ac:dyDescent="0.2">
      <c r="A11" t="s">
        <v>44</v>
      </c>
      <c r="B11">
        <v>2021</v>
      </c>
      <c r="C11" t="s">
        <v>42</v>
      </c>
      <c r="D11">
        <v>4566.9801600000001</v>
      </c>
      <c r="E11">
        <v>424.47573333333332</v>
      </c>
    </row>
    <row r="12" spans="1:5" x14ac:dyDescent="0.2">
      <c r="A12" t="s">
        <v>44</v>
      </c>
      <c r="B12">
        <v>2021</v>
      </c>
      <c r="C12" t="s">
        <v>42</v>
      </c>
      <c r="D12">
        <v>3751.0342400000004</v>
      </c>
      <c r="E12">
        <v>280.15573333333333</v>
      </c>
    </row>
    <row r="13" spans="1:5" x14ac:dyDescent="0.2">
      <c r="A13" t="s">
        <v>44</v>
      </c>
      <c r="B13">
        <v>2021</v>
      </c>
      <c r="C13" t="s">
        <v>42</v>
      </c>
      <c r="D13">
        <v>3488.2537600000001</v>
      </c>
      <c r="E13">
        <v>335.78453333333329</v>
      </c>
    </row>
    <row r="14" spans="1:5" x14ac:dyDescent="0.2">
      <c r="A14" t="s">
        <v>44</v>
      </c>
      <c r="B14">
        <v>2021</v>
      </c>
      <c r="C14" t="s">
        <v>43</v>
      </c>
      <c r="D14">
        <v>3024.0681599999998</v>
      </c>
      <c r="E14">
        <v>126.38933333333331</v>
      </c>
    </row>
    <row r="15" spans="1:5" x14ac:dyDescent="0.2">
      <c r="A15" t="s">
        <v>44</v>
      </c>
      <c r="B15">
        <v>2021</v>
      </c>
      <c r="C15" t="s">
        <v>43</v>
      </c>
      <c r="D15">
        <v>2243.0214399999995</v>
      </c>
      <c r="E15">
        <v>214.55573333333331</v>
      </c>
    </row>
    <row r="16" spans="1:5" x14ac:dyDescent="0.2">
      <c r="A16" t="s">
        <v>44</v>
      </c>
      <c r="B16">
        <v>2021</v>
      </c>
      <c r="C16" t="s">
        <v>43</v>
      </c>
      <c r="D16">
        <v>3858.6182399999998</v>
      </c>
      <c r="E16">
        <v>379.60533333333336</v>
      </c>
    </row>
    <row r="17" spans="1:5" x14ac:dyDescent="0.2">
      <c r="A17" t="s">
        <v>44</v>
      </c>
      <c r="B17">
        <v>2021</v>
      </c>
      <c r="C17" t="s">
        <v>43</v>
      </c>
      <c r="D17">
        <v>3978.2726400000001</v>
      </c>
      <c r="E17">
        <v>291.96373333333332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9B3E3-43D3-CC4E-92E9-BEE482F1A3DE}">
  <dimension ref="A1:H16"/>
  <sheetViews>
    <sheetView tabSelected="1" zoomScale="160" zoomScaleNormal="160" workbookViewId="0">
      <selection activeCell="B5" sqref="B5"/>
    </sheetView>
  </sheetViews>
  <sheetFormatPr baseColWidth="10" defaultRowHeight="15" x14ac:dyDescent="0.2"/>
  <cols>
    <col min="5" max="6" width="10.83203125" style="14"/>
  </cols>
  <sheetData>
    <row r="1" spans="1:8" ht="16" x14ac:dyDescent="0.2">
      <c r="A1" t="s">
        <v>51</v>
      </c>
      <c r="B1" t="s">
        <v>52</v>
      </c>
      <c r="C1" t="s">
        <v>53</v>
      </c>
      <c r="D1" s="11" t="s">
        <v>54</v>
      </c>
      <c r="E1" s="11" t="s">
        <v>55</v>
      </c>
      <c r="F1" s="9" t="s">
        <v>56</v>
      </c>
      <c r="G1" s="8"/>
      <c r="H1" s="8"/>
    </row>
    <row r="2" spans="1:8" x14ac:dyDescent="0.2">
      <c r="A2" t="s">
        <v>45</v>
      </c>
      <c r="B2">
        <v>2021</v>
      </c>
      <c r="C2" t="s">
        <v>42</v>
      </c>
      <c r="D2" s="9" t="s">
        <v>41</v>
      </c>
      <c r="E2" s="10">
        <v>201.5</v>
      </c>
      <c r="F2" s="12">
        <v>122.1</v>
      </c>
      <c r="G2" s="8"/>
      <c r="H2" s="8"/>
    </row>
    <row r="3" spans="1:8" x14ac:dyDescent="0.2">
      <c r="A3" t="s">
        <v>45</v>
      </c>
      <c r="B3">
        <v>2021</v>
      </c>
      <c r="C3" t="s">
        <v>48</v>
      </c>
      <c r="D3" s="9" t="s">
        <v>41</v>
      </c>
      <c r="E3" s="13">
        <v>240.1</v>
      </c>
      <c r="F3" s="12">
        <v>149.19999999999999</v>
      </c>
      <c r="G3" s="8"/>
      <c r="H3" s="8"/>
    </row>
    <row r="4" spans="1:8" x14ac:dyDescent="0.2">
      <c r="A4" t="s">
        <v>45</v>
      </c>
      <c r="B4">
        <v>2021</v>
      </c>
      <c r="C4" t="s">
        <v>49</v>
      </c>
      <c r="D4" s="9" t="s">
        <v>41</v>
      </c>
      <c r="E4" s="13">
        <v>289.89999999999998</v>
      </c>
      <c r="F4" s="12">
        <v>66.7</v>
      </c>
      <c r="G4" s="8"/>
      <c r="H4" s="8"/>
    </row>
    <row r="5" spans="1:8" x14ac:dyDescent="0.2">
      <c r="A5" t="s">
        <v>45</v>
      </c>
      <c r="B5">
        <v>2021</v>
      </c>
      <c r="C5" t="s">
        <v>42</v>
      </c>
      <c r="D5" s="9" t="s">
        <v>40</v>
      </c>
      <c r="E5" s="13">
        <v>3308.1</v>
      </c>
      <c r="F5" s="12">
        <v>1082.0999999999999</v>
      </c>
    </row>
    <row r="6" spans="1:8" x14ac:dyDescent="0.2">
      <c r="A6" t="s">
        <v>45</v>
      </c>
      <c r="B6">
        <v>2021</v>
      </c>
      <c r="C6" t="s">
        <v>48</v>
      </c>
      <c r="D6" s="9" t="s">
        <v>40</v>
      </c>
      <c r="E6" s="13">
        <v>3932.5</v>
      </c>
      <c r="F6" s="12">
        <v>1314.7</v>
      </c>
    </row>
    <row r="7" spans="1:8" x14ac:dyDescent="0.2">
      <c r="A7" t="s">
        <v>45</v>
      </c>
      <c r="B7">
        <v>2021</v>
      </c>
      <c r="C7" t="s">
        <v>49</v>
      </c>
      <c r="D7" s="9" t="s">
        <v>40</v>
      </c>
      <c r="E7" s="13">
        <v>3627.7</v>
      </c>
      <c r="F7" s="12">
        <v>594.20000000000005</v>
      </c>
    </row>
    <row r="8" spans="1:8" x14ac:dyDescent="0.2">
      <c r="A8" t="s">
        <v>45</v>
      </c>
      <c r="B8">
        <v>2021</v>
      </c>
      <c r="C8" t="s">
        <v>42</v>
      </c>
      <c r="D8" t="s">
        <v>46</v>
      </c>
      <c r="E8" s="13">
        <v>3397.3</v>
      </c>
      <c r="F8" s="12">
        <v>1799.8</v>
      </c>
    </row>
    <row r="9" spans="1:8" x14ac:dyDescent="0.2">
      <c r="A9" t="s">
        <v>45</v>
      </c>
      <c r="B9">
        <v>2021</v>
      </c>
      <c r="C9" t="s">
        <v>48</v>
      </c>
      <c r="D9" t="s">
        <v>46</v>
      </c>
      <c r="E9" s="13">
        <v>2245</v>
      </c>
      <c r="F9" s="12">
        <v>766.8</v>
      </c>
    </row>
    <row r="10" spans="1:8" x14ac:dyDescent="0.2">
      <c r="A10" t="s">
        <v>45</v>
      </c>
      <c r="B10">
        <v>2021</v>
      </c>
      <c r="C10" t="s">
        <v>49</v>
      </c>
      <c r="D10" t="s">
        <v>46</v>
      </c>
      <c r="E10" s="13">
        <v>0</v>
      </c>
      <c r="F10" s="12">
        <v>0</v>
      </c>
    </row>
    <row r="11" spans="1:8" x14ac:dyDescent="0.2">
      <c r="A11" t="s">
        <v>45</v>
      </c>
      <c r="B11">
        <v>2021</v>
      </c>
      <c r="C11" t="s">
        <v>42</v>
      </c>
      <c r="D11" t="s">
        <v>50</v>
      </c>
      <c r="E11" s="13">
        <v>74.3</v>
      </c>
      <c r="F11" s="12">
        <v>61.9</v>
      </c>
    </row>
    <row r="12" spans="1:8" x14ac:dyDescent="0.2">
      <c r="A12" t="s">
        <v>45</v>
      </c>
      <c r="B12">
        <v>2021</v>
      </c>
      <c r="C12" t="s">
        <v>48</v>
      </c>
      <c r="D12" t="s">
        <v>50</v>
      </c>
      <c r="E12" s="13">
        <v>245.3</v>
      </c>
      <c r="F12" s="12">
        <v>355.5</v>
      </c>
    </row>
    <row r="13" spans="1:8" x14ac:dyDescent="0.2">
      <c r="A13" t="s">
        <v>45</v>
      </c>
      <c r="B13">
        <v>2021</v>
      </c>
      <c r="C13" t="s">
        <v>49</v>
      </c>
      <c r="D13" t="s">
        <v>50</v>
      </c>
      <c r="E13" s="13">
        <v>609.6</v>
      </c>
      <c r="F13" s="12">
        <v>101.6</v>
      </c>
    </row>
    <row r="14" spans="1:8" x14ac:dyDescent="0.2">
      <c r="A14" t="s">
        <v>45</v>
      </c>
      <c r="B14">
        <v>2021</v>
      </c>
      <c r="C14" t="s">
        <v>42</v>
      </c>
      <c r="D14" t="s">
        <v>47</v>
      </c>
      <c r="E14" s="13">
        <v>364.3</v>
      </c>
      <c r="F14" s="12">
        <v>302.60000000000002</v>
      </c>
    </row>
    <row r="15" spans="1:8" x14ac:dyDescent="0.2">
      <c r="A15" t="s">
        <v>45</v>
      </c>
      <c r="B15">
        <v>2021</v>
      </c>
      <c r="C15" t="s">
        <v>48</v>
      </c>
      <c r="D15" t="s">
        <v>47</v>
      </c>
      <c r="E15" s="13">
        <v>446</v>
      </c>
      <c r="F15" s="12">
        <v>565.79999999999995</v>
      </c>
    </row>
    <row r="16" spans="1:8" x14ac:dyDescent="0.2">
      <c r="A16" t="s">
        <v>45</v>
      </c>
      <c r="B16">
        <v>2021</v>
      </c>
      <c r="C16" t="s">
        <v>49</v>
      </c>
      <c r="D16" t="s">
        <v>47</v>
      </c>
      <c r="E16" s="13">
        <v>89.2</v>
      </c>
      <c r="F16" s="12">
        <v>80.5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F6FC720FE38A478BF5B8D557AF5B62" ma:contentTypeVersion="9" ma:contentTypeDescription="Create a new document." ma:contentTypeScope="" ma:versionID="4eae9acae883dafdf34bf3c4fee5f935">
  <xsd:schema xmlns:xsd="http://www.w3.org/2001/XMLSchema" xmlns:xs="http://www.w3.org/2001/XMLSchema" xmlns:p="http://schemas.microsoft.com/office/2006/metadata/properties" xmlns:ns3="96ed163a-8766-405b-b0d0-951d044cf7ad" targetNamespace="http://schemas.microsoft.com/office/2006/metadata/properties" ma:root="true" ma:fieldsID="bafa750c9eae3b735e4a203b6cb4559e" ns3:_="">
    <xsd:import namespace="96ed163a-8766-405b-b0d0-951d044cf7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ed163a-8766-405b-b0d0-951d044cf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5B1FAB-65AB-4419-8E06-828AAAD48B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ed163a-8766-405b-b0d0-951d044cf7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09767C-3B67-4044-9C53-04788C809BC6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96ed163a-8766-405b-b0d0-951d044cf7a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BBA3EAB-4513-41C8-928F-230DAC2C88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 Wagner Kernza</vt:lpstr>
      <vt:lpstr>2021 Wagner Legumes</vt:lpstr>
      <vt:lpstr>2021 Wagner Kernza</vt:lpstr>
      <vt:lpstr>TLI_OFL</vt:lpstr>
      <vt:lpstr>WI_OFL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Bowden</dc:creator>
  <cp:lastModifiedBy>Microsoft Office User</cp:lastModifiedBy>
  <dcterms:created xsi:type="dcterms:W3CDTF">2020-07-23T12:05:06Z</dcterms:created>
  <dcterms:modified xsi:type="dcterms:W3CDTF">2023-02-22T17:27:20Z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0x010100D0F6FC720FE38A478BF5B8D557AF5B62</vt:lpwstr>
  </property>
</Properties>
</file>