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rivació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X8" i="1"/>
  <c r="AA3" i="1"/>
  <c r="AA4" i="1"/>
  <c r="AA5" i="1"/>
  <c r="AA6" i="1"/>
  <c r="AA2" i="1"/>
  <c r="Y5" i="1"/>
  <c r="Y6" i="1"/>
  <c r="Y4" i="1"/>
  <c r="Y3" i="1"/>
  <c r="Y2" i="1"/>
  <c r="W8" i="1"/>
  <c r="C8" i="1"/>
  <c r="V8" i="1"/>
  <c r="U8" i="1"/>
  <c r="T8" i="1"/>
  <c r="S8" i="1"/>
  <c r="R8" i="1"/>
  <c r="I8" i="1"/>
  <c r="Q8" i="1"/>
  <c r="P8" i="1"/>
  <c r="O8" i="1"/>
  <c r="N8" i="1"/>
  <c r="M8" i="1"/>
  <c r="L8" i="1"/>
  <c r="K8" i="1"/>
  <c r="J8" i="1"/>
  <c r="H8" i="1"/>
  <c r="G8" i="1"/>
  <c r="B8" i="1"/>
  <c r="U6" i="1" l="1"/>
  <c r="Q6" i="1"/>
  <c r="N6" i="1"/>
  <c r="K6" i="1"/>
  <c r="H6" i="1"/>
  <c r="U5" i="1"/>
  <c r="Q5" i="1"/>
  <c r="N5" i="1"/>
  <c r="K5" i="1"/>
  <c r="H5" i="1"/>
  <c r="U4" i="1"/>
  <c r="Q4" i="1"/>
  <c r="N4" i="1"/>
  <c r="K4" i="1"/>
  <c r="H4" i="1"/>
  <c r="U3" i="1"/>
  <c r="Q3" i="1"/>
  <c r="N3" i="1"/>
  <c r="K3" i="1"/>
  <c r="H3" i="1"/>
  <c r="U2" i="1"/>
  <c r="Q2" i="1"/>
  <c r="N2" i="1"/>
  <c r="K2" i="1"/>
  <c r="H2" i="1"/>
  <c r="S6" i="1" l="1"/>
  <c r="R6" i="1"/>
  <c r="O6" i="1"/>
  <c r="L6" i="1"/>
  <c r="I6" i="1"/>
  <c r="F6" i="1"/>
  <c r="V6" i="1"/>
  <c r="W6" i="1" s="1"/>
  <c r="C6" i="1"/>
  <c r="M6" i="1" s="1"/>
  <c r="B6" i="1"/>
  <c r="V5" i="1"/>
  <c r="Z5" i="1" s="1"/>
  <c r="S5" i="1"/>
  <c r="R5" i="1"/>
  <c r="O5" i="1"/>
  <c r="L5" i="1"/>
  <c r="I5" i="1"/>
  <c r="C5" i="1"/>
  <c r="M5" i="1" s="1"/>
  <c r="B5" i="1"/>
  <c r="V4" i="1"/>
  <c r="Z4" i="1" s="1"/>
  <c r="S4" i="1"/>
  <c r="R4" i="1"/>
  <c r="O4" i="1"/>
  <c r="L4" i="1"/>
  <c r="I4" i="1"/>
  <c r="C4" i="1"/>
  <c r="J4" i="1" s="1"/>
  <c r="B4" i="1"/>
  <c r="P6" i="1" l="1"/>
  <c r="T5" i="1"/>
  <c r="P5" i="1"/>
  <c r="T6" i="1"/>
  <c r="P4" i="1"/>
  <c r="T4" i="1"/>
  <c r="W4" i="1"/>
  <c r="Z6" i="1"/>
  <c r="M4" i="1"/>
  <c r="W5" i="1"/>
  <c r="G5" i="1"/>
  <c r="G6" i="1"/>
  <c r="J6" i="1"/>
  <c r="J5" i="1"/>
  <c r="V3" i="1"/>
  <c r="W3" i="1" s="1"/>
  <c r="V2" i="1"/>
  <c r="Z2" i="1" s="1"/>
  <c r="S3" i="1"/>
  <c r="R3" i="1"/>
  <c r="O3" i="1"/>
  <c r="L3" i="1"/>
  <c r="I3" i="1"/>
  <c r="C3" i="1"/>
  <c r="B3" i="1"/>
  <c r="S2" i="1"/>
  <c r="R2" i="1"/>
  <c r="O2" i="1"/>
  <c r="L2" i="1"/>
  <c r="I2" i="1"/>
  <c r="C2" i="1"/>
  <c r="B2" i="1"/>
  <c r="Z3" i="1" l="1"/>
  <c r="P2" i="1"/>
  <c r="W2" i="1"/>
  <c r="J2" i="1"/>
  <c r="J3" i="1"/>
  <c r="G2" i="1"/>
  <c r="G4" i="1"/>
  <c r="P3" i="1"/>
  <c r="M3" i="1"/>
  <c r="G3" i="1"/>
  <c r="T3" i="1"/>
  <c r="M2" i="1"/>
  <c r="T2" i="1"/>
</calcChain>
</file>

<file path=xl/sharedStrings.xml><?xml version="1.0" encoding="utf-8"?>
<sst xmlns="http://schemas.openxmlformats.org/spreadsheetml/2006/main" count="31" uniqueCount="27">
  <si>
    <t>Básico</t>
  </si>
  <si>
    <t>h</t>
  </si>
  <si>
    <t>f(x)</t>
  </si>
  <si>
    <t>f(x+h)</t>
  </si>
  <si>
    <t>A</t>
  </si>
  <si>
    <t>Exacto</t>
  </si>
  <si>
    <t>f(x+2h)</t>
  </si>
  <si>
    <t xml:space="preserve">3P (b) </t>
  </si>
  <si>
    <t>3P (a)</t>
  </si>
  <si>
    <t>f(x-h)</t>
  </si>
  <si>
    <t>5P (a)</t>
  </si>
  <si>
    <t>f(x-2h)</t>
  </si>
  <si>
    <t>5P (b)</t>
  </si>
  <si>
    <t>f(x+3h)</t>
  </si>
  <si>
    <t>f(x+4h)</t>
  </si>
  <si>
    <t>B</t>
  </si>
  <si>
    <t>Richardson (Básico)</t>
  </si>
  <si>
    <t>Richardson (3P: b)</t>
  </si>
  <si>
    <t>h/2</t>
  </si>
  <si>
    <t>f(x+h/2)</t>
  </si>
  <si>
    <t>f(x-h/2)</t>
  </si>
  <si>
    <t>C</t>
  </si>
  <si>
    <t>D</t>
  </si>
  <si>
    <t>E</t>
  </si>
  <si>
    <t>Cota</t>
  </si>
  <si>
    <t>P</t>
  </si>
  <si>
    <t>f(x+2h/2)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</si>
</sst>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6" fontId="0" fillId="5" borderId="0" xfId="0" applyNumberFormat="1" applyFill="1"/>
    <xf numFmtId="167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166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/>
    <xf numFmtId="168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0</xdr:rowOff>
    </xdr:from>
    <xdr:ext cx="1710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866900" y="0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866900" y="0"/>
              <a:ext cx="171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𝑥_0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1" max="1" width="4.42578125" style="1" customWidth="1"/>
    <col min="2" max="2" width="11.85546875" style="1" bestFit="1" customWidth="1"/>
    <col min="3" max="3" width="7.5703125" style="1" bestFit="1" customWidth="1"/>
    <col min="4" max="5" width="6.42578125" style="1" customWidth="1"/>
    <col min="6" max="6" width="7.42578125" style="1" customWidth="1"/>
    <col min="7" max="7" width="9.5703125" style="1" bestFit="1" customWidth="1"/>
    <col min="8" max="8" width="7" style="1" customWidth="1"/>
    <col min="9" max="9" width="7.5703125" style="1" bestFit="1" customWidth="1"/>
    <col min="10" max="10" width="10" bestFit="1" customWidth="1"/>
    <col min="11" max="11" width="8.28515625" style="1" bestFit="1" customWidth="1"/>
    <col min="12" max="12" width="7.5703125" style="12" bestFit="1" customWidth="1"/>
    <col min="13" max="13" width="9.5703125" bestFit="1" customWidth="1"/>
    <col min="14" max="14" width="8.28515625" style="1" bestFit="1" customWidth="1"/>
    <col min="15" max="15" width="7.5703125" style="12" bestFit="1" customWidth="1"/>
    <col min="16" max="16" width="8.5703125" style="12" bestFit="1" customWidth="1"/>
    <col min="17" max="17" width="12" style="1" bestFit="1" customWidth="1"/>
    <col min="18" max="18" width="7.5703125" style="1" bestFit="1" customWidth="1"/>
    <col min="19" max="19" width="7.28515625" style="12" bestFit="1" customWidth="1"/>
    <col min="20" max="20" width="8.5703125" style="12" bestFit="1" customWidth="1"/>
    <col min="21" max="21" width="8.5703125" style="1" bestFit="1" customWidth="1"/>
    <col min="22" max="22" width="6.5703125" style="1" customWidth="1"/>
    <col min="23" max="23" width="8.140625" style="1" bestFit="1" customWidth="1"/>
    <col min="24" max="24" width="8.140625" style="1" customWidth="1"/>
    <col min="25" max="25" width="18.28515625" style="1" bestFit="1" customWidth="1"/>
    <col min="26" max="26" width="7.85546875" style="1" bestFit="1" customWidth="1"/>
    <col min="27" max="27" width="17" style="1" bestFit="1" customWidth="1"/>
  </cols>
  <sheetData>
    <row r="1" spans="1:27" s="3" customFormat="1" ht="18" customHeight="1" x14ac:dyDescent="0.25">
      <c r="B1" s="4" t="s">
        <v>2</v>
      </c>
      <c r="C1" s="4" t="s">
        <v>3</v>
      </c>
      <c r="E1" s="3" t="s">
        <v>1</v>
      </c>
      <c r="F1" s="5" t="s">
        <v>5</v>
      </c>
      <c r="G1" s="5" t="s">
        <v>0</v>
      </c>
      <c r="H1" s="6" t="s">
        <v>24</v>
      </c>
      <c r="I1" s="4" t="s">
        <v>6</v>
      </c>
      <c r="J1" s="5" t="s">
        <v>8</v>
      </c>
      <c r="K1" s="6" t="s">
        <v>24</v>
      </c>
      <c r="L1" s="4" t="s">
        <v>9</v>
      </c>
      <c r="M1" s="5" t="s">
        <v>7</v>
      </c>
      <c r="N1" s="6" t="s">
        <v>24</v>
      </c>
      <c r="O1" s="4" t="s">
        <v>11</v>
      </c>
      <c r="P1" s="5" t="s">
        <v>10</v>
      </c>
      <c r="Q1" s="6" t="s">
        <v>24</v>
      </c>
      <c r="R1" s="4" t="s">
        <v>13</v>
      </c>
      <c r="S1" s="4" t="s">
        <v>14</v>
      </c>
      <c r="T1" s="5" t="s">
        <v>12</v>
      </c>
      <c r="U1" s="6" t="s">
        <v>24</v>
      </c>
      <c r="V1" s="4" t="s">
        <v>18</v>
      </c>
      <c r="W1" s="4" t="s">
        <v>19</v>
      </c>
      <c r="X1" s="4" t="s">
        <v>26</v>
      </c>
      <c r="Y1" s="5" t="s">
        <v>16</v>
      </c>
      <c r="Z1" s="4" t="s">
        <v>20</v>
      </c>
      <c r="AA1" s="5" t="s">
        <v>17</v>
      </c>
    </row>
    <row r="2" spans="1:27" x14ac:dyDescent="0.25">
      <c r="A2" s="1" t="s">
        <v>4</v>
      </c>
      <c r="B2" s="8">
        <f>D2+SIN(D2)</f>
        <v>3.2431975046920716</v>
      </c>
      <c r="C2" s="8">
        <f>(D2+E2)+SIN(D2+E2)</f>
        <v>3.2817228889355894</v>
      </c>
      <c r="D2" s="1">
        <v>4</v>
      </c>
      <c r="E2" s="1">
        <v>0.1</v>
      </c>
      <c r="F2" s="13">
        <v>0.34634999999999999</v>
      </c>
      <c r="G2" s="14">
        <f>(C2-B2)/(E2)</f>
        <v>0.38525384243517813</v>
      </c>
      <c r="H2" s="8">
        <f>ABS((-SIN($D$2+$E$2)*$E$2)/2)</f>
        <v>4.0913855553220517E-2</v>
      </c>
      <c r="I2" s="8">
        <f>D2+2*E2+SIN(D2+2*E2)</f>
        <v>3.328424227586412</v>
      </c>
      <c r="J2" s="17">
        <f>(4*C2-I2-3*B2)/(2*E2)</f>
        <v>0.3443740703986542</v>
      </c>
      <c r="K2" s="8">
        <f>ABS((($E$2^2)/3)*(-COS($D$2)))</f>
        <v>2.1788120695453734E-3</v>
      </c>
      <c r="L2" s="11">
        <f>(D2-E2)+SIN(D2-E2)</f>
        <v>3.212233840816026</v>
      </c>
      <c r="M2" s="17">
        <f>(C2-L2)/(2*E2)</f>
        <v>0.34744524059781678</v>
      </c>
      <c r="N2" s="8">
        <f>ABS((($E$2^2)/6)*(-COS($D$2-$E$2)))</f>
        <v>1.2098871736669005E-3</v>
      </c>
      <c r="O2" s="11">
        <f>D2-2*E2+SIN(D2-2*E2)</f>
        <v>3.188142109057281</v>
      </c>
      <c r="P2" s="21">
        <f>(O2-8*L2+8*C2-I2)/(12*E2)</f>
        <v>0.3463585553561469</v>
      </c>
      <c r="Q2" s="9">
        <f>ABS((E2^4/30)*COS($D$2-2*$E$2))</f>
        <v>2.6365590397147239E-6</v>
      </c>
      <c r="R2" s="8">
        <f>D2+3*E2+SIN(D2+3*E2)</f>
        <v>3.383834063250545</v>
      </c>
      <c r="S2" s="11">
        <f>D2+4*E2+SIN(D2+4*E2)</f>
        <v>3.4483979261104842</v>
      </c>
      <c r="T2" s="21">
        <f>(-25*B2+48*C2-36*I2+16*R2-3*S2)/(12*E2)</f>
        <v>0.34636674347743751</v>
      </c>
      <c r="U2" s="2">
        <f>ABS((E2^4/5)*COS($D$2))</f>
        <v>1.3072872417272245E-5</v>
      </c>
      <c r="V2" s="1">
        <f>E2/2</f>
        <v>0.05</v>
      </c>
      <c r="W2" s="8">
        <f>(D2+V2)+SIN(D2+V2)</f>
        <v>3.2614747455738047</v>
      </c>
      <c r="X2" s="8"/>
      <c r="Y2" s="14">
        <f>2*((W2-B2)/(V2))-G2</f>
        <v>0.34583579283414601</v>
      </c>
      <c r="Z2" s="8">
        <f>(D2-V2)+SIN(D2-V2)</f>
        <v>3.2268118759134881</v>
      </c>
      <c r="AA2" s="14">
        <f>2*((W2-Z2)/(2*V2))-M2</f>
        <v>0.34581215260851561</v>
      </c>
    </row>
    <row r="3" spans="1:27" x14ac:dyDescent="0.25">
      <c r="A3" s="1" t="s">
        <v>15</v>
      </c>
      <c r="B3" s="8">
        <f>COS(6*$D$3^2)</f>
        <v>0.59492066330989202</v>
      </c>
      <c r="C3" s="8">
        <f>COS(6*($D$3+$E$3)^2)</f>
        <v>0.52014177628445424</v>
      </c>
      <c r="D3" s="1">
        <v>1.5</v>
      </c>
      <c r="E3" s="1">
        <v>5.0000000000000001E-3</v>
      </c>
      <c r="F3" s="13">
        <v>-14.468119677931</v>
      </c>
      <c r="G3" s="15">
        <f>(C3-B3)/(E3)</f>
        <v>-14.955777405087556</v>
      </c>
      <c r="H3" s="10">
        <f>ABS((E3/2)*202.4)</f>
        <v>0.50600000000000001</v>
      </c>
      <c r="I3" s="8">
        <f>COS(6*($D$3+2*$E$3)^2)</f>
        <v>0.44086929589521484</v>
      </c>
      <c r="J3" s="18">
        <f>(4*C3-I3-3*B3)/(2*E3)</f>
        <v>-14.506418068707383</v>
      </c>
      <c r="K3" s="8">
        <f>ABS(($E$3^2/3)*4692.7949534051)</f>
        <v>3.9106624611709169E-2</v>
      </c>
      <c r="L3" s="8">
        <f>COS(6*($D$3-$E$3)^2)</f>
        <v>0.66464377209358572</v>
      </c>
      <c r="M3" s="17">
        <f>(C3-L3)/(2*E3)</f>
        <v>-14.450199580913148</v>
      </c>
      <c r="N3" s="8">
        <f>ABS((($E$3^2)/6)*4692.7949534051)</f>
        <v>1.9553312305854584E-2</v>
      </c>
      <c r="O3" s="8">
        <f>COS(6*($D$3-2*$E$3)^2)</f>
        <v>0.72879942017792709</v>
      </c>
      <c r="P3" s="22">
        <f>(O3-8*L3+8*C3-I3)/(12*E3)</f>
        <v>-14.468097369838986</v>
      </c>
      <c r="Q3" s="2">
        <f>ABS((E3^4/30)*1403430)</f>
        <v>2.9238124999999999E-5</v>
      </c>
      <c r="R3" s="8">
        <f>COS(6*($D$3+3*$E$3)^2)</f>
        <v>0.35771229942282212</v>
      </c>
      <c r="S3" s="8">
        <f>COS(6*($D$3+4*$E$3)^2)</f>
        <v>0.2713226278775594</v>
      </c>
      <c r="T3" s="22">
        <f>(-25*B3+48*C3-36*I3+16*R3-3*S3)/(12*E3)</f>
        <v>-14.467951103145927</v>
      </c>
      <c r="U3" s="2">
        <f>ABS((E3^4/5)*1707709.8852856)</f>
        <v>2.1346373566070003E-4</v>
      </c>
      <c r="V3" s="1">
        <f>E3/2</f>
        <v>2.5000000000000001E-3</v>
      </c>
      <c r="W3" s="8">
        <f>COS(6*($D$3+V3)^2)</f>
        <v>0.55812919943967865</v>
      </c>
      <c r="X3" s="8"/>
      <c r="Y3" s="15">
        <f>2*((W3-B3)/(V3))-G3</f>
        <v>-14.47739369108314</v>
      </c>
      <c r="Z3" s="8">
        <f>COS(6*($D$3-V3)^2)</f>
        <v>0.63044739247806747</v>
      </c>
      <c r="AA3" s="14">
        <f t="shared" ref="AA3:AA6" si="0">2*((W3-Z3)/(2*V3))-M3</f>
        <v>-14.477077634442379</v>
      </c>
    </row>
    <row r="4" spans="1:27" x14ac:dyDescent="0.25">
      <c r="A4" s="1" t="s">
        <v>21</v>
      </c>
      <c r="B4" s="8">
        <f>EXP(-($D$4^2))</f>
        <v>1.8315638888734179E-2</v>
      </c>
      <c r="C4" s="8">
        <f>EXP(-(($D$4+$E$4)^2))</f>
        <v>1.2155178329914935E-2</v>
      </c>
      <c r="D4" s="1">
        <v>2</v>
      </c>
      <c r="E4" s="1">
        <v>0.1</v>
      </c>
      <c r="F4" s="13">
        <v>-7.3262555554936007E-2</v>
      </c>
      <c r="G4" s="15">
        <f>(C4-B4)/(E4)</f>
        <v>-6.1604605588192439E-2</v>
      </c>
      <c r="H4" s="8">
        <f>ABS(E4/2*0.25641894444228)</f>
        <v>1.2820947222114E-2</v>
      </c>
      <c r="I4" s="8">
        <f>EXP(-(($D$4+2*$E$4)^2))</f>
        <v>7.9070540515934346E-3</v>
      </c>
      <c r="J4" s="17">
        <f>(4*C4-I4-3*B4)/(2*E4)</f>
        <v>-7.1166286990681157E-2</v>
      </c>
      <c r="K4" s="7">
        <f>ABS(((E4^2)/3)*0.732626)</f>
        <v>2.4420866666666672E-3</v>
      </c>
      <c r="L4" s="8">
        <f>EXP(-(($D$4-$E$4)^2))</f>
        <v>2.7051846866350416E-2</v>
      </c>
      <c r="M4" s="20">
        <f>(C4-L4)/(2*E4)</f>
        <v>-7.4483342682177406E-2</v>
      </c>
      <c r="N4" s="7">
        <f>ABS(E4^2/6*-0.86760683269761)</f>
        <v>1.4460113878293503E-3</v>
      </c>
      <c r="O4" s="8">
        <f>EXP(-(($D$4-2*$E$4)^2))</f>
        <v>3.9163895098987066E-2</v>
      </c>
      <c r="P4" s="22">
        <f>(O4-8*L4+8*C4-I4)/(12*E4)</f>
        <v>-7.3263756036741831E-2</v>
      </c>
      <c r="Q4" s="2">
        <f>ABS((E4^4/30)*4.4043027143767)</f>
        <v>1.4681009047922343E-5</v>
      </c>
      <c r="R4" s="8">
        <f>EXP(-(($D$4+3*$E$4)^2))</f>
        <v>5.0417602596909833E-3</v>
      </c>
      <c r="S4" s="8">
        <f>EXP(-(($D$4+4*$E$4)^2))</f>
        <v>3.1511115984444414E-3</v>
      </c>
      <c r="T4" s="21">
        <f>(-25*B4+48*C4-36*I4+16*R4-3*S4)/(12*E4)</f>
        <v>-7.3234607400065627E-2</v>
      </c>
      <c r="U4" s="2">
        <f>ABS((E4^4/5)*4.4043027143767)</f>
        <v>8.8086054287534046E-5</v>
      </c>
      <c r="V4" s="1">
        <f>E4/2</f>
        <v>0.05</v>
      </c>
      <c r="W4" s="8">
        <f>EXP(-(($D$4+$V$4)^2))</f>
        <v>1.4958134700577493E-2</v>
      </c>
      <c r="X4" s="8"/>
      <c r="Y4" s="15">
        <f>2*((W4-B4)/(V4))-G4</f>
        <v>-7.2695561938074971E-2</v>
      </c>
      <c r="Z4" s="8">
        <f>EXP(-(($D$4-$V$4)^2))</f>
        <v>2.2314914776966413E-2</v>
      </c>
      <c r="AA4" s="14">
        <f t="shared" si="0"/>
        <v>-7.2652258845600975E-2</v>
      </c>
    </row>
    <row r="5" spans="1:27" x14ac:dyDescent="0.25">
      <c r="A5" s="1" t="s">
        <v>22</v>
      </c>
      <c r="B5" s="1">
        <f>5*$D$5^4+3*$D$5^3-7*$D$5^2+6*$D$5+4</f>
        <v>50.469499999999996</v>
      </c>
      <c r="C5" s="8">
        <f>5*($D$5+$E$5)^4+3*($D$5+$E$5)^3-7*($D$5+$E$5)^2+6*($D$5+$E$5)+4</f>
        <v>51.543737049999997</v>
      </c>
      <c r="D5" s="1">
        <v>1.7</v>
      </c>
      <c r="E5" s="1">
        <v>0.01</v>
      </c>
      <c r="F5" s="16">
        <v>106.47</v>
      </c>
      <c r="G5" s="15">
        <f>(C5-B5)/(E5)</f>
        <v>107.42370500000007</v>
      </c>
      <c r="H5" s="8">
        <f>ABS(E5/2*192.226)</f>
        <v>0.96113000000000004</v>
      </c>
      <c r="I5" s="8">
        <f>5*($D$5+2*$E$5)^4+3*($D$5+2*$E$5)^3-7*($D$5+2*$E$5)^2+6*($D$5+2*$E$5)+4</f>
        <v>52.637196799999991</v>
      </c>
      <c r="J5" s="19">
        <f>(4*C5-I5-3*B5)/(2*E5)</f>
        <v>106.46256999999935</v>
      </c>
      <c r="K5" s="7">
        <f>ABS(E5^2/3*223.2)</f>
        <v>7.4399999999999996E-3</v>
      </c>
      <c r="L5" s="8">
        <f>5*($D$5-$E$5)^4+3*($D$5-$E$5)^3-7*($D$5-$E$5)^2+6*($D$5-$E$5)+4</f>
        <v>49.414263049999988</v>
      </c>
      <c r="M5" s="19">
        <f>(C5-L5)/(2*E5)</f>
        <v>106.47370000000045</v>
      </c>
      <c r="N5" s="7">
        <f>ABS(E5^2/6*223.2)</f>
        <v>3.7199999999999998E-3</v>
      </c>
      <c r="O5" s="8">
        <f>5*($D$5-2*$E$5)^4+3*($D$5-2*$E$5)^3-7*($D$5-2*$E$5)^2+6*($D$5-2*$E$5)+4</f>
        <v>48.377804799999993</v>
      </c>
      <c r="P5" s="23">
        <f>(O5-8*L5+8*C5-I5)/(12*E5)</f>
        <v>106.4700000000005</v>
      </c>
      <c r="Q5" s="24">
        <f>ABS(E5^4/30*0)</f>
        <v>0</v>
      </c>
      <c r="R5" s="8">
        <f>5*($D$5+3*$E$5)^4+3*($D$5+3*$E$5)^3-7*($D$5+3*$E$5)^2+6*($D$5+3*$E$5)+4</f>
        <v>53.750103049999993</v>
      </c>
      <c r="S5" s="10">
        <f>5*($D$5+4*$E$5)^4+3*($D$5+4*$E$5)^3-7*($D$5+4*$E$5)^2+6*($D$5+4*$E$5)+4</f>
        <v>54.882680800000003</v>
      </c>
      <c r="T5" s="23">
        <f>(-25*B5+48*C5-36*I5+16*R5-3*S5)/(12*E5)</f>
        <v>106.47000000000068</v>
      </c>
      <c r="U5" s="24">
        <f>ABS(E5^4/5*0)</f>
        <v>0</v>
      </c>
      <c r="V5" s="1">
        <f>E5/2</f>
        <v>5.0000000000000001E-3</v>
      </c>
      <c r="W5" s="10">
        <f>5*($D$5+$V$5)^4+3*($D$5+$V$5)^3-7*($D$5+$V$5)^2+6*($D$5+$V$5)+4</f>
        <v>51.004229628124989</v>
      </c>
      <c r="X5" s="10"/>
      <c r="Y5" s="15">
        <f>2*((W5-B5)/(V5))-G5</f>
        <v>106.46814624999692</v>
      </c>
      <c r="Z5" s="8">
        <f>5*($D$5-$V$5)^4+3*($D$5-$V$5)^3-7*($D$5-$V$5)^2+6*($D$5-$V$5)+4</f>
        <v>49.939520378125003</v>
      </c>
      <c r="AA5" s="14">
        <f t="shared" si="0"/>
        <v>106.4681499999967</v>
      </c>
    </row>
    <row r="6" spans="1:27" x14ac:dyDescent="0.25">
      <c r="A6" s="1" t="s">
        <v>23</v>
      </c>
      <c r="B6" s="8">
        <f>LN(3+2*$D$6)</f>
        <v>2.5649493574615367</v>
      </c>
      <c r="C6" s="8">
        <f>LN(3+2*($D$6+$E$6))</f>
        <v>2.5664866367804233</v>
      </c>
      <c r="D6" s="1">
        <v>5</v>
      </c>
      <c r="E6" s="1">
        <v>0.01</v>
      </c>
      <c r="F6" s="13">
        <f>2/13</f>
        <v>0.15384615384615385</v>
      </c>
      <c r="G6" s="14">
        <f>(C6-B6)/(E6)</f>
        <v>0.15372793188865863</v>
      </c>
      <c r="H6" s="1">
        <f>ABS(E6/2*0.023668639053254)</f>
        <v>1.1834319526627001E-4</v>
      </c>
      <c r="I6" s="8">
        <f>LN(3+2*($D$6+2*$E$6))</f>
        <v>2.5680215564985067</v>
      </c>
      <c r="J6" s="20">
        <f>(4*C6-I6-3*B6)/(2*E6)</f>
        <v>0.15384591192879604</v>
      </c>
      <c r="K6" s="25">
        <f>ABS(E6^2/3*0.0072491490595438)</f>
        <v>2.4163830198479334E-7</v>
      </c>
      <c r="L6" s="8">
        <f>LN(3+2*($D$6-$E$6))</f>
        <v>2.563409711275944</v>
      </c>
      <c r="M6" s="17">
        <f>(C6-L6)/(2*E6)</f>
        <v>0.15384627522396777</v>
      </c>
      <c r="N6" s="25">
        <f>ABS(E6^2/6*0.0073163741268735)</f>
        <v>1.2193956878122501E-7</v>
      </c>
      <c r="O6" s="8">
        <f>LN(3+2*($D$6-2*$E$6))</f>
        <v>2.5618676909241289</v>
      </c>
      <c r="P6" s="21">
        <f>(O6-8*L6+8*C6-I6)/(12*E6)</f>
        <v>0.15384615384546793</v>
      </c>
      <c r="Q6" s="26">
        <f>ABS(E6^4/30*0.0021005654229437)</f>
        <v>7.0018847431456666E-13</v>
      </c>
      <c r="R6" s="8">
        <f>LN(3+2*($D$6+3*$E$6))</f>
        <v>2.5695541238482851</v>
      </c>
      <c r="S6" s="8">
        <f>LN(3+2*($D$6+4*$E$6))</f>
        <v>2.5710843460290524</v>
      </c>
      <c r="T6" s="21">
        <f>(-25*B6+48*C6-36*I6+16*R6-3*S6)/(12*E6)</f>
        <v>0.15384615384219646</v>
      </c>
      <c r="U6" s="25">
        <f>ABS(E6^4/5*0.0020684472909535)</f>
        <v>4.1368945819070005E-12</v>
      </c>
      <c r="V6" s="1">
        <f>E6/2</f>
        <v>5.0000000000000001E-3</v>
      </c>
      <c r="W6" s="8">
        <f>LN(3+2*($D$6+$V$6))</f>
        <v>2.565718292524414</v>
      </c>
      <c r="X6" s="8"/>
      <c r="Y6" s="15">
        <f>2*((W6-B6)/(V6))-G6</f>
        <v>0.1538460932622332</v>
      </c>
      <c r="Z6" s="8">
        <f>LN(3+2*($D$6-$V$6))</f>
        <v>2.5641798306825083</v>
      </c>
      <c r="AA6" s="14">
        <f t="shared" si="0"/>
        <v>0.15384609315716169</v>
      </c>
    </row>
    <row r="7" spans="1:27" x14ac:dyDescent="0.25">
      <c r="U7" s="25"/>
    </row>
    <row r="8" spans="1:27" x14ac:dyDescent="0.25">
      <c r="A8" s="1" t="s">
        <v>25</v>
      </c>
      <c r="B8" s="10">
        <f>2*$D$8^4+5*EXP($D$8)</f>
        <v>150.57843249771537</v>
      </c>
      <c r="C8" s="10">
        <f>2*($D$8+$E$8)^4+5*EXP(($D$8+$E$8))</f>
        <v>154.6010127182918</v>
      </c>
      <c r="D8" s="1">
        <v>2.56</v>
      </c>
      <c r="E8" s="1">
        <v>0.02</v>
      </c>
      <c r="F8" s="1">
        <v>198.89681457771999</v>
      </c>
      <c r="G8" s="10">
        <f>(C8-B8)/E8</f>
        <v>201.12901102882148</v>
      </c>
      <c r="H8" s="27">
        <f>(225.73929079829*E8)/2</f>
        <v>2.2573929079829003</v>
      </c>
      <c r="I8" s="1">
        <f>2*($D$8+2*$E$8)^4+5*EXP(($D$8+2*$E$8))</f>
        <v>158.71389017500849</v>
      </c>
      <c r="J8" s="28">
        <f>(4*$C$8-$I$8-3*$B$8)/(2*$E$8)</f>
        <v>198.87158012531501</v>
      </c>
      <c r="K8" s="1">
        <f>(E8^2*192.11869017501/3)</f>
        <v>2.5615825356667999E-2</v>
      </c>
      <c r="L8" s="12">
        <f>2*($D$8-$E$8)^4+5*EXP(($D$8-$E$8))</f>
        <v>146.64463997416937</v>
      </c>
      <c r="M8">
        <f>(C8-L8)/(2*E8)</f>
        <v>198.90931860306083</v>
      </c>
      <c r="N8" s="1">
        <f>(E8^2*192.11869017501/6)</f>
        <v>1.2807912678334E-2</v>
      </c>
      <c r="O8" s="12">
        <f>2*($D$8-2*$E$8)^4+5*EXP(($D$8-2*$E$8))</f>
        <v>142.79814363788773</v>
      </c>
      <c r="P8" s="29">
        <f t="shared" ref="P8" si="1">(O8-8*L8+8*C8-I8)/(12*E8)</f>
        <v>198.89681423274465</v>
      </c>
      <c r="Q8" s="1">
        <f>(E8^4/30)*67.31869017501</f>
        <v>3.5903301426672002E-7</v>
      </c>
      <c r="R8" s="1">
        <f>2*($D$8+3*$E$8)^4+5*EXP(($D$8+3*$E$8))</f>
        <v>162.91859264538965</v>
      </c>
      <c r="S8" s="1">
        <f>2*($D$8+4*$E$8)^4+5*EXP(($D$8+4*$E$8))</f>
        <v>167.21666635866808</v>
      </c>
      <c r="T8" s="29">
        <f t="shared" ref="T8" si="2">(-25*B8+48*C8-36*I8+16*R8-3*S8)/(12*E8)</f>
        <v>198.8968124376913</v>
      </c>
      <c r="U8" s="25">
        <f>ABS(E8^4/5*67.31869017501)</f>
        <v>2.1541980856003204E-6</v>
      </c>
      <c r="V8" s="1">
        <f>E8/2</f>
        <v>0.01</v>
      </c>
      <c r="W8" s="1">
        <f>2*($D$8+$V$8)^4+5*EXP(($D$8+$V$8))</f>
        <v>152.57853022467276</v>
      </c>
      <c r="X8" s="10">
        <f>C8</f>
        <v>154.6010127182918</v>
      </c>
      <c r="Y8" s="1">
        <f>2*((4*W8-X8-3*B8)/(2*V8))-J8</f>
        <v>198.90948859999611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Derivación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2021-11-22T15:07:06Z</dcterms:modified>
</cp:coreProperties>
</file>