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Integració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R8" i="1"/>
  <c r="T8" i="1"/>
  <c r="T2" i="1"/>
  <c r="T6" i="1"/>
  <c r="R6" i="1"/>
  <c r="V6" i="1" l="1"/>
  <c r="V5" i="1"/>
  <c r="T5" i="1"/>
  <c r="R5" i="1"/>
  <c r="V4" i="1"/>
  <c r="T4" i="1"/>
  <c r="R4" i="1"/>
  <c r="V3" i="1"/>
  <c r="T3" i="1"/>
  <c r="R3" i="1"/>
  <c r="V2" i="1"/>
  <c r="R2" i="1"/>
  <c r="G6" i="1" l="1"/>
  <c r="J6" i="1"/>
  <c r="M6" i="1"/>
  <c r="M5" i="1"/>
  <c r="O5" i="1" s="1"/>
  <c r="J5" i="1"/>
  <c r="G5" i="1"/>
  <c r="M4" i="1"/>
  <c r="J4" i="1"/>
  <c r="G4" i="1"/>
  <c r="M3" i="1"/>
  <c r="J3" i="1"/>
  <c r="K4" i="1" l="1"/>
  <c r="L4" i="1"/>
  <c r="K3" i="1"/>
  <c r="L3" i="1"/>
  <c r="N4" i="1"/>
  <c r="O4" i="1"/>
  <c r="O6" i="1"/>
  <c r="N6" i="1"/>
  <c r="N3" i="1"/>
  <c r="O3" i="1"/>
  <c r="I5" i="1"/>
  <c r="H5" i="1"/>
  <c r="L6" i="1"/>
  <c r="K6" i="1"/>
  <c r="H4" i="1"/>
  <c r="I4" i="1"/>
  <c r="N5" i="1"/>
  <c r="L5" i="1"/>
  <c r="K5" i="1"/>
  <c r="I6" i="1"/>
  <c r="H6" i="1"/>
  <c r="G3" i="1"/>
  <c r="M2" i="1"/>
  <c r="J2" i="1"/>
  <c r="G2" i="1"/>
  <c r="K2" i="1" l="1"/>
  <c r="L2" i="1"/>
  <c r="N2" i="1"/>
  <c r="O2" i="1"/>
  <c r="H3" i="1"/>
  <c r="I3" i="1"/>
  <c r="H2" i="1"/>
  <c r="I2" i="1"/>
</calcChain>
</file>

<file path=xl/sharedStrings.xml><?xml version="1.0" encoding="utf-8"?>
<sst xmlns="http://schemas.openxmlformats.org/spreadsheetml/2006/main" count="24" uniqueCount="16">
  <si>
    <t>h</t>
  </si>
  <si>
    <t>f(x)</t>
  </si>
  <si>
    <t>Exacto</t>
  </si>
  <si>
    <t>n</t>
  </si>
  <si>
    <t>Punto Medio</t>
  </si>
  <si>
    <t>Trapecio</t>
  </si>
  <si>
    <t>Simpson</t>
  </si>
  <si>
    <t>C. Gaussiana</t>
  </si>
  <si>
    <t>b</t>
  </si>
  <si>
    <t>a</t>
  </si>
  <si>
    <t>Polinomio G(5)</t>
  </si>
  <si>
    <t>Cota</t>
  </si>
  <si>
    <t>f(t)</t>
  </si>
  <si>
    <t>C. G.</t>
  </si>
  <si>
    <t>P</t>
  </si>
  <si>
    <t>(3/2*t+3/2)*3/2dt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</si>
</sst>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0"/>
    <numFmt numFmtId="166" formatCode="0.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88868</xdr:colOff>
      <xdr:row>0</xdr:row>
      <xdr:rowOff>217963</xdr:rowOff>
    </xdr:from>
    <xdr:ext cx="772199" cy="1989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84143" y="217963"/>
              <a:ext cx="772199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84143" y="217963"/>
              <a:ext cx="772199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𝑓(𝑥)=𝑒^(−𝑥^2 )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1</xdr:row>
      <xdr:rowOff>189388</xdr:rowOff>
    </xdr:from>
    <xdr:ext cx="1009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36518" y="417988"/>
              <a:ext cx="1009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𝑠𝑒𝑛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AR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36518" y="417988"/>
              <a:ext cx="1009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𝑠𝑒𝑛(𝑥+cos⁡(𝑥))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4</xdr:row>
      <xdr:rowOff>0</xdr:rowOff>
    </xdr:from>
    <xdr:ext cx="609589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38150" y="800100"/>
              <a:ext cx="609589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tanh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A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38150" y="800100"/>
              <a:ext cx="609589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tanh(√(3&amp;𝑥))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5</xdr:row>
      <xdr:rowOff>9525</xdr:rowOff>
    </xdr:from>
    <xdr:ext cx="7294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390525" y="1000125"/>
              <a:ext cx="729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AR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100/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390525" y="1000125"/>
              <a:ext cx="7294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cos⁡(100/𝑥)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1</xdr:row>
      <xdr:rowOff>9525</xdr:rowOff>
    </xdr:from>
    <xdr:ext cx="600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8734425" y="238125"/>
              <a:ext cx="600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8734425" y="238125"/>
              <a:ext cx="600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𝑥=𝑡+1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</xdr:row>
      <xdr:rowOff>0</xdr:rowOff>
    </xdr:from>
    <xdr:ext cx="751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8696325" y="419100"/>
              <a:ext cx="751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+4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696325" y="419100"/>
              <a:ext cx="751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(2𝑡+4)2𝑑𝑡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1240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8696325" y="609600"/>
              <a:ext cx="11240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1/2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696325" y="609600"/>
              <a:ext cx="11240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1/2(7𝑡+1)7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AR" sz="1100" b="0" i="0">
                  <a:latin typeface="Cambria Math" panose="02040503050406030204" pitchFamily="18" charset="0"/>
                </a:rPr>
                <a:t>2𝑑𝑡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4</xdr:row>
      <xdr:rowOff>0</xdr:rowOff>
    </xdr:from>
    <xdr:ext cx="751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8696325" y="800100"/>
              <a:ext cx="751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+4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696325" y="800100"/>
              <a:ext cx="751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(3𝑡+4)3𝑑𝑡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985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8696325" y="990600"/>
              <a:ext cx="98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17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+23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17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696325" y="990600"/>
              <a:ext cx="98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(17𝑡+23)17𝑑𝑡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0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4.42578125" style="1" customWidth="1"/>
    <col min="2" max="2" width="16.28515625" style="1" customWidth="1"/>
    <col min="3" max="4" width="5.28515625" style="1" customWidth="1"/>
    <col min="5" max="5" width="10" style="1" customWidth="1"/>
    <col min="6" max="7" width="6.42578125" style="1" customWidth="1"/>
    <col min="8" max="8" width="12.5703125" style="1" bestFit="1" customWidth="1"/>
    <col min="9" max="9" width="8.5703125" style="1" bestFit="1" customWidth="1"/>
    <col min="10" max="10" width="6.42578125" style="1" customWidth="1"/>
    <col min="11" max="11" width="11" style="10" bestFit="1" customWidth="1"/>
    <col min="12" max="12" width="8.5703125" style="1" bestFit="1" customWidth="1"/>
    <col min="13" max="13" width="6.42578125" style="1" customWidth="1"/>
    <col min="14" max="14" width="12.140625" style="10" customWidth="1"/>
    <col min="15" max="15" width="10.5703125" style="1" bestFit="1" customWidth="1"/>
    <col min="16" max="16" width="16.42578125" style="1" customWidth="1"/>
    <col min="17" max="17" width="6.42578125" style="1" customWidth="1"/>
    <col min="18" max="18" width="12" style="10" bestFit="1" customWidth="1"/>
    <col min="19" max="19" width="6.42578125" style="1" customWidth="1"/>
    <col min="20" max="20" width="9.140625" style="10" customWidth="1"/>
    <col min="21" max="21" width="6.42578125" style="1" customWidth="1"/>
    <col min="22" max="22" width="9.42578125" style="10" customWidth="1"/>
    <col min="23" max="23" width="8.140625" bestFit="1" customWidth="1"/>
    <col min="24" max="24" width="18" customWidth="1"/>
    <col min="25" max="25" width="8.140625" bestFit="1" customWidth="1"/>
    <col min="26" max="26" width="17" bestFit="1" customWidth="1"/>
  </cols>
  <sheetData>
    <row r="1" spans="1:26" s="3" customFormat="1" ht="18" customHeight="1" x14ac:dyDescent="0.25">
      <c r="B1" s="4" t="s">
        <v>1</v>
      </c>
      <c r="C1" s="6" t="s">
        <v>9</v>
      </c>
      <c r="D1" s="6" t="s">
        <v>8</v>
      </c>
      <c r="E1" s="5" t="s">
        <v>2</v>
      </c>
      <c r="F1" s="6" t="s">
        <v>3</v>
      </c>
      <c r="G1" s="6" t="s">
        <v>0</v>
      </c>
      <c r="H1" s="5" t="s">
        <v>4</v>
      </c>
      <c r="I1" s="11" t="s">
        <v>11</v>
      </c>
      <c r="J1" s="6" t="s">
        <v>0</v>
      </c>
      <c r="K1" s="5" t="s">
        <v>5</v>
      </c>
      <c r="L1" s="11" t="s">
        <v>11</v>
      </c>
      <c r="M1" s="6" t="s">
        <v>0</v>
      </c>
      <c r="N1" s="5" t="s">
        <v>6</v>
      </c>
      <c r="O1" s="11" t="s">
        <v>11</v>
      </c>
      <c r="P1" s="4" t="s">
        <v>12</v>
      </c>
      <c r="Q1" s="6" t="s">
        <v>3</v>
      </c>
      <c r="R1" s="5" t="s">
        <v>7</v>
      </c>
      <c r="S1" s="6" t="s">
        <v>3</v>
      </c>
      <c r="T1" s="5" t="s">
        <v>13</v>
      </c>
      <c r="U1" s="6" t="s">
        <v>3</v>
      </c>
      <c r="V1" s="5" t="s">
        <v>13</v>
      </c>
      <c r="W1"/>
      <c r="X1"/>
      <c r="Y1"/>
      <c r="Z1"/>
    </row>
    <row r="2" spans="1:26" x14ac:dyDescent="0.25">
      <c r="A2" s="1">
        <v>1</v>
      </c>
      <c r="B2" s="2"/>
      <c r="C2" s="1">
        <v>0</v>
      </c>
      <c r="D2" s="1">
        <v>2</v>
      </c>
      <c r="E2" s="8">
        <v>0.88208139076235004</v>
      </c>
      <c r="F2" s="1">
        <v>6</v>
      </c>
      <c r="G2" s="1">
        <f>(D2-C2)/(F2+2)</f>
        <v>0.25</v>
      </c>
      <c r="H2" s="8">
        <f>2*G2*(EXP(-(0.25^2))+EXP(-(0.75^2))+EXP(-(1.25^2))+EXP(-(1.75^2)))</f>
        <v>0.88278894853972789</v>
      </c>
      <c r="I2" s="8">
        <f>ABS(((D2-C2)/6)*G2^2*-2)</f>
        <v>4.1666666666666664E-2</v>
      </c>
      <c r="J2" s="1">
        <f>(D2-C2)/F2</f>
        <v>0.33333333333333331</v>
      </c>
      <c r="K2" s="9">
        <f>J2/2*((EXP(-(0^2)))+2*(EXP(-(0.333^2))+EXP(-(0.666^2))+EXP(-(0.999^2))+EXP(-(1.332^2))+EXP(-(1.665^2))+EXP(-(1.998^2)))+(EXP(-(2^2))))</f>
        <v>0.88838740292541396</v>
      </c>
      <c r="L2" s="8">
        <f>ABS(((D2-C2)/12)*J2^2*2)</f>
        <v>3.7037037037037035E-2</v>
      </c>
      <c r="M2" s="1">
        <f>(D2-C2)/F2</f>
        <v>0.33333333333333331</v>
      </c>
      <c r="N2" s="9">
        <f>M2/3*(EXP(-(0^2))+2*(EXP(-(0.666^2))+EXP(-(1.332^2))+EXP(-(1.998^2)))+4*(EXP(-(0.333^2))+EXP(-(0.999^2))+EXP(-(1.665^2)))+EXP(-(2^2)))</f>
        <v>0.88696413464049251</v>
      </c>
      <c r="O2" s="8">
        <f>ABS(((D2-C2)/180)*M2^4*12)</f>
        <v>1.6460905349794238E-3</v>
      </c>
      <c r="P2" s="8"/>
      <c r="Q2" s="1">
        <v>2</v>
      </c>
      <c r="R2" s="12">
        <f>1*EXP(-((0.5773502692+1)^2))+1*EXP(-((-0.5773502692+1)^2))</f>
        <v>0.91948611664553237</v>
      </c>
      <c r="S2" s="1">
        <v>3</v>
      </c>
      <c r="T2" s="9">
        <f>0.5555555556*EXP(-((0.7745966692+1)^2))+0.8888888889*EXP(-((0+1)^2))+0.5555555556*EXP(-((-0.7745966692+1)^2))</f>
        <v>0.87886457091936421</v>
      </c>
      <c r="U2" s="1">
        <v>4</v>
      </c>
      <c r="V2" s="9">
        <f>0.3478548451*EXP(-((0.8611363116+1)^2))+0.6521451549*EXP(-((0.3399810436+1)^2))+0.6521451549*EXP(-((-0.3399810436+1)^2))+0.3478548451*EXP(-((-0.8611363116+1)^2))</f>
        <v>0.88222909592949939</v>
      </c>
    </row>
    <row r="3" spans="1:26" x14ac:dyDescent="0.25">
      <c r="A3" s="1">
        <v>2</v>
      </c>
      <c r="B3" s="2"/>
      <c r="C3" s="1">
        <v>2</v>
      </c>
      <c r="D3" s="1">
        <v>6</v>
      </c>
      <c r="E3" s="8">
        <v>0.59210659740537996</v>
      </c>
      <c r="F3" s="1">
        <v>6</v>
      </c>
      <c r="G3" s="1">
        <f>(D3-C3)/(F3+2)</f>
        <v>0.5</v>
      </c>
      <c r="H3" s="8">
        <f>2*G3*((SIN(2.5+COS(2.5)))+(SIN(3.5+COS(3.5)))+(SIN(4.5+COS(4.5)))+(SIN(5.5+COS(5.5))))</f>
        <v>0.55197047429208523</v>
      </c>
      <c r="I3" s="8">
        <f>ABS(((D3-C3)/6)*G3^2*-1.7738507382733)</f>
        <v>0.29564178971221666</v>
      </c>
      <c r="J3" s="1">
        <f>(D3-C3)/F3</f>
        <v>0.66666666666666663</v>
      </c>
      <c r="K3" s="9">
        <f>J3/2*((SIN(2+COS(2)))+2*(SIN(2.667+COS(2.667))+SIN(3.334+COS(3.334))+SIN(4.001+COS(4.001))+SIN(4.668+COS(4.668))+SIN(5.335+COS(5.335)))+(SIN(6+COS(6))))</f>
        <v>0.62902822345933873</v>
      </c>
      <c r="L3" s="8">
        <f>ABS(((D3-C3)/12)*J3^2*-1.7738507382733)</f>
        <v>0.2627927019664148</v>
      </c>
      <c r="M3" s="1">
        <f>(D3-C3)/F3</f>
        <v>0.66666666666666663</v>
      </c>
      <c r="N3" s="9">
        <f>M3/3*((SIN(2+COS(2)))+2*(SIN(3.334+COS(3.334))+SIN(4.668+COS(4.668)))+4*(SIN(2.667+COS(2.667))+SIN(4.001+COS(4.001))+SIN(5.335+COS(5.335)))+(SIN(6+COS(6))))</f>
        <v>0.6045423307441532</v>
      </c>
      <c r="O3" s="8">
        <f>ABS(((D3-C3)/180)*M3^4*8.9406709123304)</f>
        <v>3.9245743373741128E-2</v>
      </c>
      <c r="P3" s="8"/>
      <c r="Q3" s="1">
        <v>2</v>
      </c>
      <c r="R3" s="12">
        <f>1*2*SIN(2*0.5773502692+4+COS(2*0.5773502692+4))+1*2*SIN(2*-0.5773502692+4+COS(2*-0.5773502692+4))</f>
        <v>0.61054532802129824</v>
      </c>
      <c r="S3" s="1">
        <v>3</v>
      </c>
      <c r="T3" s="10">
        <f>0.5555555556*2*SIN(2*0.7745966692+4+COS(2*0.7745966692+4))+0.8888888889*2*SIN(2*0+4+COS(2*0+4))+0.5555555556*2*SIN(2*-0.7745966692+4+COS(2*-0.7745966692+4))</f>
        <v>0.75245942752887307</v>
      </c>
      <c r="U3" s="1">
        <v>4</v>
      </c>
      <c r="V3" s="9">
        <f>0.3478548451*2*SIN(2*0.8611363116+4+COS(2*0.8611363116+4))+0.6521451549*2*SIN(2*0.3399810436+4+COS(2*0.3399810436+4))+0.6521451549*2*SIN(2*-0.3399810436+4+COS(2*-0.3399810436+4))+0.3478548451*2*SIN(2*-0.8611363116+4+COS(2*-0.8611363116+4))</f>
        <v>0.52997317644315534</v>
      </c>
    </row>
    <row r="4" spans="1:26" x14ac:dyDescent="0.25">
      <c r="A4" s="1">
        <v>3</v>
      </c>
      <c r="B4" s="7" t="s">
        <v>10</v>
      </c>
      <c r="C4" s="1">
        <v>-3</v>
      </c>
      <c r="D4" s="1">
        <v>4</v>
      </c>
      <c r="E4" s="8">
        <v>425.71666666666999</v>
      </c>
      <c r="F4" s="1">
        <v>6</v>
      </c>
      <c r="G4" s="1">
        <f>(D4-C4)/(F4+2)</f>
        <v>0.875</v>
      </c>
      <c r="H4" s="8">
        <f>2*G4*(137.7214050293+36.560211181641+66.392669677734+7.14944458007)</f>
        <v>433.69152832030375</v>
      </c>
      <c r="I4" s="8">
        <f>ABS(((D4-C4)/6)*G4^2*-612)</f>
        <v>546.65625</v>
      </c>
      <c r="J4" s="1">
        <f>(D4-C4)/F4</f>
        <v>1.1666666666666667</v>
      </c>
      <c r="K4" s="9">
        <f>(J4/2)*(60+2*(121.57341307881+43.844247358451+46.2463197355+66.441095893614+20.05571073439)+60)</f>
        <v>417.85425126755922</v>
      </c>
      <c r="L4" s="8">
        <f>ABS(((D4-C4)/12)*J4^2*-612)</f>
        <v>485.9166666666668</v>
      </c>
      <c r="M4" s="1">
        <f>(D4-C4)/F4</f>
        <v>1.1666666666666667</v>
      </c>
      <c r="N4" s="9">
        <f>M4/3*(60+2*(43.844247358451+66.441095893614)+4*(121.57341307881+46.2463197355+20.05571073439)+60)</f>
        <v>424.69484582736175</v>
      </c>
      <c r="O4" s="8">
        <f>ABS(((D4-C4)/180)*M4^4*-432)</f>
        <v>31.124074074074088</v>
      </c>
      <c r="P4" s="8"/>
      <c r="Q4" s="1">
        <v>2</v>
      </c>
      <c r="R4" s="13">
        <f>1*7/2*37.231353252871+1*7/2*97.740868970282</f>
        <v>472.40277778103547</v>
      </c>
      <c r="S4" s="1">
        <v>3</v>
      </c>
      <c r="T4" s="10">
        <f>0.5555555556*7/2*4.744902328068+0.8888888889*7/2*46.21875+0.5555555556*7/2*140.24509767209</f>
        <v>425.71666669132526</v>
      </c>
      <c r="U4" s="1">
        <v>4</v>
      </c>
      <c r="V4" s="10">
        <f>0.3478548451*7/2*5.607009406333+0.6521451549*7/2*66.234400279512+0.6521451549*7/2*44.729368111817+0.3478548451*7/2*136.02922220335</f>
        <v>425.71666666544741</v>
      </c>
    </row>
    <row r="5" spans="1:26" x14ac:dyDescent="0.25">
      <c r="A5" s="1">
        <v>4</v>
      </c>
      <c r="C5" s="1">
        <v>1</v>
      </c>
      <c r="D5" s="1">
        <v>7</v>
      </c>
      <c r="E5" s="8">
        <v>5.4202619433918002</v>
      </c>
      <c r="F5" s="1">
        <v>6</v>
      </c>
      <c r="G5" s="1">
        <f>(D5-C5)/(F5+2)</f>
        <v>0.75</v>
      </c>
      <c r="H5" s="8">
        <f>2*G5*(TANH(1.75^(1/3))+TANH(3.25^(1/3))+TANH(4.75^(1/3))+TANH(6.25^(1/3)))</f>
        <v>5.4313114509272227</v>
      </c>
      <c r="I5" s="8">
        <f>ABS(((D5-C5)/6)*G5^2*-0.16440541018637)</f>
        <v>9.2478043229833135E-2</v>
      </c>
      <c r="J5" s="1">
        <f>(D5-C5)/F5</f>
        <v>1</v>
      </c>
      <c r="K5" s="9">
        <f>J5/2*(TANH(1^(1/3))+2*(TANH(2^(1/3))+TANH(3^(1/3))+TANH(4^(1/3))+TANH(5^(1/3))+TANH(6^(1/3)))+TANH(7^(1/3)))</f>
        <v>5.4095995736272657</v>
      </c>
      <c r="L5" s="8">
        <f>ABS(((D5-C5)/12)*J5^2*-0.16440541018637)</f>
        <v>8.2202705093185002E-2</v>
      </c>
      <c r="M5" s="1">
        <f>(D5-C5)/F5</f>
        <v>1</v>
      </c>
      <c r="N5" s="9">
        <f>J5/3*(TANH(1^(1/3))+2*(TANH(3^(1/3))+TANH(5^(1/3)))+4*(TANH(2^(1/3))+TANH(4^(1/3))+TANH(6^(1/3)))+TANH(7^(1/3)))</f>
        <v>5.4192949027460156</v>
      </c>
      <c r="O5" s="8">
        <f>ABS(((D5-C5)/180)*M5^4*-0.90934292460476)</f>
        <v>3.0311430820158664E-2</v>
      </c>
      <c r="P5" s="8"/>
      <c r="Q5" s="1">
        <v>2</v>
      </c>
      <c r="R5" s="13">
        <f>1*3*(TANH((3*0.5773502692+4)^(1/3)))+1*3*(TANH((3*-0.5773502692+4)^(1/3)))</f>
        <v>5.4329092714965626</v>
      </c>
      <c r="S5" s="1">
        <v>3</v>
      </c>
      <c r="T5" s="9">
        <f>0.5555555556*3*(TANH((3*0.7745966692+4)^(1/3)))+0.8888888889*3*(TANH((3*0+4)^(1/3)))+0.5555555556*3*(TANH((3*-0.7745966692+4)^(1/3)))</f>
        <v>5.4219951562321835</v>
      </c>
      <c r="U5" s="1">
        <v>4</v>
      </c>
      <c r="V5" s="13">
        <f>0.3478548451*3*(TANH((3*0.8611363116+4)^(1/3)))+0.6521451549*3*(TANH((3*0.3399810436+4)^(1/3)))+0.6521451549*3*(TANH((3*-0.3399810436+4)^(1/3)))+0.3478548451*3*(TANH((3*-0.8611363116+4)^(1/3)))</f>
        <v>5.4205172243856943</v>
      </c>
    </row>
    <row r="6" spans="1:26" x14ac:dyDescent="0.25">
      <c r="A6" s="1">
        <v>5</v>
      </c>
      <c r="C6" s="1">
        <v>6</v>
      </c>
      <c r="D6" s="1">
        <v>40</v>
      </c>
      <c r="E6" s="8">
        <v>-11.538191512028</v>
      </c>
      <c r="F6" s="1">
        <v>6</v>
      </c>
      <c r="G6" s="1">
        <f>(D6-C6)/(F6+2)</f>
        <v>4.25</v>
      </c>
      <c r="H6" s="8">
        <f>2*G6*(COS(100/10.25)+COS(100/18.75)+COS(100/27.25)+COS(100/35.75))</f>
        <v>-18.435156071226636</v>
      </c>
      <c r="I6" s="8">
        <f>ABS(((D6-C6)/6)*G6^2*5.1913220593958)</f>
        <v>531.3534432877409</v>
      </c>
      <c r="J6" s="1">
        <f>(D6-C6)/F6</f>
        <v>5.666666666666667</v>
      </c>
      <c r="K6" s="9">
        <f>J6/2*(COS(100/6)+2*(COS(100/11.667)+COS(100/17.334)+COS(100/23.001)+COS(100/28.668)+COS(100/34.335))+COS(100/40))</f>
        <v>-15.558152314594016</v>
      </c>
      <c r="L6" s="8">
        <f>ABS(((D6-C6)/12)*J6^2*5.1913220593958)</f>
        <v>472.31417181132537</v>
      </c>
      <c r="M6" s="1">
        <f>(D6-C6)/F6</f>
        <v>5.666666666666667</v>
      </c>
      <c r="N6" s="9">
        <f>M6/3*(COS(100/6)+2*(COS(100/17.334)+COS(100/28.668))+4*(COS(100/11.667)+COS(100/23.001)+COS(100/34.335))+COS(100/40))</f>
        <v>-17.88181159213401</v>
      </c>
      <c r="O6" s="8">
        <f>ABS(((D6-C6)/180)*M6^4*-64.6073314372)</f>
        <v>12583.425485929833</v>
      </c>
      <c r="P6" s="8"/>
      <c r="Q6" s="1">
        <v>2</v>
      </c>
      <c r="R6" s="13">
        <f>1*17*(COS(100/(17*0.5773502692+23)))+1*17*(COS(100/(17*-0.5773502692+23)))</f>
        <v>-12.396229462031569</v>
      </c>
      <c r="S6" s="1">
        <v>3</v>
      </c>
      <c r="T6" s="10">
        <f>0.5555555556*17*(COS(100/(17*0.7745966692+23)))+0.8888888889*17*(COS(100/(17*0+23)))+0.5555555556*17*(COS(100/(17*(-0.7745966692)+23)))</f>
        <v>-21.104410107078973</v>
      </c>
      <c r="U6" s="1">
        <v>4</v>
      </c>
      <c r="V6" s="13">
        <f>0.3478548451*17*(COS(100/(17*0.8611363116+23)))+0.6521451549*17*(COS(100/(17*0.3399810436+23)))+0.6521451549*17*(COS(100/(17*-0.3399810436+23)))+0.3478548451*17*(COS(100/(17*-0.8611363116+23)))</f>
        <v>-0.99390630064033214</v>
      </c>
    </row>
    <row r="7" spans="1:26" x14ac:dyDescent="0.25">
      <c r="N7" s="9"/>
    </row>
    <row r="8" spans="1:26" x14ac:dyDescent="0.25">
      <c r="A8" s="1" t="s">
        <v>14</v>
      </c>
      <c r="C8" s="1">
        <v>0</v>
      </c>
      <c r="D8" s="1">
        <v>3</v>
      </c>
      <c r="E8" s="1">
        <v>1.4301461254503001</v>
      </c>
      <c r="P8" s="1" t="s">
        <v>15</v>
      </c>
      <c r="Q8" s="1">
        <v>2</v>
      </c>
      <c r="R8" s="10">
        <f>1*3/2*(COS(3/2*(0.5773502692)+3/2)^2)+1*3/2*(COS(3/2*(-0.5773502692)+3/2)^2)</f>
        <v>1.7384246527492431</v>
      </c>
      <c r="S8" s="1">
        <v>3</v>
      </c>
      <c r="T8" s="10">
        <f>0.5555555556*3/2*(COS(3/2*(0.7745966692)+3/2)^2)+0.8888888889*3/2*(COS(3/2*(0)+3/2)^2)+0.5555555556*3/2*(COS(3/2*(-0.7745966692)+3/2)^2)</f>
        <v>1.4041572963258653</v>
      </c>
      <c r="U8" s="1">
        <v>4</v>
      </c>
      <c r="V8" s="10">
        <f>0.236926885*3/2*(COS(3/2*(0.9061798459)+3/2)^2)+0.4786286705*3/2*(COS(3/2*(0.5384693101)+3/2)^2)+0.5688888889*3/2*(COS(3/2*(0)+3/2)^2)+0.4786286705*3/2*(COS(3/2*(-0.5384693101)+3/2)^2)+0.236926885*3/2*(COS(3/2*(-0.9061798459)+3/2)^2)</f>
        <v>1.4301167517575886</v>
      </c>
    </row>
    <row r="9" spans="1:26" x14ac:dyDescent="0.25">
      <c r="K9" s="9"/>
    </row>
    <row r="10" spans="1:26" x14ac:dyDescent="0.25">
      <c r="K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Integración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2021-11-22T16:25:11Z</dcterms:modified>
</cp:coreProperties>
</file>